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https://seadvantage-my.sharepoint.com/personal/tarmstrong_seadvantage_com/Documents/"/>
    </mc:Choice>
  </mc:AlternateContent>
  <xr:revisionPtr revIDLastSave="4" documentId="8_{9F7FC5AC-07B5-4C47-B036-F964448168F6}" xr6:coauthVersionLast="47" xr6:coauthVersionMax="47" xr10:uidLastSave="{077B3346-C5FC-4BAA-8C4D-A2F68DED2602}"/>
  <bookViews>
    <workbookView xWindow="-120" yWindow="-120" windowWidth="29040" windowHeight="15840" activeTab="5" xr2:uid="{646DC537-B97A-440D-AD4C-5545A4BCDF2F}"/>
  </bookViews>
  <sheets>
    <sheet name="README" sheetId="13" r:id="rId1"/>
    <sheet name="2024 Program Year Inputs" sheetId="19" r:id="rId2"/>
    <sheet name="Adder Inputs" sheetId="18" r:id="rId3"/>
    <sheet name="Yearly Inputs" sheetId="17" r:id="rId4"/>
    <sheet name="Active Inputs" sheetId="7" r:id="rId5"/>
    <sheet name="Summary Results" sheetId="9" r:id="rId6"/>
    <sheet name="Annual Cash Flows &amp; Returns" sheetId="10" r:id="rId7"/>
    <sheet name="Cash Flow" sheetId="11" r:id="rId8"/>
    <sheet name="Complex Inputs" sheetId="12" r:id="rId9"/>
  </sheets>
  <externalReferences>
    <externalReference r:id="rId10"/>
    <externalReference r:id="rId11"/>
  </externalReferences>
  <definedNames>
    <definedName name="_ftnref1" localSheetId="4">'Active Inputs'!$E$92</definedName>
    <definedName name="Active_Adder">[1]RESULTS!$D$5</definedName>
    <definedName name="cap_cost_project">#REF!</definedName>
    <definedName name="capacity_factor">#REF!</definedName>
    <definedName name="case_list">#REF!</definedName>
    <definedName name="FIT_actual_avg_DSCR">'Active Inputs'!$G$58</definedName>
    <definedName name="FIT_actual_min_DSCR">'Active Inputs'!$G$55</definedName>
    <definedName name="FIT_Cost_Equity">#REF!</definedName>
    <definedName name="FIT_debt_term">#REF!</definedName>
    <definedName name="FIT_duration">#REF!</definedName>
    <definedName name="FIT_interest_rate">#REF!</definedName>
    <definedName name="FIT_LCOE_result">'Summary Results'!$D$14</definedName>
    <definedName name="FIT_percent_debt">#REF!</definedName>
    <definedName name="gen_nameplate">#REF!</definedName>
    <definedName name="MAX_CASE_LIST">#REF!</definedName>
    <definedName name="OM_fixed">#REF!</definedName>
    <definedName name="OM_variable">#REF!</definedName>
    <definedName name="Program_Year">[2]RESULTS!$E$5</definedName>
    <definedName name="selected_case">#REF!</definedName>
    <definedName name="solver_adj" localSheetId="4" hidden="1">'Active Inputs'!$G$50</definedName>
    <definedName name="solver_cvg" localSheetId="4" hidden="1">0.0001</definedName>
    <definedName name="solver_drv" localSheetId="4" hidden="1">1</definedName>
    <definedName name="solver_est" localSheetId="4" hidden="1">1</definedName>
    <definedName name="solver_itr" localSheetId="4" hidden="1">100</definedName>
    <definedName name="solver_lhs1" localSheetId="4" hidden="1">'Active Inputs'!$G$50</definedName>
    <definedName name="solver_lhs2" localSheetId="4" hidden="1">'Active Inputs'!$G$55</definedName>
    <definedName name="solver_lin" localSheetId="4" hidden="1">2</definedName>
    <definedName name="solver_neg" localSheetId="4" hidden="1">2</definedName>
    <definedName name="solver_num" localSheetId="4" hidden="1">0</definedName>
    <definedName name="solver_nwt" localSheetId="4" hidden="1">1</definedName>
    <definedName name="solver_opt" localSheetId="4" hidden="1">'Active Inputs'!$G$55</definedName>
    <definedName name="solver_pre" localSheetId="4" hidden="1">0.01</definedName>
    <definedName name="solver_rel1" localSheetId="4" hidden="1">3</definedName>
    <definedName name="solver_rel2" localSheetId="4" hidden="1">3</definedName>
    <definedName name="solver_rhs1" localSheetId="4" hidden="1">1</definedName>
    <definedName name="solver_rhs2" localSheetId="4" hidden="1">0.00001</definedName>
    <definedName name="solver_scl" localSheetId="4" hidden="1">2</definedName>
    <definedName name="solver_sho" localSheetId="4" hidden="1">2</definedName>
    <definedName name="solver_tim" localSheetId="4" hidden="1">100</definedName>
    <definedName name="solver_tol" localSheetId="4" hidden="1">0.05</definedName>
    <definedName name="solver_typ" localSheetId="4" hidden="1">2</definedName>
    <definedName name="solver_val" localSheetId="4" hidden="1">1.25</definedName>
    <definedName name="tiz">#REF!</definedName>
    <definedName name="tx_cost_project">#REF!</definedName>
    <definedName name="year_lis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 i="7" l="1"/>
  <c r="P1263" i="19"/>
  <c r="P1280" i="19"/>
  <c r="I126" i="12" l="1"/>
  <c r="G231" i="11" l="1"/>
  <c r="F128" i="12" l="1"/>
  <c r="D1192" i="19"/>
  <c r="D1170" i="19"/>
  <c r="D1169" i="19"/>
  <c r="L1290" i="19"/>
  <c r="O1289" i="19"/>
  <c r="N1289" i="19"/>
  <c r="L1289" i="19"/>
  <c r="O1288" i="19"/>
  <c r="N1288" i="19"/>
  <c r="L1288" i="19"/>
  <c r="O1287" i="19"/>
  <c r="N1287" i="19"/>
  <c r="L1287" i="19"/>
  <c r="O1286" i="19"/>
  <c r="N1286" i="19"/>
  <c r="L1286" i="19"/>
  <c r="O1285" i="19"/>
  <c r="N1285" i="19"/>
  <c r="L1285" i="19"/>
  <c r="O1284" i="19"/>
  <c r="N1284" i="19"/>
  <c r="L1284" i="19"/>
  <c r="P1281" i="19"/>
  <c r="D1280" i="19"/>
  <c r="D1278" i="19"/>
  <c r="D1266" i="19"/>
  <c r="N1262" i="19"/>
  <c r="P1261" i="19"/>
  <c r="N1260" i="19"/>
  <c r="F1260" i="19"/>
  <c r="P1259" i="19"/>
  <c r="N1258" i="19"/>
  <c r="D1258" i="19"/>
  <c r="P1257" i="19"/>
  <c r="D1257" i="19"/>
  <c r="N1256" i="19"/>
  <c r="D1256" i="19"/>
  <c r="D1255" i="19"/>
  <c r="R1250" i="19"/>
  <c r="N1249" i="19"/>
  <c r="N1247" i="19"/>
  <c r="R1245" i="19"/>
  <c r="R1244" i="19"/>
  <c r="N1242" i="19"/>
  <c r="N1241" i="19"/>
  <c r="R1240" i="19"/>
  <c r="N1240" i="19"/>
  <c r="N1232" i="19"/>
  <c r="F1231" i="19"/>
  <c r="N1230" i="19"/>
  <c r="F1228" i="19"/>
  <c r="T1226" i="19"/>
  <c r="N1226" i="19"/>
  <c r="F1226" i="19"/>
  <c r="N1225" i="19"/>
  <c r="T1220" i="19"/>
  <c r="O1220" i="19"/>
  <c r="T1219" i="19"/>
  <c r="N1219" i="19"/>
  <c r="T1218" i="19"/>
  <c r="N1218" i="19"/>
  <c r="T1217" i="19"/>
  <c r="D1216" i="19"/>
  <c r="D1215" i="19"/>
  <c r="D1213" i="19"/>
  <c r="N1212" i="19"/>
  <c r="L1204" i="19"/>
  <c r="O1203" i="19"/>
  <c r="N1203" i="19"/>
  <c r="L1203" i="19"/>
  <c r="O1202" i="19"/>
  <c r="N1202" i="19"/>
  <c r="L1202" i="19"/>
  <c r="O1201" i="19"/>
  <c r="N1201" i="19"/>
  <c r="L1201" i="19"/>
  <c r="O1200" i="19"/>
  <c r="N1200" i="19"/>
  <c r="L1200" i="19"/>
  <c r="O1199" i="19"/>
  <c r="N1199" i="19"/>
  <c r="L1199" i="19"/>
  <c r="O1198" i="19"/>
  <c r="N1198" i="19"/>
  <c r="L1198" i="19"/>
  <c r="P1195" i="19"/>
  <c r="D1194" i="19"/>
  <c r="D1180" i="19"/>
  <c r="P1177" i="19"/>
  <c r="N1176" i="19"/>
  <c r="P1175" i="19"/>
  <c r="N1174" i="19"/>
  <c r="F1174" i="19"/>
  <c r="P1173" i="19"/>
  <c r="N1172" i="19"/>
  <c r="D1172" i="19"/>
  <c r="P1171" i="19"/>
  <c r="D1171" i="19"/>
  <c r="N1170" i="19"/>
  <c r="R1164" i="19"/>
  <c r="N1163" i="19"/>
  <c r="N1161" i="19"/>
  <c r="R1159" i="19"/>
  <c r="R1158" i="19"/>
  <c r="N1156" i="19"/>
  <c r="N1155" i="19"/>
  <c r="R1154" i="19"/>
  <c r="N1154" i="19"/>
  <c r="N1146" i="19"/>
  <c r="F1145" i="19"/>
  <c r="N1144" i="19"/>
  <c r="F1142" i="19"/>
  <c r="T1140" i="19"/>
  <c r="N1140" i="19"/>
  <c r="F1140" i="19"/>
  <c r="N1139" i="19"/>
  <c r="T1134" i="19"/>
  <c r="O1134" i="19"/>
  <c r="T1133" i="19"/>
  <c r="N1133" i="19"/>
  <c r="T1132" i="19"/>
  <c r="N1132" i="19"/>
  <c r="T1131" i="19"/>
  <c r="D1130" i="19"/>
  <c r="D1129" i="19"/>
  <c r="D1127" i="19"/>
  <c r="N1126" i="19"/>
  <c r="L1118" i="19"/>
  <c r="O1117" i="19"/>
  <c r="N1117" i="19"/>
  <c r="L1117" i="19"/>
  <c r="O1116" i="19"/>
  <c r="N1116" i="19"/>
  <c r="L1116" i="19"/>
  <c r="O1115" i="19"/>
  <c r="N1115" i="19"/>
  <c r="L1115" i="19"/>
  <c r="O1114" i="19"/>
  <c r="N1114" i="19"/>
  <c r="L1114" i="19"/>
  <c r="O1113" i="19"/>
  <c r="N1113" i="19"/>
  <c r="L1113" i="19"/>
  <c r="O1112" i="19"/>
  <c r="N1112" i="19"/>
  <c r="L1112" i="19"/>
  <c r="P1109" i="19"/>
  <c r="D1108" i="19"/>
  <c r="D1106" i="19"/>
  <c r="D1094" i="19"/>
  <c r="P1091" i="19"/>
  <c r="N1090" i="19"/>
  <c r="P1089" i="19"/>
  <c r="N1088" i="19"/>
  <c r="F1088" i="19"/>
  <c r="P1087" i="19"/>
  <c r="N1086" i="19"/>
  <c r="D1086" i="19"/>
  <c r="P1085" i="19"/>
  <c r="D1085" i="19"/>
  <c r="N1084" i="19"/>
  <c r="D1084" i="19"/>
  <c r="D1083" i="19"/>
  <c r="R1078" i="19"/>
  <c r="N1077" i="19"/>
  <c r="N1075" i="19"/>
  <c r="R1073" i="19"/>
  <c r="R1072" i="19"/>
  <c r="N1070" i="19"/>
  <c r="N1069" i="19"/>
  <c r="R1068" i="19"/>
  <c r="N1068" i="19"/>
  <c r="N1060" i="19"/>
  <c r="F1059" i="19"/>
  <c r="N1058" i="19"/>
  <c r="F1056" i="19"/>
  <c r="T1054" i="19"/>
  <c r="N1054" i="19"/>
  <c r="F1054" i="19"/>
  <c r="N1053" i="19"/>
  <c r="T1048" i="19"/>
  <c r="O1048" i="19"/>
  <c r="T1047" i="19"/>
  <c r="N1047" i="19"/>
  <c r="T1046" i="19"/>
  <c r="N1046" i="19"/>
  <c r="T1045" i="19"/>
  <c r="D1044" i="19"/>
  <c r="D1043" i="19"/>
  <c r="D1041" i="19"/>
  <c r="N1040" i="19"/>
  <c r="L1032" i="19"/>
  <c r="O1031" i="19"/>
  <c r="N1031" i="19"/>
  <c r="L1031" i="19"/>
  <c r="O1030" i="19"/>
  <c r="N1030" i="19"/>
  <c r="L1030" i="19"/>
  <c r="O1029" i="19"/>
  <c r="N1029" i="19"/>
  <c r="L1029" i="19"/>
  <c r="O1028" i="19"/>
  <c r="N1028" i="19"/>
  <c r="L1028" i="19"/>
  <c r="O1027" i="19"/>
  <c r="N1027" i="19"/>
  <c r="L1027" i="19"/>
  <c r="O1026" i="19"/>
  <c r="N1026" i="19"/>
  <c r="L1026" i="19"/>
  <c r="P1023" i="19"/>
  <c r="D1022" i="19"/>
  <c r="D1020" i="19"/>
  <c r="D1008" i="19"/>
  <c r="P1005" i="19"/>
  <c r="N1004" i="19"/>
  <c r="P1003" i="19"/>
  <c r="N1002" i="19"/>
  <c r="F1002" i="19"/>
  <c r="P1001" i="19"/>
  <c r="N1000" i="19"/>
  <c r="D1000" i="19"/>
  <c r="P999" i="19"/>
  <c r="D999" i="19"/>
  <c r="N998" i="19"/>
  <c r="D998" i="19"/>
  <c r="D997" i="19"/>
  <c r="R992" i="19"/>
  <c r="N991" i="19"/>
  <c r="N989" i="19"/>
  <c r="R987" i="19"/>
  <c r="R986" i="19"/>
  <c r="N984" i="19"/>
  <c r="N983" i="19"/>
  <c r="R982" i="19"/>
  <c r="N982" i="19"/>
  <c r="N974" i="19"/>
  <c r="F973" i="19"/>
  <c r="N972" i="19"/>
  <c r="F970" i="19"/>
  <c r="T968" i="19"/>
  <c r="N968" i="19"/>
  <c r="F968" i="19"/>
  <c r="N967" i="19"/>
  <c r="T962" i="19"/>
  <c r="O962" i="19"/>
  <c r="T961" i="19"/>
  <c r="N961" i="19"/>
  <c r="T960" i="19"/>
  <c r="N960" i="19"/>
  <c r="T959" i="19"/>
  <c r="D958" i="19"/>
  <c r="D957" i="19"/>
  <c r="D955" i="19"/>
  <c r="N954" i="19"/>
  <c r="L946" i="19"/>
  <c r="O945" i="19"/>
  <c r="N945" i="19"/>
  <c r="L945" i="19"/>
  <c r="O944" i="19"/>
  <c r="N944" i="19"/>
  <c r="L944" i="19"/>
  <c r="O943" i="19"/>
  <c r="N943" i="19"/>
  <c r="L943" i="19"/>
  <c r="O942" i="19"/>
  <c r="N942" i="19"/>
  <c r="L942" i="19"/>
  <c r="O941" i="19"/>
  <c r="N941" i="19"/>
  <c r="L941" i="19"/>
  <c r="O940" i="19"/>
  <c r="N940" i="19"/>
  <c r="L940" i="19"/>
  <c r="P937" i="19"/>
  <c r="D936" i="19"/>
  <c r="D934" i="19"/>
  <c r="D922" i="19"/>
  <c r="P919" i="19"/>
  <c r="N918" i="19"/>
  <c r="P917" i="19"/>
  <c r="N916" i="19"/>
  <c r="F916" i="19"/>
  <c r="P915" i="19"/>
  <c r="N914" i="19"/>
  <c r="D914" i="19"/>
  <c r="P913" i="19"/>
  <c r="D913" i="19"/>
  <c r="N912" i="19"/>
  <c r="D912" i="19"/>
  <c r="D911" i="19"/>
  <c r="R906" i="19"/>
  <c r="N905" i="19"/>
  <c r="N903" i="19"/>
  <c r="R901" i="19"/>
  <c r="R900" i="19"/>
  <c r="N898" i="19"/>
  <c r="N897" i="19"/>
  <c r="R896" i="19"/>
  <c r="N896" i="19"/>
  <c r="N888" i="19"/>
  <c r="F887" i="19"/>
  <c r="N886" i="19"/>
  <c r="F884" i="19"/>
  <c r="T882" i="19"/>
  <c r="N882" i="19"/>
  <c r="F882" i="19"/>
  <c r="N881" i="19"/>
  <c r="T876" i="19"/>
  <c r="O876" i="19"/>
  <c r="T875" i="19"/>
  <c r="N875" i="19"/>
  <c r="T874" i="19"/>
  <c r="N874" i="19"/>
  <c r="T873" i="19"/>
  <c r="D872" i="19"/>
  <c r="D871" i="19"/>
  <c r="D869" i="19"/>
  <c r="N868" i="19"/>
  <c r="L860" i="19"/>
  <c r="O859" i="19"/>
  <c r="N859" i="19"/>
  <c r="L859" i="19"/>
  <c r="O858" i="19"/>
  <c r="N858" i="19"/>
  <c r="L858" i="19"/>
  <c r="O857" i="19"/>
  <c r="N857" i="19"/>
  <c r="L857" i="19"/>
  <c r="O856" i="19"/>
  <c r="N856" i="19"/>
  <c r="L856" i="19"/>
  <c r="O855" i="19"/>
  <c r="N855" i="19"/>
  <c r="L855" i="19"/>
  <c r="O854" i="19"/>
  <c r="N854" i="19"/>
  <c r="L854" i="19"/>
  <c r="P851" i="19"/>
  <c r="D850" i="19"/>
  <c r="D848" i="19"/>
  <c r="D836" i="19"/>
  <c r="P833" i="19"/>
  <c r="N832" i="19"/>
  <c r="P831" i="19"/>
  <c r="N830" i="19"/>
  <c r="F830" i="19"/>
  <c r="P829" i="19"/>
  <c r="N828" i="19"/>
  <c r="D828" i="19"/>
  <c r="P827" i="19"/>
  <c r="D827" i="19"/>
  <c r="N826" i="19"/>
  <c r="D826" i="19"/>
  <c r="D825" i="19"/>
  <c r="R820" i="19"/>
  <c r="N819" i="19"/>
  <c r="N817" i="19"/>
  <c r="R815" i="19"/>
  <c r="R814" i="19"/>
  <c r="N812" i="19"/>
  <c r="N811" i="19"/>
  <c r="R810" i="19"/>
  <c r="N810" i="19"/>
  <c r="N802" i="19"/>
  <c r="F801" i="19"/>
  <c r="N800" i="19"/>
  <c r="F798" i="19"/>
  <c r="T796" i="19"/>
  <c r="N796" i="19"/>
  <c r="F796" i="19"/>
  <c r="N795" i="19"/>
  <c r="T790" i="19"/>
  <c r="O790" i="19"/>
  <c r="T789" i="19"/>
  <c r="N789" i="19"/>
  <c r="T788" i="19"/>
  <c r="N788" i="19"/>
  <c r="T787" i="19"/>
  <c r="D786" i="19"/>
  <c r="D785" i="19"/>
  <c r="D783" i="19"/>
  <c r="N782" i="19"/>
  <c r="L774" i="19"/>
  <c r="O773" i="19"/>
  <c r="N773" i="19"/>
  <c r="L773" i="19"/>
  <c r="O772" i="19"/>
  <c r="N772" i="19"/>
  <c r="L772" i="19"/>
  <c r="O771" i="19"/>
  <c r="N771" i="19"/>
  <c r="L771" i="19"/>
  <c r="O770" i="19"/>
  <c r="N770" i="19"/>
  <c r="L770" i="19"/>
  <c r="O769" i="19"/>
  <c r="N769" i="19"/>
  <c r="L769" i="19"/>
  <c r="O768" i="19"/>
  <c r="N768" i="19"/>
  <c r="L768" i="19"/>
  <c r="P765" i="19"/>
  <c r="D764" i="19"/>
  <c r="D762" i="19"/>
  <c r="D750" i="19"/>
  <c r="P747" i="19"/>
  <c r="N746" i="19"/>
  <c r="P745" i="19"/>
  <c r="N744" i="19"/>
  <c r="F744" i="19"/>
  <c r="P743" i="19"/>
  <c r="N742" i="19"/>
  <c r="D742" i="19"/>
  <c r="P741" i="19"/>
  <c r="D741" i="19"/>
  <c r="N740" i="19"/>
  <c r="D740" i="19"/>
  <c r="D739" i="19"/>
  <c r="R734" i="19"/>
  <c r="N733" i="19"/>
  <c r="N731" i="19"/>
  <c r="R729" i="19"/>
  <c r="R728" i="19"/>
  <c r="N726" i="19"/>
  <c r="N725" i="19"/>
  <c r="R724" i="19"/>
  <c r="N724" i="19"/>
  <c r="N716" i="19"/>
  <c r="F715" i="19"/>
  <c r="N714" i="19"/>
  <c r="F712" i="19"/>
  <c r="T710" i="19"/>
  <c r="N710" i="19"/>
  <c r="F710" i="19"/>
  <c r="N709" i="19"/>
  <c r="T704" i="19"/>
  <c r="O704" i="19"/>
  <c r="T703" i="19"/>
  <c r="N703" i="19"/>
  <c r="T702" i="19"/>
  <c r="N702" i="19"/>
  <c r="T701" i="19"/>
  <c r="D700" i="19"/>
  <c r="D699" i="19"/>
  <c r="D697" i="19"/>
  <c r="N696" i="19"/>
  <c r="L688" i="19"/>
  <c r="O687" i="19"/>
  <c r="N687" i="19"/>
  <c r="L687" i="19"/>
  <c r="O686" i="19"/>
  <c r="N686" i="19"/>
  <c r="L686" i="19"/>
  <c r="O685" i="19"/>
  <c r="N685" i="19"/>
  <c r="L685" i="19"/>
  <c r="O684" i="19"/>
  <c r="N684" i="19"/>
  <c r="L684" i="19"/>
  <c r="O683" i="19"/>
  <c r="N683" i="19"/>
  <c r="L683" i="19"/>
  <c r="O682" i="19"/>
  <c r="N682" i="19"/>
  <c r="L682" i="19"/>
  <c r="P679" i="19"/>
  <c r="D678" i="19"/>
  <c r="D676" i="19"/>
  <c r="D664" i="19"/>
  <c r="P661" i="19"/>
  <c r="N660" i="19"/>
  <c r="P659" i="19"/>
  <c r="N658" i="19"/>
  <c r="F658" i="19"/>
  <c r="P657" i="19"/>
  <c r="N656" i="19"/>
  <c r="D656" i="19"/>
  <c r="P655" i="19"/>
  <c r="D655" i="19"/>
  <c r="N654" i="19"/>
  <c r="D654" i="19"/>
  <c r="D653" i="19"/>
  <c r="R648" i="19"/>
  <c r="N647" i="19"/>
  <c r="N645" i="19"/>
  <c r="R643" i="19"/>
  <c r="R642" i="19"/>
  <c r="N640" i="19"/>
  <c r="N639" i="19"/>
  <c r="R638" i="19"/>
  <c r="N638" i="19"/>
  <c r="N630" i="19"/>
  <c r="F629" i="19"/>
  <c r="N628" i="19"/>
  <c r="F626" i="19"/>
  <c r="T624" i="19"/>
  <c r="N624" i="19"/>
  <c r="F624" i="19"/>
  <c r="N623" i="19"/>
  <c r="T618" i="19"/>
  <c r="O618" i="19"/>
  <c r="T617" i="19"/>
  <c r="N617" i="19"/>
  <c r="T616" i="19"/>
  <c r="N616" i="19"/>
  <c r="T615" i="19"/>
  <c r="D614" i="19"/>
  <c r="D613" i="19"/>
  <c r="D611" i="19"/>
  <c r="N610" i="19"/>
  <c r="L602" i="19"/>
  <c r="O601" i="19"/>
  <c r="N601" i="19"/>
  <c r="L601" i="19"/>
  <c r="O600" i="19"/>
  <c r="N600" i="19"/>
  <c r="L600" i="19"/>
  <c r="O599" i="19"/>
  <c r="N599" i="19"/>
  <c r="L599" i="19"/>
  <c r="O598" i="19"/>
  <c r="N598" i="19"/>
  <c r="L598" i="19"/>
  <c r="O597" i="19"/>
  <c r="N597" i="19"/>
  <c r="L597" i="19"/>
  <c r="O596" i="19"/>
  <c r="N596" i="19"/>
  <c r="L596" i="19"/>
  <c r="P593" i="19"/>
  <c r="D592" i="19"/>
  <c r="D590" i="19"/>
  <c r="D578" i="19"/>
  <c r="P575" i="19"/>
  <c r="N574" i="19"/>
  <c r="P573" i="19"/>
  <c r="N572" i="19"/>
  <c r="F572" i="19"/>
  <c r="P571" i="19"/>
  <c r="N570" i="19"/>
  <c r="D570" i="19"/>
  <c r="P569" i="19"/>
  <c r="D569" i="19"/>
  <c r="N568" i="19"/>
  <c r="D568" i="19"/>
  <c r="D567" i="19"/>
  <c r="R562" i="19"/>
  <c r="N561" i="19"/>
  <c r="N559" i="19"/>
  <c r="R557" i="19"/>
  <c r="R556" i="19"/>
  <c r="N554" i="19"/>
  <c r="N553" i="19"/>
  <c r="R552" i="19"/>
  <c r="N552" i="19"/>
  <c r="N544" i="19"/>
  <c r="F543" i="19"/>
  <c r="N542" i="19"/>
  <c r="F540" i="19"/>
  <c r="T538" i="19"/>
  <c r="N538" i="19"/>
  <c r="F538" i="19"/>
  <c r="N537" i="19"/>
  <c r="T532" i="19"/>
  <c r="O532" i="19"/>
  <c r="T531" i="19"/>
  <c r="N531" i="19"/>
  <c r="T530" i="19"/>
  <c r="N530" i="19"/>
  <c r="T529" i="19"/>
  <c r="D528" i="19"/>
  <c r="D527" i="19"/>
  <c r="D525" i="19"/>
  <c r="N524" i="19"/>
  <c r="L516" i="19"/>
  <c r="O515" i="19"/>
  <c r="N515" i="19"/>
  <c r="L515" i="19"/>
  <c r="O514" i="19"/>
  <c r="N514" i="19"/>
  <c r="L514" i="19"/>
  <c r="O513" i="19"/>
  <c r="N513" i="19"/>
  <c r="L513" i="19"/>
  <c r="O512" i="19"/>
  <c r="N512" i="19"/>
  <c r="L512" i="19"/>
  <c r="O511" i="19"/>
  <c r="N511" i="19"/>
  <c r="L511" i="19"/>
  <c r="O510" i="19"/>
  <c r="N510" i="19"/>
  <c r="L510" i="19"/>
  <c r="P507" i="19"/>
  <c r="D506" i="19"/>
  <c r="D504" i="19"/>
  <c r="D492" i="19"/>
  <c r="P489" i="19"/>
  <c r="N488" i="19"/>
  <c r="P487" i="19"/>
  <c r="N486" i="19"/>
  <c r="F486" i="19"/>
  <c r="P485" i="19"/>
  <c r="N484" i="19"/>
  <c r="D484" i="19"/>
  <c r="P483" i="19"/>
  <c r="D483" i="19"/>
  <c r="N482" i="19"/>
  <c r="D482" i="19"/>
  <c r="D481" i="19"/>
  <c r="R476" i="19"/>
  <c r="N475" i="19"/>
  <c r="N473" i="19"/>
  <c r="R471" i="19"/>
  <c r="R470" i="19"/>
  <c r="N468" i="19"/>
  <c r="N467" i="19"/>
  <c r="R466" i="19"/>
  <c r="N466" i="19"/>
  <c r="N458" i="19"/>
  <c r="F457" i="19"/>
  <c r="N456" i="19"/>
  <c r="F454" i="19"/>
  <c r="T452" i="19"/>
  <c r="N452" i="19"/>
  <c r="F452" i="19"/>
  <c r="N451" i="19"/>
  <c r="T446" i="19"/>
  <c r="O446" i="19"/>
  <c r="T445" i="19"/>
  <c r="N445" i="19"/>
  <c r="T444" i="19"/>
  <c r="N444" i="19"/>
  <c r="T443" i="19"/>
  <c r="D442" i="19"/>
  <c r="D441" i="19"/>
  <c r="D439" i="19"/>
  <c r="N438" i="19"/>
  <c r="L430" i="19"/>
  <c r="O429" i="19"/>
  <c r="N429" i="19"/>
  <c r="L429" i="19"/>
  <c r="O428" i="19"/>
  <c r="N428" i="19"/>
  <c r="L428" i="19"/>
  <c r="O427" i="19"/>
  <c r="N427" i="19"/>
  <c r="L427" i="19"/>
  <c r="O426" i="19"/>
  <c r="N426" i="19"/>
  <c r="L426" i="19"/>
  <c r="O425" i="19"/>
  <c r="N425" i="19"/>
  <c r="L425" i="19"/>
  <c r="O424" i="19"/>
  <c r="N424" i="19"/>
  <c r="L424" i="19"/>
  <c r="P421" i="19"/>
  <c r="D420" i="19"/>
  <c r="D418" i="19"/>
  <c r="D406" i="19"/>
  <c r="P403" i="19"/>
  <c r="N402" i="19"/>
  <c r="P401" i="19"/>
  <c r="N400" i="19"/>
  <c r="F400" i="19"/>
  <c r="P399" i="19"/>
  <c r="N398" i="19"/>
  <c r="D398" i="19"/>
  <c r="P397" i="19"/>
  <c r="D397" i="19"/>
  <c r="N396" i="19"/>
  <c r="D396" i="19"/>
  <c r="D395" i="19"/>
  <c r="R390" i="19"/>
  <c r="N389" i="19"/>
  <c r="N387" i="19"/>
  <c r="R385" i="19"/>
  <c r="R384" i="19"/>
  <c r="N382" i="19"/>
  <c r="N381" i="19"/>
  <c r="R380" i="19"/>
  <c r="N380" i="19"/>
  <c r="N372" i="19"/>
  <c r="F371" i="19"/>
  <c r="N370" i="19"/>
  <c r="F368" i="19"/>
  <c r="T366" i="19"/>
  <c r="N366" i="19"/>
  <c r="F366" i="19"/>
  <c r="N365" i="19"/>
  <c r="T360" i="19"/>
  <c r="O360" i="19"/>
  <c r="T359" i="19"/>
  <c r="N359" i="19"/>
  <c r="T358" i="19"/>
  <c r="N358" i="19"/>
  <c r="T357" i="19"/>
  <c r="D356" i="19"/>
  <c r="D355" i="19"/>
  <c r="D353" i="19"/>
  <c r="N352" i="19"/>
  <c r="L344" i="19"/>
  <c r="O343" i="19"/>
  <c r="N343" i="19"/>
  <c r="L343" i="19"/>
  <c r="O342" i="19"/>
  <c r="N342" i="19"/>
  <c r="L342" i="19"/>
  <c r="O341" i="19"/>
  <c r="N341" i="19"/>
  <c r="L341" i="19"/>
  <c r="O340" i="19"/>
  <c r="N340" i="19"/>
  <c r="L340" i="19"/>
  <c r="O339" i="19"/>
  <c r="N339" i="19"/>
  <c r="L339" i="19"/>
  <c r="O338" i="19"/>
  <c r="N338" i="19"/>
  <c r="L338" i="19"/>
  <c r="P335" i="19"/>
  <c r="D334" i="19"/>
  <c r="D332" i="19"/>
  <c r="D320" i="19"/>
  <c r="P317" i="19"/>
  <c r="N316" i="19"/>
  <c r="P315" i="19"/>
  <c r="N314" i="19"/>
  <c r="F314" i="19"/>
  <c r="P313" i="19"/>
  <c r="N312" i="19"/>
  <c r="D312" i="19"/>
  <c r="P311" i="19"/>
  <c r="D311" i="19"/>
  <c r="N310" i="19"/>
  <c r="D310" i="19"/>
  <c r="D309" i="19"/>
  <c r="R304" i="19"/>
  <c r="N303" i="19"/>
  <c r="N301" i="19"/>
  <c r="R299" i="19"/>
  <c r="R298" i="19"/>
  <c r="N296" i="19"/>
  <c r="N295" i="19"/>
  <c r="R294" i="19"/>
  <c r="N294" i="19"/>
  <c r="N286" i="19"/>
  <c r="F285" i="19"/>
  <c r="N284" i="19"/>
  <c r="F282" i="19"/>
  <c r="T280" i="19"/>
  <c r="N280" i="19"/>
  <c r="F280" i="19"/>
  <c r="N279" i="19"/>
  <c r="T274" i="19"/>
  <c r="O274" i="19"/>
  <c r="T273" i="19"/>
  <c r="N273" i="19"/>
  <c r="T272" i="19"/>
  <c r="N272" i="19"/>
  <c r="T271" i="19"/>
  <c r="D270" i="19"/>
  <c r="D269" i="19"/>
  <c r="D267" i="19"/>
  <c r="N266" i="19"/>
  <c r="O79" i="7" l="1"/>
  <c r="O80" i="7"/>
  <c r="O81" i="7"/>
  <c r="O82" i="7"/>
  <c r="O83" i="7"/>
  <c r="O84" i="7"/>
  <c r="L258" i="19" l="1"/>
  <c r="O257" i="19"/>
  <c r="N257" i="19"/>
  <c r="L257" i="19"/>
  <c r="O256" i="19"/>
  <c r="N256" i="19"/>
  <c r="L256" i="19"/>
  <c r="O255" i="19"/>
  <c r="N255" i="19"/>
  <c r="L255" i="19"/>
  <c r="O254" i="19"/>
  <c r="N254" i="19"/>
  <c r="L254" i="19"/>
  <c r="O253" i="19"/>
  <c r="N253" i="19"/>
  <c r="L253" i="19"/>
  <c r="O252" i="19"/>
  <c r="N252" i="19"/>
  <c r="L252" i="19"/>
  <c r="P249" i="19"/>
  <c r="D248" i="19"/>
  <c r="D246" i="19"/>
  <c r="D234" i="19"/>
  <c r="P231" i="19"/>
  <c r="N230" i="19"/>
  <c r="P229" i="19"/>
  <c r="N228" i="19"/>
  <c r="P227" i="19"/>
  <c r="N226" i="19"/>
  <c r="D226" i="19"/>
  <c r="P225" i="19"/>
  <c r="D225" i="19"/>
  <c r="N224" i="19"/>
  <c r="D224" i="19"/>
  <c r="D223" i="19"/>
  <c r="R218" i="19"/>
  <c r="N217" i="19"/>
  <c r="N215" i="19"/>
  <c r="R213" i="19"/>
  <c r="R212" i="19"/>
  <c r="N210" i="19"/>
  <c r="N209" i="19"/>
  <c r="R208" i="19"/>
  <c r="N208" i="19"/>
  <c r="N200" i="19"/>
  <c r="F199" i="19"/>
  <c r="N198" i="19"/>
  <c r="F196" i="19"/>
  <c r="T194" i="19"/>
  <c r="N194" i="19"/>
  <c r="F194" i="19"/>
  <c r="N193" i="19"/>
  <c r="T188" i="19"/>
  <c r="O188" i="19"/>
  <c r="T187" i="19"/>
  <c r="N187" i="19"/>
  <c r="T186" i="19"/>
  <c r="N186" i="19"/>
  <c r="T185" i="19"/>
  <c r="D184" i="19"/>
  <c r="D183" i="19"/>
  <c r="D181" i="19"/>
  <c r="N180" i="19"/>
  <c r="L172" i="19"/>
  <c r="O171" i="19"/>
  <c r="N171" i="19"/>
  <c r="L171" i="19"/>
  <c r="O170" i="19"/>
  <c r="N170" i="19"/>
  <c r="L170" i="19"/>
  <c r="O169" i="19"/>
  <c r="N169" i="19"/>
  <c r="L169" i="19"/>
  <c r="O168" i="19"/>
  <c r="N168" i="19"/>
  <c r="L168" i="19"/>
  <c r="O167" i="19"/>
  <c r="N167" i="19"/>
  <c r="L167" i="19"/>
  <c r="O166" i="19"/>
  <c r="N166" i="19"/>
  <c r="L166" i="19"/>
  <c r="P163" i="19"/>
  <c r="D162" i="19"/>
  <c r="D160" i="19"/>
  <c r="D148" i="19"/>
  <c r="P145" i="19"/>
  <c r="N144" i="19"/>
  <c r="P143" i="19"/>
  <c r="N142" i="19"/>
  <c r="F142" i="19"/>
  <c r="P141" i="19"/>
  <c r="N140" i="19"/>
  <c r="D140" i="19"/>
  <c r="P139" i="19"/>
  <c r="D139" i="19"/>
  <c r="N138" i="19"/>
  <c r="D138" i="19"/>
  <c r="D137" i="19"/>
  <c r="R132" i="19"/>
  <c r="N131" i="19"/>
  <c r="N129" i="19"/>
  <c r="R127" i="19"/>
  <c r="R126" i="19"/>
  <c r="N124" i="19"/>
  <c r="N123" i="19"/>
  <c r="R122" i="19"/>
  <c r="N122" i="19"/>
  <c r="N114" i="19"/>
  <c r="F113" i="19"/>
  <c r="N112" i="19"/>
  <c r="F110" i="19"/>
  <c r="T108" i="19"/>
  <c r="N108" i="19"/>
  <c r="F108" i="19"/>
  <c r="N107" i="19"/>
  <c r="T102" i="19"/>
  <c r="O102" i="19"/>
  <c r="T101" i="19"/>
  <c r="N101" i="19"/>
  <c r="T100" i="19"/>
  <c r="N100" i="19"/>
  <c r="T99" i="19"/>
  <c r="D98" i="19"/>
  <c r="D97" i="19"/>
  <c r="D95" i="19"/>
  <c r="N94" i="19"/>
  <c r="N58" i="19"/>
  <c r="N38" i="19"/>
  <c r="N28" i="19"/>
  <c r="T14" i="19"/>
  <c r="L86" i="19"/>
  <c r="O85" i="19"/>
  <c r="N85" i="19"/>
  <c r="L85" i="19"/>
  <c r="O84" i="19"/>
  <c r="N84" i="19"/>
  <c r="L84" i="19"/>
  <c r="O83" i="19"/>
  <c r="N83" i="19"/>
  <c r="L83" i="19"/>
  <c r="O82" i="19"/>
  <c r="N82" i="19"/>
  <c r="L82" i="19"/>
  <c r="O81" i="19"/>
  <c r="N81" i="19"/>
  <c r="L81" i="19"/>
  <c r="O80" i="19"/>
  <c r="N80" i="19"/>
  <c r="L80" i="19"/>
  <c r="D76" i="19"/>
  <c r="D74" i="19"/>
  <c r="D62" i="19"/>
  <c r="P59" i="19"/>
  <c r="P57" i="19"/>
  <c r="N56" i="19"/>
  <c r="P55" i="19"/>
  <c r="N54" i="19"/>
  <c r="D54" i="19"/>
  <c r="P53" i="19"/>
  <c r="D53" i="19"/>
  <c r="N52" i="19"/>
  <c r="D52" i="19"/>
  <c r="D51" i="19"/>
  <c r="R46" i="19"/>
  <c r="N45" i="19"/>
  <c r="N43" i="19"/>
  <c r="R41" i="19"/>
  <c r="R40" i="19"/>
  <c r="N37" i="19"/>
  <c r="R36" i="19"/>
  <c r="N36" i="19"/>
  <c r="F27" i="19"/>
  <c r="N26" i="19"/>
  <c r="F24" i="19"/>
  <c r="T22" i="19"/>
  <c r="N22" i="19"/>
  <c r="F22" i="19"/>
  <c r="N21" i="19"/>
  <c r="T15" i="19"/>
  <c r="N15" i="19"/>
  <c r="N14" i="19"/>
  <c r="D12" i="19"/>
  <c r="D11" i="19"/>
  <c r="D9" i="19"/>
  <c r="O16" i="19" l="1"/>
  <c r="T13" i="19"/>
  <c r="T16" i="19"/>
  <c r="N8" i="19"/>
  <c r="G60" i="7" l="1"/>
  <c r="G31" i="11" l="1"/>
  <c r="K37" i="11" l="1"/>
  <c r="G239" i="11" l="1"/>
  <c r="AJ37" i="11" l="1"/>
  <c r="AI37" i="11"/>
  <c r="AH37" i="11"/>
  <c r="AG37" i="11"/>
  <c r="AF37" i="11"/>
  <c r="AE37" i="11"/>
  <c r="AD37" i="11"/>
  <c r="AC37" i="11"/>
  <c r="AB37" i="11"/>
  <c r="AA37" i="11"/>
  <c r="Z37" i="11"/>
  <c r="Y37" i="11"/>
  <c r="X37" i="11"/>
  <c r="W37" i="11"/>
  <c r="V37" i="11"/>
  <c r="U37" i="11"/>
  <c r="T37" i="11"/>
  <c r="S37" i="11"/>
  <c r="R37" i="11"/>
  <c r="Q37" i="11"/>
  <c r="P37" i="11"/>
  <c r="O37" i="11"/>
  <c r="N37" i="11"/>
  <c r="M37" i="11"/>
  <c r="L37" i="11"/>
  <c r="J37" i="11"/>
  <c r="I37" i="11"/>
  <c r="H37" i="11"/>
  <c r="G37" i="11"/>
  <c r="H29" i="11"/>
  <c r="H28" i="11"/>
  <c r="I28" i="11" s="1"/>
  <c r="G35" i="11"/>
  <c r="I29" i="11" l="1"/>
  <c r="H35" i="11"/>
  <c r="I35" i="11"/>
  <c r="J28" i="11"/>
  <c r="T21" i="7"/>
  <c r="J29" i="11" l="1"/>
  <c r="K28" i="11"/>
  <c r="J35" i="11"/>
  <c r="K29" i="11" l="1"/>
  <c r="L28" i="11"/>
  <c r="K35" i="11"/>
  <c r="L29" i="11" l="1"/>
  <c r="L35" i="11"/>
  <c r="M28" i="11"/>
  <c r="M29" i="11" l="1"/>
  <c r="M35" i="11"/>
  <c r="N28" i="11"/>
  <c r="N29" i="11" l="1"/>
  <c r="N35" i="11"/>
  <c r="O28" i="11"/>
  <c r="O29" i="11" l="1"/>
  <c r="P28" i="11"/>
  <c r="O35" i="11"/>
  <c r="P29" i="11" l="1"/>
  <c r="P35" i="11"/>
  <c r="Q28" i="11"/>
  <c r="Q29" i="11" l="1"/>
  <c r="Q35" i="11"/>
  <c r="R28" i="11"/>
  <c r="R29" i="11" l="1"/>
  <c r="S28" i="11"/>
  <c r="R35" i="11"/>
  <c r="S29" i="11" l="1"/>
  <c r="T28" i="11"/>
  <c r="S35" i="11"/>
  <c r="T29" i="11" l="1"/>
  <c r="T35" i="11"/>
  <c r="U28" i="11"/>
  <c r="U29" i="11" l="1"/>
  <c r="U35" i="11"/>
  <c r="V28" i="11"/>
  <c r="V29" i="11" l="1"/>
  <c r="V35" i="11"/>
  <c r="W28" i="11"/>
  <c r="W29" i="11" l="1"/>
  <c r="W35" i="11"/>
  <c r="X28" i="11"/>
  <c r="X29" i="11" l="1"/>
  <c r="X35" i="11"/>
  <c r="Y28" i="11"/>
  <c r="Y29" i="11" l="1"/>
  <c r="Y35" i="11"/>
  <c r="Z28" i="11"/>
  <c r="Z29" i="11" l="1"/>
  <c r="AA28" i="11"/>
  <c r="Z35" i="11"/>
  <c r="AA29" i="11" l="1"/>
  <c r="AB28" i="11"/>
  <c r="AA35" i="11"/>
  <c r="AJ162" i="11"/>
  <c r="AI162" i="11"/>
  <c r="AH162" i="11"/>
  <c r="AG162" i="11"/>
  <c r="AF162" i="11"/>
  <c r="AE162" i="11"/>
  <c r="AD162" i="11"/>
  <c r="AC162" i="11"/>
  <c r="AB162" i="11"/>
  <c r="AJ161" i="11"/>
  <c r="AI161" i="11"/>
  <c r="AH161" i="11"/>
  <c r="AG161" i="11"/>
  <c r="AF161" i="11"/>
  <c r="AE161" i="11"/>
  <c r="AD161" i="11"/>
  <c r="AC161" i="11"/>
  <c r="AB161" i="11"/>
  <c r="AA161" i="11"/>
  <c r="Z161" i="11"/>
  <c r="Y161" i="11"/>
  <c r="X161" i="11"/>
  <c r="W161" i="11"/>
  <c r="AJ160" i="11"/>
  <c r="AI160" i="11"/>
  <c r="AH160" i="11"/>
  <c r="AG160" i="11"/>
  <c r="AF160" i="11"/>
  <c r="AE160" i="11"/>
  <c r="AD160" i="11"/>
  <c r="AC160" i="11"/>
  <c r="AB160" i="11"/>
  <c r="AA160" i="11"/>
  <c r="Z160" i="11"/>
  <c r="Y160" i="11"/>
  <c r="X160" i="11"/>
  <c r="W160" i="11"/>
  <c r="V160" i="11"/>
  <c r="U160" i="11"/>
  <c r="T160" i="11"/>
  <c r="S160" i="11"/>
  <c r="R160" i="11"/>
  <c r="Q160" i="11"/>
  <c r="P160" i="11"/>
  <c r="O160" i="11"/>
  <c r="N160" i="11"/>
  <c r="M160" i="11"/>
  <c r="AB29" i="11" l="1"/>
  <c r="AC28" i="11"/>
  <c r="AB35" i="11"/>
  <c r="B129" i="12"/>
  <c r="AC29" i="11" l="1"/>
  <c r="AD28" i="11"/>
  <c r="AC35" i="11"/>
  <c r="H271" i="11"/>
  <c r="H272" i="11"/>
  <c r="H273" i="11"/>
  <c r="H274" i="11"/>
  <c r="H275" i="11"/>
  <c r="H276" i="11"/>
  <c r="H277" i="11"/>
  <c r="H278" i="11"/>
  <c r="H279" i="11"/>
  <c r="H280" i="11"/>
  <c r="L271" i="11"/>
  <c r="L272" i="11"/>
  <c r="L273" i="11"/>
  <c r="L274" i="11"/>
  <c r="L275" i="11"/>
  <c r="L276" i="11"/>
  <c r="L277" i="11"/>
  <c r="L278" i="11"/>
  <c r="L279" i="11"/>
  <c r="L280" i="11"/>
  <c r="P271" i="11"/>
  <c r="P272" i="11"/>
  <c r="P273" i="11"/>
  <c r="P274" i="11"/>
  <c r="P275" i="11"/>
  <c r="P276" i="11"/>
  <c r="P277" i="11"/>
  <c r="P278" i="11"/>
  <c r="P279" i="11"/>
  <c r="P280" i="11"/>
  <c r="Q271" i="11"/>
  <c r="Q272" i="11"/>
  <c r="Q273" i="11"/>
  <c r="Q274" i="11"/>
  <c r="Q275" i="11"/>
  <c r="Q276" i="11"/>
  <c r="Q277" i="11"/>
  <c r="Q278" i="11"/>
  <c r="Q279" i="11"/>
  <c r="Q280" i="11"/>
  <c r="I271" i="11"/>
  <c r="I272" i="11"/>
  <c r="I273" i="11"/>
  <c r="I274" i="11"/>
  <c r="I275" i="11"/>
  <c r="I276" i="11"/>
  <c r="I277" i="11"/>
  <c r="I278" i="11"/>
  <c r="I279" i="11"/>
  <c r="I280" i="11"/>
  <c r="M271" i="11"/>
  <c r="M272" i="11"/>
  <c r="M273" i="11"/>
  <c r="M274" i="11"/>
  <c r="M275" i="11"/>
  <c r="M276" i="11"/>
  <c r="M277" i="11"/>
  <c r="M278" i="11"/>
  <c r="M279" i="11"/>
  <c r="M280" i="11"/>
  <c r="I239" i="11"/>
  <c r="J239" i="11" s="1"/>
  <c r="K239" i="11" s="1"/>
  <c r="L239" i="11" s="1"/>
  <c r="M239" i="11" s="1"/>
  <c r="N239" i="11" s="1"/>
  <c r="O239" i="11" s="1"/>
  <c r="P239" i="11" s="1"/>
  <c r="Q239" i="11" s="1"/>
  <c r="R239" i="11" s="1"/>
  <c r="S239" i="11" s="1"/>
  <c r="T239" i="11" s="1"/>
  <c r="U239" i="11" s="1"/>
  <c r="V239" i="11" s="1"/>
  <c r="W239" i="11" s="1"/>
  <c r="X239" i="11" s="1"/>
  <c r="Y239" i="11" s="1"/>
  <c r="Z239" i="11" s="1"/>
  <c r="AA239" i="11" s="1"/>
  <c r="AB239" i="11" s="1"/>
  <c r="AC239" i="11" s="1"/>
  <c r="AD239" i="11" s="1"/>
  <c r="AE239" i="11" s="1"/>
  <c r="AF239" i="11" s="1"/>
  <c r="AG239" i="11" s="1"/>
  <c r="AH239" i="11" s="1"/>
  <c r="AI239" i="11" s="1"/>
  <c r="AJ239" i="11" s="1"/>
  <c r="B130" i="12"/>
  <c r="B131" i="12" s="1"/>
  <c r="B132" i="12" s="1"/>
  <c r="B133" i="12" s="1"/>
  <c r="B134" i="12" s="1"/>
  <c r="B135" i="12" s="1"/>
  <c r="B136" i="12" s="1"/>
  <c r="B137" i="12" s="1"/>
  <c r="B138" i="12" s="1"/>
  <c r="B139" i="12" s="1"/>
  <c r="B140" i="12" s="1"/>
  <c r="B141" i="12" s="1"/>
  <c r="B142" i="12" s="1"/>
  <c r="B143" i="12" s="1"/>
  <c r="B144" i="12" s="1"/>
  <c r="B145" i="12" s="1"/>
  <c r="B146" i="12" s="1"/>
  <c r="B147" i="12" s="1"/>
  <c r="B148" i="12" s="1"/>
  <c r="B149" i="12" s="1"/>
  <c r="B150" i="12" s="1"/>
  <c r="B151" i="12" s="1"/>
  <c r="B152" i="12" s="1"/>
  <c r="B153" i="12" s="1"/>
  <c r="B154" i="12" s="1"/>
  <c r="B155" i="12" s="1"/>
  <c r="B156" i="12" s="1"/>
  <c r="B157" i="12" s="1"/>
  <c r="B158" i="12" s="1"/>
  <c r="D9" i="9"/>
  <c r="D8" i="9"/>
  <c r="C129" i="12"/>
  <c r="D129" i="12" s="1"/>
  <c r="M120" i="12"/>
  <c r="M116" i="12"/>
  <c r="M117" i="12"/>
  <c r="M118" i="12"/>
  <c r="M119" i="12"/>
  <c r="K120" i="12"/>
  <c r="K116" i="12"/>
  <c r="K117" i="12"/>
  <c r="K118" i="12"/>
  <c r="K119" i="12"/>
  <c r="J120" i="12"/>
  <c r="J116" i="12"/>
  <c r="J117" i="12"/>
  <c r="J118" i="12"/>
  <c r="J119" i="12"/>
  <c r="I120" i="12"/>
  <c r="I116" i="12"/>
  <c r="I117" i="12"/>
  <c r="I118" i="12"/>
  <c r="I119" i="12"/>
  <c r="H120" i="12"/>
  <c r="H116" i="12"/>
  <c r="H117" i="12"/>
  <c r="H118" i="12"/>
  <c r="H119" i="12"/>
  <c r="G120" i="12"/>
  <c r="G116" i="12"/>
  <c r="G117" i="12"/>
  <c r="G118" i="12"/>
  <c r="G119" i="12"/>
  <c r="F120" i="12"/>
  <c r="F116" i="12"/>
  <c r="F117" i="12"/>
  <c r="F118" i="12"/>
  <c r="F119" i="12"/>
  <c r="N119" i="12"/>
  <c r="L119" i="12"/>
  <c r="N118" i="12"/>
  <c r="L118" i="12"/>
  <c r="N117" i="12"/>
  <c r="L117" i="12"/>
  <c r="N116" i="12"/>
  <c r="L116" i="12"/>
  <c r="B105" i="12"/>
  <c r="C101" i="12"/>
  <c r="C119" i="12" s="1"/>
  <c r="B80" i="12"/>
  <c r="C76" i="12"/>
  <c r="C118" i="12" s="1"/>
  <c r="B55" i="12"/>
  <c r="C51" i="12"/>
  <c r="C117" i="12" s="1"/>
  <c r="B30" i="12"/>
  <c r="C26" i="12"/>
  <c r="C116" i="12" s="1"/>
  <c r="B5" i="12"/>
  <c r="B245" i="11"/>
  <c r="B231" i="11"/>
  <c r="AJ111" i="11"/>
  <c r="AI111" i="11"/>
  <c r="AH111" i="11"/>
  <c r="AG111" i="11"/>
  <c r="AF111" i="11"/>
  <c r="AE111" i="11"/>
  <c r="AD111" i="11"/>
  <c r="AC111" i="11"/>
  <c r="AB111" i="11"/>
  <c r="AJ110" i="11"/>
  <c r="AI110" i="11"/>
  <c r="AH110" i="11"/>
  <c r="AG110" i="11"/>
  <c r="AF110" i="11"/>
  <c r="AE110" i="11"/>
  <c r="AD110" i="11"/>
  <c r="AC110" i="11"/>
  <c r="AB110" i="11"/>
  <c r="AA110" i="11"/>
  <c r="Z110" i="11"/>
  <c r="Y110" i="11"/>
  <c r="X110" i="11"/>
  <c r="W110" i="11"/>
  <c r="AJ109" i="11"/>
  <c r="AI109" i="11"/>
  <c r="AH109" i="11"/>
  <c r="AG109" i="11"/>
  <c r="AF109" i="11"/>
  <c r="AE109" i="11"/>
  <c r="AD109" i="11"/>
  <c r="AC109" i="11"/>
  <c r="AB109" i="11"/>
  <c r="AA109" i="11"/>
  <c r="Z109" i="11"/>
  <c r="Y109" i="11"/>
  <c r="X109" i="11"/>
  <c r="W109" i="11"/>
  <c r="V109" i="11"/>
  <c r="U109" i="11"/>
  <c r="T109" i="11"/>
  <c r="S109" i="11"/>
  <c r="R109" i="11"/>
  <c r="Q109" i="11"/>
  <c r="P109" i="11"/>
  <c r="O109" i="11"/>
  <c r="N109" i="11"/>
  <c r="M109" i="11"/>
  <c r="F93" i="11"/>
  <c r="H10" i="11"/>
  <c r="I10" i="11" s="1"/>
  <c r="J10" i="11" s="1"/>
  <c r="K10" i="11" s="1"/>
  <c r="L10" i="11" s="1"/>
  <c r="M10" i="11" s="1"/>
  <c r="N10" i="11" s="1"/>
  <c r="O10" i="11" s="1"/>
  <c r="P10" i="11" s="1"/>
  <c r="Q10" i="11" s="1"/>
  <c r="R10" i="11" s="1"/>
  <c r="S10" i="11" s="1"/>
  <c r="T10" i="11" s="1"/>
  <c r="U10" i="11" s="1"/>
  <c r="V10" i="11" s="1"/>
  <c r="W10" i="11" s="1"/>
  <c r="X10" i="11" s="1"/>
  <c r="Y10" i="11" s="1"/>
  <c r="Z10" i="11" s="1"/>
  <c r="AA10" i="11" s="1"/>
  <c r="AB10" i="11" s="1"/>
  <c r="AC10" i="11" s="1"/>
  <c r="AD10" i="11" s="1"/>
  <c r="AE10" i="11" s="1"/>
  <c r="AF10" i="11" s="1"/>
  <c r="AG10" i="11" s="1"/>
  <c r="AH10" i="11" s="1"/>
  <c r="AI10" i="11" s="1"/>
  <c r="AJ10" i="11" s="1"/>
  <c r="B28" i="9"/>
  <c r="B27" i="9"/>
  <c r="B26" i="9"/>
  <c r="B25" i="9"/>
  <c r="B24" i="9"/>
  <c r="B22" i="9"/>
  <c r="B21" i="9"/>
  <c r="B19" i="9"/>
  <c r="C18" i="9"/>
  <c r="B18" i="9"/>
  <c r="C17" i="9"/>
  <c r="B17" i="9"/>
  <c r="N79" i="7"/>
  <c r="P58" i="7"/>
  <c r="P56" i="7"/>
  <c r="P54" i="7"/>
  <c r="P52" i="7"/>
  <c r="N44" i="7"/>
  <c r="F26" i="7"/>
  <c r="F23" i="7"/>
  <c r="F21" i="7"/>
  <c r="N14" i="7"/>
  <c r="N13" i="7"/>
  <c r="D26" i="12"/>
  <c r="D116" i="12" s="1"/>
  <c r="D121" i="12" s="1"/>
  <c r="C130" i="12"/>
  <c r="D101" i="12"/>
  <c r="D119" i="12" s="1"/>
  <c r="F149" i="12" l="1"/>
  <c r="D149" i="12" s="1"/>
  <c r="F144" i="12"/>
  <c r="D144" i="12" s="1"/>
  <c r="F150" i="12"/>
  <c r="D150" i="12" s="1"/>
  <c r="C131" i="12"/>
  <c r="D130" i="12"/>
  <c r="H130" i="12"/>
  <c r="H131" i="12" s="1"/>
  <c r="H132" i="12" s="1"/>
  <c r="H133" i="12" s="1"/>
  <c r="H134" i="12" s="1"/>
  <c r="H135" i="12" s="1"/>
  <c r="H136" i="12" s="1"/>
  <c r="H137" i="12" s="1"/>
  <c r="H138" i="12" s="1"/>
  <c r="H139" i="12" s="1"/>
  <c r="H140" i="12" s="1"/>
  <c r="H141" i="12" s="1"/>
  <c r="H142" i="12" s="1"/>
  <c r="H143" i="12" s="1"/>
  <c r="H144" i="12" s="1"/>
  <c r="H145" i="12" s="1"/>
  <c r="H146" i="12" s="1"/>
  <c r="H147" i="12" s="1"/>
  <c r="H148" i="12" s="1"/>
  <c r="H149" i="12" s="1"/>
  <c r="H150" i="12" s="1"/>
  <c r="H151" i="12" s="1"/>
  <c r="H152" i="12" s="1"/>
  <c r="H153" i="12" s="1"/>
  <c r="H154" i="12" s="1"/>
  <c r="H155" i="12" s="1"/>
  <c r="H156" i="12" s="1"/>
  <c r="H157" i="12" s="1"/>
  <c r="H158" i="12" s="1"/>
  <c r="H159" i="12" s="1"/>
  <c r="H160" i="12" s="1"/>
  <c r="F129" i="12"/>
  <c r="F130" i="12"/>
  <c r="F131" i="12"/>
  <c r="AD29" i="11"/>
  <c r="AE28" i="11"/>
  <c r="AD35" i="11"/>
  <c r="D76" i="12"/>
  <c r="D118" i="12" s="1"/>
  <c r="D51" i="12"/>
  <c r="D117" i="12" s="1"/>
  <c r="G121" i="12"/>
  <c r="M121" i="12"/>
  <c r="I121" i="12"/>
  <c r="F121" i="12"/>
  <c r="K121" i="12"/>
  <c r="H121" i="12"/>
  <c r="J121" i="12"/>
  <c r="H8" i="11"/>
  <c r="I8" i="11" s="1"/>
  <c r="J8" i="11" s="1"/>
  <c r="K8" i="11" s="1"/>
  <c r="L8" i="11" s="1"/>
  <c r="M8" i="11" s="1"/>
  <c r="N8" i="11" s="1"/>
  <c r="O8" i="11" s="1"/>
  <c r="P8" i="11" s="1"/>
  <c r="Q8" i="11" s="1"/>
  <c r="R8" i="11" s="1"/>
  <c r="S8" i="11" s="1"/>
  <c r="T8" i="11" s="1"/>
  <c r="U8" i="11" s="1"/>
  <c r="V8" i="11" s="1"/>
  <c r="W8" i="11" s="1"/>
  <c r="X8" i="11" s="1"/>
  <c r="Y8" i="11" s="1"/>
  <c r="Z8" i="11" s="1"/>
  <c r="AA8" i="11" s="1"/>
  <c r="AB8" i="11" s="1"/>
  <c r="AC8" i="11" s="1"/>
  <c r="AD8" i="11" s="1"/>
  <c r="AE8" i="11" s="1"/>
  <c r="AF8" i="11" s="1"/>
  <c r="AG8" i="11" s="1"/>
  <c r="AH8" i="11" s="1"/>
  <c r="AI8" i="11" s="1"/>
  <c r="AJ8" i="11" s="1"/>
  <c r="F13" i="11"/>
  <c r="F12" i="11" s="1"/>
  <c r="J280" i="11"/>
  <c r="J270" i="11"/>
  <c r="C132" i="12" l="1"/>
  <c r="D131" i="12"/>
  <c r="AE29" i="11"/>
  <c r="J271" i="11"/>
  <c r="AF28" i="11"/>
  <c r="AE35" i="11"/>
  <c r="AG28" i="11" l="1"/>
  <c r="AF35" i="11"/>
  <c r="C133" i="12"/>
  <c r="D132" i="12"/>
  <c r="F132" i="12"/>
  <c r="AF29" i="11"/>
  <c r="J272" i="11"/>
  <c r="AH28" i="11" l="1"/>
  <c r="AG35" i="11"/>
  <c r="C134" i="12"/>
  <c r="D133" i="12"/>
  <c r="F133" i="12"/>
  <c r="AG29" i="11"/>
  <c r="J273" i="11"/>
  <c r="AI28" i="11" l="1"/>
  <c r="AH35" i="11"/>
  <c r="C135" i="12"/>
  <c r="D134" i="12"/>
  <c r="F134" i="12"/>
  <c r="AH29" i="11"/>
  <c r="J274" i="11"/>
  <c r="AJ28" i="11" l="1"/>
  <c r="AJ35" i="11" s="1"/>
  <c r="AI35" i="11"/>
  <c r="C136" i="12"/>
  <c r="D135" i="12"/>
  <c r="F135" i="12"/>
  <c r="AI29" i="11"/>
  <c r="AJ29" i="11" s="1"/>
  <c r="J275" i="11"/>
  <c r="C137" i="12" l="1"/>
  <c r="D136" i="12"/>
  <c r="F136" i="12"/>
  <c r="J276" i="11"/>
  <c r="C138" i="12" l="1"/>
  <c r="D137" i="12"/>
  <c r="F137" i="12"/>
  <c r="J277" i="11"/>
  <c r="C139" i="12" l="1"/>
  <c r="D138" i="12"/>
  <c r="F138" i="12"/>
  <c r="J278" i="11"/>
  <c r="H27" i="11"/>
  <c r="I27" i="11" s="1"/>
  <c r="J27" i="11" s="1"/>
  <c r="K27" i="11" s="1"/>
  <c r="L27" i="11" s="1"/>
  <c r="M27" i="11" s="1"/>
  <c r="N27" i="11" s="1"/>
  <c r="O27" i="11" s="1"/>
  <c r="P27" i="11" s="1"/>
  <c r="Q27" i="11" s="1"/>
  <c r="R27" i="11" s="1"/>
  <c r="S27" i="11" s="1"/>
  <c r="T27" i="11" s="1"/>
  <c r="U27" i="11" s="1"/>
  <c r="V27" i="11" s="1"/>
  <c r="W27" i="11" s="1"/>
  <c r="X27" i="11" s="1"/>
  <c r="Y27" i="11" s="1"/>
  <c r="Z27" i="11" s="1"/>
  <c r="AA27" i="11" s="1"/>
  <c r="AB27" i="11" s="1"/>
  <c r="AC27" i="11" s="1"/>
  <c r="AD27" i="11" s="1"/>
  <c r="AE27" i="11" s="1"/>
  <c r="AF27" i="11" s="1"/>
  <c r="AG27" i="11" s="1"/>
  <c r="AH27" i="11" s="1"/>
  <c r="AI27" i="11" s="1"/>
  <c r="AJ27" i="11" s="1"/>
  <c r="Q231" i="11"/>
  <c r="N35" i="7"/>
  <c r="D53" i="7"/>
  <c r="H9" i="11"/>
  <c r="I9" i="11" s="1"/>
  <c r="J9" i="11" s="1"/>
  <c r="K9" i="11" s="1"/>
  <c r="L9" i="11" s="1"/>
  <c r="M9" i="11" s="1"/>
  <c r="N9" i="11" s="1"/>
  <c r="O9" i="11" s="1"/>
  <c r="P9" i="11" s="1"/>
  <c r="Q9" i="11" s="1"/>
  <c r="R9" i="11" s="1"/>
  <c r="S9" i="11" s="1"/>
  <c r="T9" i="11" s="1"/>
  <c r="U9" i="11" s="1"/>
  <c r="V9" i="11" s="1"/>
  <c r="W9" i="11" s="1"/>
  <c r="X9" i="11" s="1"/>
  <c r="Y9" i="11" s="1"/>
  <c r="Z9" i="11" s="1"/>
  <c r="AA9" i="11" s="1"/>
  <c r="AB9" i="11" s="1"/>
  <c r="AC9" i="11" s="1"/>
  <c r="AD9" i="11" s="1"/>
  <c r="AE9" i="11" s="1"/>
  <c r="AF9" i="11" s="1"/>
  <c r="AG9" i="11" s="1"/>
  <c r="AH9" i="11" s="1"/>
  <c r="AI9" i="11" s="1"/>
  <c r="AJ9" i="11" s="1"/>
  <c r="C108" i="12"/>
  <c r="N36" i="7"/>
  <c r="N21" i="7"/>
  <c r="D73" i="7"/>
  <c r="D75" i="7"/>
  <c r="N27" i="7"/>
  <c r="N20" i="7"/>
  <c r="H26" i="11"/>
  <c r="C140" i="12" l="1"/>
  <c r="D139" i="12"/>
  <c r="Q16" i="11" s="1"/>
  <c r="F139" i="12"/>
  <c r="I26" i="11"/>
  <c r="H31" i="11"/>
  <c r="J279" i="11"/>
  <c r="N270" i="11" s="1"/>
  <c r="N280" i="11"/>
  <c r="AB36" i="11"/>
  <c r="AG34" i="11"/>
  <c r="AI34" i="11"/>
  <c r="G34" i="11"/>
  <c r="AF34" i="11"/>
  <c r="AH34" i="11"/>
  <c r="AJ34" i="11"/>
  <c r="Y34" i="11"/>
  <c r="O34" i="11"/>
  <c r="S34" i="11"/>
  <c r="AD34" i="11"/>
  <c r="V34" i="11"/>
  <c r="T34" i="11"/>
  <c r="L34" i="11"/>
  <c r="AA34" i="11"/>
  <c r="I34" i="11"/>
  <c r="AC34" i="11"/>
  <c r="K34" i="11"/>
  <c r="Z34" i="11"/>
  <c r="M34" i="11"/>
  <c r="J34" i="11"/>
  <c r="X34" i="11"/>
  <c r="P34" i="11"/>
  <c r="H34" i="11"/>
  <c r="AE34" i="11"/>
  <c r="U34" i="11"/>
  <c r="R34" i="11"/>
  <c r="AB34" i="11"/>
  <c r="Q34" i="11"/>
  <c r="W34" i="11"/>
  <c r="N34" i="11"/>
  <c r="D30" i="9"/>
  <c r="D31" i="9" s="1"/>
  <c r="AH18" i="11"/>
  <c r="U18" i="11"/>
  <c r="I18" i="11"/>
  <c r="S18" i="11"/>
  <c r="AI18" i="11"/>
  <c r="AC18" i="11"/>
  <c r="AJ18" i="11"/>
  <c r="AF18" i="11"/>
  <c r="Q18" i="11"/>
  <c r="H18" i="11"/>
  <c r="G18" i="11"/>
  <c r="Y18" i="11"/>
  <c r="AB18" i="11"/>
  <c r="AG18" i="11"/>
  <c r="J18" i="11"/>
  <c r="AE18" i="11"/>
  <c r="R18" i="11"/>
  <c r="T18" i="11"/>
  <c r="X18" i="11"/>
  <c r="Z18" i="11"/>
  <c r="AA18" i="11"/>
  <c r="K18" i="11"/>
  <c r="W18" i="11"/>
  <c r="L18" i="11"/>
  <c r="N18" i="11"/>
  <c r="M18" i="11"/>
  <c r="V18" i="11"/>
  <c r="P18" i="11"/>
  <c r="AD18" i="11"/>
  <c r="O18" i="11"/>
  <c r="O234" i="11"/>
  <c r="R231" i="11"/>
  <c r="N231" i="11"/>
  <c r="W234" i="11"/>
  <c r="K231" i="11"/>
  <c r="K233" i="11"/>
  <c r="W231" i="11"/>
  <c r="AI234" i="11"/>
  <c r="X231" i="11"/>
  <c r="Y233" i="11"/>
  <c r="Z231" i="11"/>
  <c r="AC234" i="11"/>
  <c r="AG233" i="11"/>
  <c r="AH233" i="11"/>
  <c r="AF231" i="11"/>
  <c r="R233" i="11"/>
  <c r="S234" i="11"/>
  <c r="Z234" i="11"/>
  <c r="L231" i="11"/>
  <c r="AC231" i="11"/>
  <c r="K235" i="11"/>
  <c r="AG234" i="11"/>
  <c r="C107" i="12"/>
  <c r="L120" i="12" s="1"/>
  <c r="L121" i="12" s="1"/>
  <c r="N84" i="7"/>
  <c r="M233" i="11"/>
  <c r="AI235" i="11"/>
  <c r="J234" i="11"/>
  <c r="AB233" i="11"/>
  <c r="AH234" i="11"/>
  <c r="AD234" i="11"/>
  <c r="Q234" i="11"/>
  <c r="G235" i="11"/>
  <c r="AA233" i="11"/>
  <c r="V234" i="11"/>
  <c r="AG235" i="11"/>
  <c r="X234" i="11"/>
  <c r="AD231" i="11"/>
  <c r="AJ233" i="11"/>
  <c r="V235" i="11"/>
  <c r="AE233" i="11"/>
  <c r="AI233" i="11"/>
  <c r="I231" i="11"/>
  <c r="I233" i="11"/>
  <c r="Y231" i="11"/>
  <c r="U231" i="11"/>
  <c r="S233" i="11"/>
  <c r="T235" i="11"/>
  <c r="N37" i="7"/>
  <c r="N83" i="7"/>
  <c r="N81" i="7"/>
  <c r="N82" i="7"/>
  <c r="AB234" i="11"/>
  <c r="AC235" i="11"/>
  <c r="S231" i="11"/>
  <c r="N234" i="11"/>
  <c r="L233" i="11"/>
  <c r="L235" i="11"/>
  <c r="Y234" i="11"/>
  <c r="H233" i="11"/>
  <c r="I235" i="11"/>
  <c r="T233" i="11"/>
  <c r="X233" i="11"/>
  <c r="AD235" i="11"/>
  <c r="J231" i="11"/>
  <c r="M234" i="11"/>
  <c r="AE235" i="11"/>
  <c r="AA235" i="11"/>
  <c r="AF233" i="11"/>
  <c r="AE234" i="11"/>
  <c r="K234" i="11"/>
  <c r="R234" i="11"/>
  <c r="R235" i="11"/>
  <c r="X235" i="11"/>
  <c r="M235" i="11"/>
  <c r="G234" i="11"/>
  <c r="AA231" i="11"/>
  <c r="T231" i="11"/>
  <c r="AA234" i="11"/>
  <c r="AD233" i="11"/>
  <c r="H234" i="11"/>
  <c r="M231" i="11"/>
  <c r="J233" i="11"/>
  <c r="AJ231" i="11"/>
  <c r="V233" i="11"/>
  <c r="W233" i="11"/>
  <c r="AH235" i="11"/>
  <c r="U235" i="11"/>
  <c r="AB235" i="11"/>
  <c r="Q235" i="11"/>
  <c r="O235" i="11"/>
  <c r="J235" i="11"/>
  <c r="Q28" i="7"/>
  <c r="L234" i="11"/>
  <c r="AB231" i="11"/>
  <c r="AJ235" i="11"/>
  <c r="AG231" i="11"/>
  <c r="P234" i="11"/>
  <c r="F65" i="11"/>
  <c r="V231" i="11"/>
  <c r="T234" i="11"/>
  <c r="AE231" i="11"/>
  <c r="N235" i="11"/>
  <c r="Z233" i="11"/>
  <c r="P231" i="11"/>
  <c r="P233" i="11"/>
  <c r="H235" i="11"/>
  <c r="AJ234" i="11"/>
  <c r="AC233" i="11"/>
  <c r="Z235" i="11"/>
  <c r="O231" i="11"/>
  <c r="Y235" i="11"/>
  <c r="P235" i="11"/>
  <c r="W235" i="11"/>
  <c r="AF235" i="11"/>
  <c r="O233" i="11"/>
  <c r="AH231" i="11"/>
  <c r="H231" i="11"/>
  <c r="U234" i="11"/>
  <c r="Q233" i="11"/>
  <c r="I234" i="11"/>
  <c r="AF234" i="11"/>
  <c r="N233" i="11"/>
  <c r="S235" i="11"/>
  <c r="U233" i="11"/>
  <c r="AI231" i="11"/>
  <c r="N25" i="7"/>
  <c r="H4" i="11"/>
  <c r="I4" i="11" s="1"/>
  <c r="J4" i="11" s="1"/>
  <c r="K4" i="11" s="1"/>
  <c r="L4" i="11" s="1"/>
  <c r="M4" i="11" s="1"/>
  <c r="N4" i="11" s="1"/>
  <c r="O4" i="11" s="1"/>
  <c r="P4" i="11" s="1"/>
  <c r="Q4" i="11" s="1"/>
  <c r="R4" i="11" s="1"/>
  <c r="S4" i="11" s="1"/>
  <c r="T4" i="11" s="1"/>
  <c r="U4" i="11" s="1"/>
  <c r="V4" i="11" s="1"/>
  <c r="W4" i="11" s="1"/>
  <c r="X4" i="11" s="1"/>
  <c r="Y4" i="11" s="1"/>
  <c r="Z4" i="11" s="1"/>
  <c r="AA4" i="11" s="1"/>
  <c r="AB4" i="11" s="1"/>
  <c r="AC4" i="11" s="1"/>
  <c r="AD4" i="11" s="1"/>
  <c r="AE4" i="11" s="1"/>
  <c r="AF4" i="11" s="1"/>
  <c r="AG4" i="11" s="1"/>
  <c r="AH4" i="11" s="1"/>
  <c r="AI4" i="11" s="1"/>
  <c r="AJ4" i="11" s="1"/>
  <c r="D10" i="7"/>
  <c r="R255" i="11"/>
  <c r="AF255" i="11"/>
  <c r="AE93" i="11"/>
  <c r="AH93" i="11"/>
  <c r="AA93" i="11"/>
  <c r="Y255" i="11"/>
  <c r="AC93" i="11"/>
  <c r="W255" i="11"/>
  <c r="I255" i="11"/>
  <c r="AH92" i="11"/>
  <c r="AJ255" i="11"/>
  <c r="M255" i="11"/>
  <c r="L255" i="11"/>
  <c r="AD93" i="11"/>
  <c r="AB255" i="11"/>
  <c r="AB93" i="11"/>
  <c r="AJ93" i="11"/>
  <c r="AD255" i="11"/>
  <c r="AA92" i="11"/>
  <c r="AE255" i="11"/>
  <c r="H255" i="11"/>
  <c r="AH255" i="11"/>
  <c r="AG92" i="11"/>
  <c r="AC255" i="11"/>
  <c r="AG93" i="11"/>
  <c r="X255" i="11"/>
  <c r="AI92" i="11"/>
  <c r="AI255" i="11"/>
  <c r="K255" i="11"/>
  <c r="AB92" i="11"/>
  <c r="AG255" i="11"/>
  <c r="P255" i="11"/>
  <c r="D51" i="7"/>
  <c r="AD92" i="11"/>
  <c r="AE92" i="11"/>
  <c r="Z255" i="11"/>
  <c r="O255" i="11"/>
  <c r="N255" i="11"/>
  <c r="AF93" i="11"/>
  <c r="AJ92" i="11"/>
  <c r="AF92" i="11"/>
  <c r="J255" i="11"/>
  <c r="AC92" i="11"/>
  <c r="AI93" i="11"/>
  <c r="H20" i="11"/>
  <c r="W20" i="11"/>
  <c r="R20" i="11"/>
  <c r="P20" i="11"/>
  <c r="R40" i="7"/>
  <c r="Q20" i="11"/>
  <c r="Z20" i="11"/>
  <c r="AJ20" i="11"/>
  <c r="AH20" i="11"/>
  <c r="AC20" i="11"/>
  <c r="R39" i="7"/>
  <c r="K20" i="11"/>
  <c r="M20" i="11"/>
  <c r="AE20" i="11"/>
  <c r="AF20" i="11"/>
  <c r="AD20" i="11"/>
  <c r="R45" i="7"/>
  <c r="Y20" i="11"/>
  <c r="J20" i="11"/>
  <c r="I20" i="11"/>
  <c r="AG20" i="11"/>
  <c r="T20" i="11"/>
  <c r="AI20" i="11"/>
  <c r="O20" i="11"/>
  <c r="S20" i="11"/>
  <c r="AB20" i="11"/>
  <c r="N20" i="11"/>
  <c r="R35" i="7"/>
  <c r="AA20" i="11"/>
  <c r="G20" i="11"/>
  <c r="L20" i="11"/>
  <c r="U20" i="11"/>
  <c r="X20" i="11"/>
  <c r="V20" i="11"/>
  <c r="AA247" i="11"/>
  <c r="O248" i="11"/>
  <c r="I249" i="11"/>
  <c r="AH247" i="11"/>
  <c r="AA248" i="11"/>
  <c r="T249" i="11"/>
  <c r="AI248" i="11"/>
  <c r="AF247" i="11"/>
  <c r="V248" i="11"/>
  <c r="AH245" i="11"/>
  <c r="P245" i="11"/>
  <c r="H247" i="11"/>
  <c r="AI247" i="11"/>
  <c r="X248" i="11"/>
  <c r="Q245" i="11"/>
  <c r="AC248" i="11"/>
  <c r="J248" i="11"/>
  <c r="Y249" i="11"/>
  <c r="N249" i="11"/>
  <c r="U248" i="11"/>
  <c r="Q249" i="11"/>
  <c r="AB245" i="11"/>
  <c r="L247" i="11"/>
  <c r="J249" i="11"/>
  <c r="AD247" i="11"/>
  <c r="M248" i="11"/>
  <c r="M249" i="11"/>
  <c r="U249" i="11"/>
  <c r="O245" i="11"/>
  <c r="Y247" i="11"/>
  <c r="N245" i="11"/>
  <c r="X247" i="11"/>
  <c r="AF249" i="11"/>
  <c r="AJ248" i="11"/>
  <c r="K247" i="11"/>
  <c r="AB247" i="11"/>
  <c r="AH248" i="11"/>
  <c r="AJ249" i="11"/>
  <c r="X245" i="11"/>
  <c r="Y248" i="11"/>
  <c r="AC247" i="11"/>
  <c r="R245" i="11"/>
  <c r="AE245" i="11"/>
  <c r="P247" i="11"/>
  <c r="P248" i="11"/>
  <c r="N248" i="11"/>
  <c r="H249" i="11"/>
  <c r="K248" i="11"/>
  <c r="AG249" i="11"/>
  <c r="W248" i="11"/>
  <c r="H248" i="11"/>
  <c r="S245" i="11"/>
  <c r="AC249" i="11"/>
  <c r="Q247" i="11"/>
  <c r="Z245" i="11"/>
  <c r="I247" i="11"/>
  <c r="H245" i="11"/>
  <c r="N247" i="11"/>
  <c r="AJ247" i="11"/>
  <c r="G245" i="11"/>
  <c r="T245" i="11"/>
  <c r="W249" i="11"/>
  <c r="O247" i="11"/>
  <c r="U245" i="11"/>
  <c r="AG247" i="11"/>
  <c r="L248" i="11"/>
  <c r="AD249" i="11"/>
  <c r="I248" i="11"/>
  <c r="Y245" i="11"/>
  <c r="R247" i="11"/>
  <c r="G249" i="11"/>
  <c r="S247" i="11"/>
  <c r="AB248" i="11"/>
  <c r="J245" i="11"/>
  <c r="F66" i="11"/>
  <c r="S248" i="11"/>
  <c r="T247" i="11"/>
  <c r="L249" i="11"/>
  <c r="W247" i="11"/>
  <c r="Z249" i="11"/>
  <c r="W245" i="11"/>
  <c r="AA249" i="11"/>
  <c r="AB249" i="11"/>
  <c r="P249" i="11"/>
  <c r="AE247" i="11"/>
  <c r="AE249" i="11"/>
  <c r="M247" i="11"/>
  <c r="AI249" i="11"/>
  <c r="O249" i="11"/>
  <c r="Z248" i="11"/>
  <c r="R249" i="11"/>
  <c r="R248" i="11"/>
  <c r="K249" i="11"/>
  <c r="AG248" i="11"/>
  <c r="AD248" i="11"/>
  <c r="I245" i="11"/>
  <c r="AD245" i="11"/>
  <c r="Z247" i="11"/>
  <c r="AJ245" i="11"/>
  <c r="AA245" i="11"/>
  <c r="G248" i="11"/>
  <c r="AG245" i="11"/>
  <c r="AE248" i="11"/>
  <c r="V245" i="11"/>
  <c r="AH249" i="11"/>
  <c r="AF248" i="11"/>
  <c r="V247" i="11"/>
  <c r="AF245" i="11"/>
  <c r="Q248" i="11"/>
  <c r="X249" i="11"/>
  <c r="AI245" i="11"/>
  <c r="M245" i="11"/>
  <c r="K245" i="11"/>
  <c r="J247" i="11"/>
  <c r="U247" i="11"/>
  <c r="V249" i="11"/>
  <c r="AC245" i="11"/>
  <c r="T248" i="11"/>
  <c r="L245" i="11"/>
  <c r="S249" i="11"/>
  <c r="F87" i="11"/>
  <c r="D24" i="9"/>
  <c r="D26" i="9"/>
  <c r="AH44" i="11"/>
  <c r="AC44" i="11"/>
  <c r="AB44" i="11"/>
  <c r="AI44" i="11"/>
  <c r="P35" i="10" s="1"/>
  <c r="AD44" i="11"/>
  <c r="AE44" i="11"/>
  <c r="AJ44" i="11"/>
  <c r="P36" i="10" s="1"/>
  <c r="AG44" i="11"/>
  <c r="AA44" i="11"/>
  <c r="D50" i="7"/>
  <c r="AF44" i="11"/>
  <c r="C106" i="12"/>
  <c r="D52" i="7"/>
  <c r="D27" i="9"/>
  <c r="D32" i="9"/>
  <c r="D61" i="7"/>
  <c r="D25" i="9"/>
  <c r="B78" i="11"/>
  <c r="D8" i="7"/>
  <c r="D18" i="9"/>
  <c r="X187" i="11"/>
  <c r="J187" i="11"/>
  <c r="L187" i="11"/>
  <c r="Y138" i="11"/>
  <c r="N138" i="11"/>
  <c r="T138" i="11"/>
  <c r="AF187" i="11"/>
  <c r="S187" i="11"/>
  <c r="AC187" i="11"/>
  <c r="J138" i="11"/>
  <c r="AJ258" i="11"/>
  <c r="AF258" i="11"/>
  <c r="H187" i="11"/>
  <c r="AA187" i="11"/>
  <c r="G187" i="11"/>
  <c r="G188" i="11" s="1"/>
  <c r="G189" i="11" s="1"/>
  <c r="Q138" i="11"/>
  <c r="AC258" i="11"/>
  <c r="X138" i="11"/>
  <c r="AA138" i="11"/>
  <c r="I138" i="11"/>
  <c r="P187" i="11"/>
  <c r="AI187" i="11"/>
  <c r="M187" i="11"/>
  <c r="K138" i="11"/>
  <c r="AI138" i="11"/>
  <c r="G138" i="11"/>
  <c r="G139" i="11" s="1"/>
  <c r="AH258" i="11"/>
  <c r="AG258" i="11"/>
  <c r="N187" i="11"/>
  <c r="Y187" i="11"/>
  <c r="K187" i="11"/>
  <c r="V187" i="11"/>
  <c r="AA258" i="11"/>
  <c r="L138" i="11"/>
  <c r="AD258" i="11"/>
  <c r="AJ138" i="11"/>
  <c r="O138" i="11"/>
  <c r="W187" i="11"/>
  <c r="AG187" i="11"/>
  <c r="T187" i="11"/>
  <c r="AD187" i="11"/>
  <c r="AE258" i="11"/>
  <c r="AB258" i="11"/>
  <c r="G258" i="11"/>
  <c r="AB138" i="11"/>
  <c r="AC138" i="11"/>
  <c r="V138" i="11"/>
  <c r="O187" i="11"/>
  <c r="AJ187" i="11"/>
  <c r="AH187" i="11"/>
  <c r="AG138" i="11"/>
  <c r="W138" i="11"/>
  <c r="P138" i="11"/>
  <c r="AI258" i="11"/>
  <c r="S138" i="11"/>
  <c r="AE187" i="11"/>
  <c r="I187" i="11"/>
  <c r="AB187" i="11"/>
  <c r="H138" i="11"/>
  <c r="Q187" i="11"/>
  <c r="AH138" i="11"/>
  <c r="AD138" i="11"/>
  <c r="AE138" i="11"/>
  <c r="AF138" i="11"/>
  <c r="M138" i="11"/>
  <c r="N53" i="7"/>
  <c r="G24" i="7"/>
  <c r="I16" i="11"/>
  <c r="L16" i="11"/>
  <c r="O16" i="11"/>
  <c r="H16" i="11"/>
  <c r="J16" i="11"/>
  <c r="K16" i="11"/>
  <c r="M16" i="11"/>
  <c r="AE261" i="11"/>
  <c r="N16" i="11"/>
  <c r="P16" i="11"/>
  <c r="U190" i="11"/>
  <c r="AE190" i="11"/>
  <c r="Z190" i="11"/>
  <c r="AB190" i="11"/>
  <c r="U141" i="11"/>
  <c r="AD259" i="11"/>
  <c r="N141" i="11"/>
  <c r="AE141" i="11"/>
  <c r="T141" i="11"/>
  <c r="AC190" i="11"/>
  <c r="O190" i="11"/>
  <c r="AH190" i="11"/>
  <c r="AJ190" i="11"/>
  <c r="AI259" i="11"/>
  <c r="AB259" i="11"/>
  <c r="Q141" i="11"/>
  <c r="AG141" i="11"/>
  <c r="AF141" i="11"/>
  <c r="AG259" i="11"/>
  <c r="G190" i="11"/>
  <c r="G191" i="11" s="1"/>
  <c r="G192" i="11" s="1"/>
  <c r="H190" i="11"/>
  <c r="J190" i="11"/>
  <c r="AF190" i="11"/>
  <c r="Y259" i="11"/>
  <c r="V141" i="11"/>
  <c r="AB141" i="11"/>
  <c r="Z259" i="11"/>
  <c r="O141" i="11"/>
  <c r="J141" i="11"/>
  <c r="M190" i="11"/>
  <c r="P190" i="11"/>
  <c r="S190" i="11"/>
  <c r="AI141" i="11"/>
  <c r="AH141" i="11"/>
  <c r="AF259" i="11"/>
  <c r="AD141" i="11"/>
  <c r="AC259" i="11"/>
  <c r="V190" i="11"/>
  <c r="Y190" i="11"/>
  <c r="AA190" i="11"/>
  <c r="AC141" i="11"/>
  <c r="AA141" i="11"/>
  <c r="K141" i="11"/>
  <c r="I141" i="11"/>
  <c r="Y141" i="11"/>
  <c r="AD190" i="11"/>
  <c r="AG190" i="11"/>
  <c r="AI190" i="11"/>
  <c r="H141" i="11"/>
  <c r="AJ259" i="11"/>
  <c r="P141" i="11"/>
  <c r="Z141" i="11"/>
  <c r="G141" i="11"/>
  <c r="G142" i="11" s="1"/>
  <c r="L190" i="11"/>
  <c r="W190" i="11"/>
  <c r="Q190" i="11"/>
  <c r="T190" i="11"/>
  <c r="AA259" i="11"/>
  <c r="AJ141" i="11"/>
  <c r="S141" i="11"/>
  <c r="AE259" i="11"/>
  <c r="N55" i="7"/>
  <c r="AH259" i="11"/>
  <c r="N190" i="11"/>
  <c r="W141" i="11"/>
  <c r="I190" i="11"/>
  <c r="L141" i="11"/>
  <c r="K190" i="11"/>
  <c r="M141" i="11"/>
  <c r="G259" i="11"/>
  <c r="N225" i="11"/>
  <c r="M240" i="11"/>
  <c r="M242" i="11" s="1"/>
  <c r="M71" i="11" s="1"/>
  <c r="AC226" i="11"/>
  <c r="L84" i="7"/>
  <c r="AG240" i="11"/>
  <c r="AG242" i="11" s="1"/>
  <c r="AG71" i="11" s="1"/>
  <c r="V226" i="11"/>
  <c r="Y225" i="11"/>
  <c r="AJ225" i="11"/>
  <c r="Q225" i="11"/>
  <c r="L79" i="7"/>
  <c r="AJ240" i="11"/>
  <c r="AJ242" i="11" s="1"/>
  <c r="AJ71" i="11" s="1"/>
  <c r="AE226" i="11"/>
  <c r="N240" i="11"/>
  <c r="N242" i="11" s="1"/>
  <c r="N71" i="11" s="1"/>
  <c r="R226" i="11"/>
  <c r="AH240" i="11"/>
  <c r="AH242" i="11" s="1"/>
  <c r="AH71" i="11" s="1"/>
  <c r="I225" i="11"/>
  <c r="AB225" i="11"/>
  <c r="X226" i="11"/>
  <c r="AI240" i="11"/>
  <c r="AI242" i="11" s="1"/>
  <c r="AI71" i="11" s="1"/>
  <c r="T225" i="11"/>
  <c r="AD225" i="11"/>
  <c r="AD226" i="11"/>
  <c r="S226" i="11"/>
  <c r="L240" i="11"/>
  <c r="L242" i="11" s="1"/>
  <c r="L71" i="11" s="1"/>
  <c r="R240" i="11"/>
  <c r="R242" i="11" s="1"/>
  <c r="R71" i="11" s="1"/>
  <c r="Z226" i="11"/>
  <c r="AJ226" i="11"/>
  <c r="AG225" i="11"/>
  <c r="D28" i="9"/>
  <c r="W240" i="11"/>
  <c r="W242" i="11" s="1"/>
  <c r="W71" i="11" s="1"/>
  <c r="M225" i="11"/>
  <c r="AI225" i="11"/>
  <c r="AB240" i="11"/>
  <c r="AB242" i="11" s="1"/>
  <c r="AB71" i="11" s="1"/>
  <c r="I240" i="11"/>
  <c r="I242" i="11" s="1"/>
  <c r="I71" i="11" s="1"/>
  <c r="AB226" i="11"/>
  <c r="U226" i="11"/>
  <c r="AA240" i="11"/>
  <c r="AA242" i="11" s="1"/>
  <c r="AA71" i="11" s="1"/>
  <c r="V225" i="11"/>
  <c r="AE240" i="11"/>
  <c r="AE242" i="11" s="1"/>
  <c r="AE71" i="11" s="1"/>
  <c r="L85" i="7"/>
  <c r="W226" i="11"/>
  <c r="V240" i="11"/>
  <c r="V242" i="11" s="1"/>
  <c r="V71" i="11" s="1"/>
  <c r="K225" i="11"/>
  <c r="X240" i="11"/>
  <c r="X242" i="11" s="1"/>
  <c r="X71" i="11" s="1"/>
  <c r="W225" i="11"/>
  <c r="Q226" i="11"/>
  <c r="L81" i="7"/>
  <c r="AH226" i="11"/>
  <c r="L83" i="7"/>
  <c r="O225" i="11"/>
  <c r="Q240" i="11"/>
  <c r="Q242" i="11" s="1"/>
  <c r="Q71" i="11" s="1"/>
  <c r="P240" i="11"/>
  <c r="P242" i="11" s="1"/>
  <c r="P71" i="11" s="1"/>
  <c r="T226" i="11"/>
  <c r="L80" i="7"/>
  <c r="T240" i="11"/>
  <c r="T242" i="11" s="1"/>
  <c r="T71" i="11" s="1"/>
  <c r="Y240" i="11"/>
  <c r="Y242" i="11" s="1"/>
  <c r="Y71" i="11" s="1"/>
  <c r="C123" i="12"/>
  <c r="G240" i="11"/>
  <c r="G242" i="11" s="1"/>
  <c r="G71" i="11" s="1"/>
  <c r="AG226" i="11"/>
  <c r="S240" i="11"/>
  <c r="S242" i="11" s="1"/>
  <c r="S71" i="11" s="1"/>
  <c r="R225" i="11"/>
  <c r="Z225" i="11"/>
  <c r="K240" i="11"/>
  <c r="K242" i="11" s="1"/>
  <c r="K71" i="11" s="1"/>
  <c r="U240" i="11"/>
  <c r="U242" i="11" s="1"/>
  <c r="U71" i="11" s="1"/>
  <c r="P225" i="11"/>
  <c r="X225" i="11"/>
  <c r="AC225" i="11"/>
  <c r="AC240" i="11"/>
  <c r="AC242" i="11" s="1"/>
  <c r="AC71" i="11" s="1"/>
  <c r="L82" i="7"/>
  <c r="AD240" i="11"/>
  <c r="AD242" i="11" s="1"/>
  <c r="AD71" i="11" s="1"/>
  <c r="G77" i="7"/>
  <c r="H240" i="11"/>
  <c r="H242" i="11" s="1"/>
  <c r="H71" i="11" s="1"/>
  <c r="AE225" i="11"/>
  <c r="AF240" i="11"/>
  <c r="AF242" i="11" s="1"/>
  <c r="AF71" i="11" s="1"/>
  <c r="AF226" i="11"/>
  <c r="H225" i="11"/>
  <c r="J240" i="11"/>
  <c r="J242" i="11" s="1"/>
  <c r="J71" i="11" s="1"/>
  <c r="AA225" i="11"/>
  <c r="S225" i="11"/>
  <c r="AA226" i="11"/>
  <c r="AF225" i="11"/>
  <c r="AI226" i="11"/>
  <c r="Z240" i="11"/>
  <c r="Z242" i="11" s="1"/>
  <c r="Z71" i="11" s="1"/>
  <c r="L225" i="11"/>
  <c r="AH225" i="11"/>
  <c r="J225" i="11"/>
  <c r="U225" i="11"/>
  <c r="Y226" i="11"/>
  <c r="O240" i="11"/>
  <c r="O242" i="11" s="1"/>
  <c r="O71" i="11" s="1"/>
  <c r="E141" i="11"/>
  <c r="P259" i="11" s="1"/>
  <c r="AI184" i="11"/>
  <c r="N184" i="11"/>
  <c r="Y184" i="11"/>
  <c r="Q135" i="11"/>
  <c r="AJ257" i="11"/>
  <c r="I135" i="11"/>
  <c r="AI257" i="11"/>
  <c r="AH135" i="11"/>
  <c r="X257" i="11"/>
  <c r="S135" i="11"/>
  <c r="I184" i="11"/>
  <c r="K184" i="11"/>
  <c r="W184" i="11"/>
  <c r="AG184" i="11"/>
  <c r="AG135" i="11"/>
  <c r="Y135" i="11"/>
  <c r="AD257" i="11"/>
  <c r="AJ135" i="11"/>
  <c r="AE135" i="11"/>
  <c r="N51" i="7"/>
  <c r="Z135" i="11"/>
  <c r="AB135" i="11"/>
  <c r="Q184" i="11"/>
  <c r="T184" i="11"/>
  <c r="AE184" i="11"/>
  <c r="L184" i="11"/>
  <c r="L135" i="11"/>
  <c r="J135" i="11"/>
  <c r="AB257" i="11"/>
  <c r="Z184" i="11"/>
  <c r="AB184" i="11"/>
  <c r="O184" i="11"/>
  <c r="U184" i="11"/>
  <c r="AH184" i="11"/>
  <c r="AJ184" i="11"/>
  <c r="X184" i="11"/>
  <c r="AC184" i="11"/>
  <c r="AE257" i="11"/>
  <c r="O135" i="11"/>
  <c r="Y257" i="11"/>
  <c r="K135" i="11"/>
  <c r="AC135" i="11"/>
  <c r="AI135" i="11"/>
  <c r="J184" i="11"/>
  <c r="G184" i="11"/>
  <c r="G185" i="11" s="1"/>
  <c r="G186" i="11" s="1"/>
  <c r="AF184" i="11"/>
  <c r="W257" i="11"/>
  <c r="V257" i="11"/>
  <c r="T135" i="11"/>
  <c r="T257" i="11"/>
  <c r="V135" i="11"/>
  <c r="AA184" i="11"/>
  <c r="AD184" i="11"/>
  <c r="Z257" i="11"/>
  <c r="AD135" i="11"/>
  <c r="AA257" i="11"/>
  <c r="W135" i="11"/>
  <c r="X135" i="11"/>
  <c r="AF257" i="11"/>
  <c r="V184" i="11"/>
  <c r="AF135" i="11"/>
  <c r="AG257" i="11"/>
  <c r="U257" i="11"/>
  <c r="AH257" i="11"/>
  <c r="AC257" i="11"/>
  <c r="G135" i="11"/>
  <c r="G136" i="11" s="1"/>
  <c r="N135" i="11"/>
  <c r="S257" i="11"/>
  <c r="U135" i="11"/>
  <c r="H184" i="11"/>
  <c r="AA135" i="11"/>
  <c r="S184" i="11"/>
  <c r="H135" i="11"/>
  <c r="H256" i="11"/>
  <c r="I256" i="11"/>
  <c r="J256" i="11"/>
  <c r="R256" i="11"/>
  <c r="T256" i="11"/>
  <c r="AB256" i="11"/>
  <c r="P256" i="11"/>
  <c r="W256" i="11"/>
  <c r="Q256" i="11"/>
  <c r="X256" i="11"/>
  <c r="Y256" i="11"/>
  <c r="K256" i="11"/>
  <c r="AI256" i="11"/>
  <c r="D11" i="7"/>
  <c r="U256" i="11"/>
  <c r="AC256" i="11"/>
  <c r="AD256" i="11"/>
  <c r="AA256" i="11"/>
  <c r="N256" i="11"/>
  <c r="AF256" i="11"/>
  <c r="AG256" i="11"/>
  <c r="M256" i="11"/>
  <c r="L256" i="11"/>
  <c r="N42" i="7"/>
  <c r="S256" i="11"/>
  <c r="G256" i="11"/>
  <c r="V256" i="11"/>
  <c r="O256" i="11"/>
  <c r="AH256" i="11"/>
  <c r="I193" i="11"/>
  <c r="AB193" i="11"/>
  <c r="M193" i="11"/>
  <c r="H193" i="11"/>
  <c r="J144" i="11"/>
  <c r="AJ144" i="11"/>
  <c r="AF144" i="11"/>
  <c r="AE144" i="11"/>
  <c r="AG144" i="11"/>
  <c r="Q193" i="11"/>
  <c r="AJ193" i="11"/>
  <c r="V193" i="11"/>
  <c r="P193" i="11"/>
  <c r="P144" i="11"/>
  <c r="AI144" i="11"/>
  <c r="G144" i="11"/>
  <c r="G145" i="11" s="1"/>
  <c r="AB144" i="11"/>
  <c r="H144" i="11"/>
  <c r="Z193" i="11"/>
  <c r="U193" i="11"/>
  <c r="AD193" i="11"/>
  <c r="AG193" i="11"/>
  <c r="AD260" i="11"/>
  <c r="Z260" i="11"/>
  <c r="U144" i="11"/>
  <c r="AD144" i="11"/>
  <c r="AC144" i="11"/>
  <c r="AH193" i="11"/>
  <c r="AC193" i="11"/>
  <c r="W193" i="11"/>
  <c r="N193" i="11"/>
  <c r="AG260" i="11"/>
  <c r="L144" i="11"/>
  <c r="AA144" i="11"/>
  <c r="S144" i="11"/>
  <c r="AH144" i="11"/>
  <c r="AE260" i="11"/>
  <c r="S193" i="11"/>
  <c r="G193" i="11"/>
  <c r="G194" i="11" s="1"/>
  <c r="G195" i="11" s="1"/>
  <c r="AE193" i="11"/>
  <c r="M144" i="11"/>
  <c r="AF260" i="11"/>
  <c r="Z144" i="11"/>
  <c r="K144" i="11"/>
  <c r="G260" i="11"/>
  <c r="AA193" i="11"/>
  <c r="J193" i="11"/>
  <c r="O193" i="11"/>
  <c r="Q144" i="11"/>
  <c r="AC260" i="11"/>
  <c r="AJ260" i="11"/>
  <c r="T144" i="11"/>
  <c r="X144" i="11"/>
  <c r="T193" i="11"/>
  <c r="L193" i="11"/>
  <c r="AF193" i="11"/>
  <c r="I144" i="11"/>
  <c r="W144" i="11"/>
  <c r="V144" i="11"/>
  <c r="AA260" i="11"/>
  <c r="N144" i="11"/>
  <c r="AH260" i="11"/>
  <c r="AB260" i="11"/>
  <c r="O144" i="11"/>
  <c r="AI193" i="11"/>
  <c r="N57" i="7"/>
  <c r="K193" i="11"/>
  <c r="X193" i="11"/>
  <c r="AI260" i="11"/>
  <c r="N271" i="11" l="1"/>
  <c r="N272" i="11" s="1"/>
  <c r="N273" i="11" s="1"/>
  <c r="N274" i="11" s="1"/>
  <c r="N275" i="11" s="1"/>
  <c r="N276" i="11" s="1"/>
  <c r="N277" i="11" s="1"/>
  <c r="C141" i="12"/>
  <c r="D140" i="12"/>
  <c r="R16" i="11" s="1"/>
  <c r="F140" i="12"/>
  <c r="J26" i="11"/>
  <c r="I31" i="11"/>
  <c r="P31" i="10"/>
  <c r="P30" i="10"/>
  <c r="P32" i="10"/>
  <c r="P29" i="10"/>
  <c r="P28" i="10"/>
  <c r="P27" i="10"/>
  <c r="P34" i="10"/>
  <c r="P33" i="10"/>
  <c r="G68" i="7"/>
  <c r="H139" i="11"/>
  <c r="I139" i="11" s="1"/>
  <c r="J139" i="11" s="1"/>
  <c r="K139" i="11" s="1"/>
  <c r="L139" i="11" s="1"/>
  <c r="M139" i="11" s="1"/>
  <c r="N139" i="11" s="1"/>
  <c r="O139" i="11" s="1"/>
  <c r="P139" i="11" s="1"/>
  <c r="Q139" i="11" s="1"/>
  <c r="H145" i="11"/>
  <c r="I145" i="11" s="1"/>
  <c r="J145" i="11" s="1"/>
  <c r="K145" i="11" s="1"/>
  <c r="L145" i="11" s="1"/>
  <c r="M145" i="11" s="1"/>
  <c r="N145" i="11" s="1"/>
  <c r="O145" i="11" s="1"/>
  <c r="P145" i="11" s="1"/>
  <c r="Q145" i="11" s="1"/>
  <c r="H142" i="11"/>
  <c r="I142" i="11" s="1"/>
  <c r="J142" i="11" s="1"/>
  <c r="K142" i="11" s="1"/>
  <c r="L142" i="11" s="1"/>
  <c r="M142" i="11" s="1"/>
  <c r="N142" i="11" s="1"/>
  <c r="O142" i="11" s="1"/>
  <c r="P142" i="11" s="1"/>
  <c r="Q142" i="11" s="1"/>
  <c r="H136" i="11"/>
  <c r="I136" i="11" s="1"/>
  <c r="J136" i="11" s="1"/>
  <c r="K136" i="11" s="1"/>
  <c r="L136" i="11" s="1"/>
  <c r="AJ36" i="11"/>
  <c r="H36" i="11"/>
  <c r="G36" i="11"/>
  <c r="N36" i="11"/>
  <c r="AE36" i="11"/>
  <c r="R36" i="11"/>
  <c r="M36" i="11"/>
  <c r="AD36" i="11"/>
  <c r="AF36" i="11"/>
  <c r="I36" i="11"/>
  <c r="T36" i="11"/>
  <c r="X36" i="11"/>
  <c r="K36" i="11"/>
  <c r="V36" i="11"/>
  <c r="AC36" i="11"/>
  <c r="Z36" i="11"/>
  <c r="AA36" i="11"/>
  <c r="P36" i="11"/>
  <c r="Q36" i="11"/>
  <c r="W36" i="11"/>
  <c r="L36" i="11"/>
  <c r="S36" i="11"/>
  <c r="J36" i="11"/>
  <c r="AI36" i="11"/>
  <c r="AH36" i="11"/>
  <c r="AG36" i="11"/>
  <c r="Y36" i="11"/>
  <c r="O36" i="11"/>
  <c r="U36" i="11"/>
  <c r="G143" i="11"/>
  <c r="G137" i="11"/>
  <c r="U250" i="11"/>
  <c r="AI261" i="11"/>
  <c r="AI265" i="11" s="1"/>
  <c r="AI50" i="11" s="1"/>
  <c r="AH261" i="11"/>
  <c r="AH51" i="11" s="1"/>
  <c r="AF261" i="11"/>
  <c r="AF51" i="11" s="1"/>
  <c r="AJ261" i="11"/>
  <c r="AJ51" i="11" s="1"/>
  <c r="R141" i="11"/>
  <c r="J259" i="11"/>
  <c r="AA261" i="11"/>
  <c r="AA51" i="11" s="1"/>
  <c r="M259" i="11"/>
  <c r="H259" i="11"/>
  <c r="AB261" i="11"/>
  <c r="AB265" i="11" s="1"/>
  <c r="K259" i="11"/>
  <c r="L259" i="11"/>
  <c r="I259" i="11"/>
  <c r="AC261" i="11"/>
  <c r="AC265" i="11" s="1"/>
  <c r="AD261" i="11"/>
  <c r="AD265" i="11" s="1"/>
  <c r="K236" i="11"/>
  <c r="AG236" i="11"/>
  <c r="AC236" i="11"/>
  <c r="R228" i="11"/>
  <c r="U228" i="11"/>
  <c r="V228" i="11"/>
  <c r="AH236" i="11"/>
  <c r="Z228" i="11"/>
  <c r="AE228" i="11"/>
  <c r="X228" i="11"/>
  <c r="AH228" i="11"/>
  <c r="E135" i="11"/>
  <c r="P135" i="11" s="1"/>
  <c r="AF228" i="11"/>
  <c r="AC228" i="11"/>
  <c r="AI236" i="11"/>
  <c r="V236" i="11"/>
  <c r="G236" i="11"/>
  <c r="S236" i="11"/>
  <c r="G250" i="11"/>
  <c r="N80" i="7"/>
  <c r="S228" i="11"/>
  <c r="AD228" i="11"/>
  <c r="AA228" i="11"/>
  <c r="H191" i="11"/>
  <c r="H192" i="11" s="1"/>
  <c r="E184" i="11"/>
  <c r="P184" i="11" s="1"/>
  <c r="E190" i="11"/>
  <c r="R190" i="11" s="1"/>
  <c r="AJ236" i="11"/>
  <c r="AB236" i="11"/>
  <c r="Y236" i="11"/>
  <c r="I236" i="11"/>
  <c r="R236" i="11"/>
  <c r="J250" i="11"/>
  <c r="Z250" i="11"/>
  <c r="AJ250" i="11"/>
  <c r="M236" i="11"/>
  <c r="AI250" i="11"/>
  <c r="Q236" i="11"/>
  <c r="V250" i="11"/>
  <c r="P250" i="11"/>
  <c r="H250" i="11"/>
  <c r="AH250" i="11"/>
  <c r="AA236" i="11"/>
  <c r="K250" i="11"/>
  <c r="W236" i="11"/>
  <c r="X236" i="11"/>
  <c r="N250" i="11"/>
  <c r="AE236" i="11"/>
  <c r="O236" i="11"/>
  <c r="Q228" i="11"/>
  <c r="X141" i="11"/>
  <c r="N259" i="11"/>
  <c r="M250" i="11"/>
  <c r="W250" i="11"/>
  <c r="I250" i="11"/>
  <c r="X250" i="11"/>
  <c r="AF250" i="11"/>
  <c r="N236" i="11"/>
  <c r="J236" i="11"/>
  <c r="H236" i="11"/>
  <c r="H185" i="11"/>
  <c r="W228" i="11"/>
  <c r="AJ228" i="11"/>
  <c r="AJ70" i="11" s="1"/>
  <c r="Q261" i="11"/>
  <c r="N261" i="11"/>
  <c r="K261" i="11"/>
  <c r="O261" i="11"/>
  <c r="M261" i="11"/>
  <c r="Y261" i="11"/>
  <c r="S261" i="11"/>
  <c r="V261" i="11"/>
  <c r="Z261" i="11"/>
  <c r="P261" i="11"/>
  <c r="J261" i="11"/>
  <c r="X261" i="11"/>
  <c r="G261" i="11"/>
  <c r="R261" i="11"/>
  <c r="W261" i="11"/>
  <c r="U261" i="11"/>
  <c r="I261" i="11"/>
  <c r="L261" i="11"/>
  <c r="H261" i="11"/>
  <c r="T261" i="11"/>
  <c r="H188" i="11"/>
  <c r="H189" i="11" s="1"/>
  <c r="R250" i="11"/>
  <c r="O250" i="11"/>
  <c r="L250" i="11"/>
  <c r="P236" i="11"/>
  <c r="Y228" i="11"/>
  <c r="S259" i="11"/>
  <c r="R259" i="11"/>
  <c r="AE250" i="11"/>
  <c r="T250" i="11"/>
  <c r="Q250" i="11"/>
  <c r="Y250" i="11"/>
  <c r="H194" i="11"/>
  <c r="H195" i="11" s="1"/>
  <c r="AE51" i="11"/>
  <c r="AG228" i="11"/>
  <c r="T228" i="11"/>
  <c r="U259" i="11"/>
  <c r="X259" i="11"/>
  <c r="Z236" i="11"/>
  <c r="AD236" i="11"/>
  <c r="L236" i="11"/>
  <c r="Q259" i="11"/>
  <c r="V259" i="11"/>
  <c r="E138" i="11"/>
  <c r="AB228" i="11"/>
  <c r="W259" i="11"/>
  <c r="T259" i="11"/>
  <c r="U236" i="11"/>
  <c r="T236" i="11"/>
  <c r="AB250" i="11"/>
  <c r="AI228" i="11"/>
  <c r="AI70" i="11" s="1"/>
  <c r="O259" i="11"/>
  <c r="S250" i="11"/>
  <c r="AG250" i="11"/>
  <c r="AC250" i="11"/>
  <c r="AD250" i="11"/>
  <c r="AA250" i="11"/>
  <c r="AF236" i="11"/>
  <c r="G47" i="7"/>
  <c r="AC46" i="11"/>
  <c r="AC91" i="11"/>
  <c r="AA98" i="11"/>
  <c r="AA49" i="11"/>
  <c r="D17" i="9"/>
  <c r="AJ5" i="11"/>
  <c r="AE46" i="11"/>
  <c r="AE91" i="11"/>
  <c r="AI46" i="11"/>
  <c r="AI91" i="11"/>
  <c r="F35" i="10" s="1"/>
  <c r="AA91" i="11"/>
  <c r="AA46" i="11"/>
  <c r="AH98" i="11"/>
  <c r="AH49" i="11"/>
  <c r="AG261" i="11"/>
  <c r="AG51" i="11" s="1"/>
  <c r="J17" i="11"/>
  <c r="D19" i="9"/>
  <c r="AI12" i="11"/>
  <c r="M17" i="11"/>
  <c r="O17" i="11"/>
  <c r="AH13" i="11"/>
  <c r="K17" i="11"/>
  <c r="P17" i="11"/>
  <c r="G17" i="11"/>
  <c r="AF13" i="11"/>
  <c r="AA13" i="11"/>
  <c r="T13" i="7"/>
  <c r="AB13" i="11"/>
  <c r="L17" i="11"/>
  <c r="AJ12" i="11"/>
  <c r="AD12" i="11"/>
  <c r="T12" i="7"/>
  <c r="AH12" i="11"/>
  <c r="T15" i="7"/>
  <c r="I17" i="11"/>
  <c r="AF12" i="11"/>
  <c r="S17" i="11"/>
  <c r="AC13" i="11"/>
  <c r="U17" i="11"/>
  <c r="N17" i="11"/>
  <c r="AC12" i="11"/>
  <c r="AG12" i="11"/>
  <c r="AI13" i="11"/>
  <c r="T14" i="7"/>
  <c r="N7" i="7"/>
  <c r="O15" i="7"/>
  <c r="AG13" i="11"/>
  <c r="AE12" i="11"/>
  <c r="AA12" i="11"/>
  <c r="AD13" i="11"/>
  <c r="R17" i="11"/>
  <c r="H17" i="11"/>
  <c r="AJ13" i="11"/>
  <c r="Q17" i="11"/>
  <c r="AE13" i="11"/>
  <c r="T17" i="11"/>
  <c r="G16" i="11"/>
  <c r="AB12" i="11"/>
  <c r="E193" i="11"/>
  <c r="AD91" i="11"/>
  <c r="AD46" i="11"/>
  <c r="AE98" i="11"/>
  <c r="AE49" i="11"/>
  <c r="E144" i="11"/>
  <c r="AF91" i="11"/>
  <c r="AF46" i="11"/>
  <c r="AG49" i="11"/>
  <c r="AG98" i="11"/>
  <c r="AJ49" i="11"/>
  <c r="AJ98" i="11"/>
  <c r="AH91" i="11"/>
  <c r="AH46" i="11"/>
  <c r="AJ46" i="11"/>
  <c r="AJ91" i="11"/>
  <c r="F36" i="10" s="1"/>
  <c r="AB98" i="11"/>
  <c r="AB49" i="11"/>
  <c r="AF49" i="11"/>
  <c r="AF98" i="11"/>
  <c r="AG46" i="11"/>
  <c r="AG91" i="11"/>
  <c r="AB46" i="11"/>
  <c r="AB91" i="11"/>
  <c r="AD49" i="11"/>
  <c r="AD98" i="11"/>
  <c r="AC49" i="11"/>
  <c r="AC98" i="11"/>
  <c r="E187" i="11"/>
  <c r="Z187" i="11" s="1"/>
  <c r="AI49" i="11"/>
  <c r="AI98" i="11"/>
  <c r="G255" i="11"/>
  <c r="N278" i="11" l="1"/>
  <c r="N279" i="11" s="1"/>
  <c r="R269" i="11"/>
  <c r="Z138" i="11"/>
  <c r="Y258" i="11"/>
  <c r="V258" i="11"/>
  <c r="X258" i="11"/>
  <c r="Z258" i="11"/>
  <c r="W258" i="11"/>
  <c r="Z51" i="11"/>
  <c r="S269" i="11"/>
  <c r="G78" i="11" s="1"/>
  <c r="C142" i="12"/>
  <c r="D141" i="12"/>
  <c r="S16" i="11" s="1"/>
  <c r="F141" i="12"/>
  <c r="K26" i="11"/>
  <c r="J31" i="11"/>
  <c r="F33" i="10"/>
  <c r="F27" i="10"/>
  <c r="AD70" i="11"/>
  <c r="AF70" i="11"/>
  <c r="AE70" i="11"/>
  <c r="F29" i="10"/>
  <c r="W70" i="11"/>
  <c r="AB70" i="11"/>
  <c r="AD50" i="11"/>
  <c r="S70" i="11"/>
  <c r="Z70" i="11"/>
  <c r="F28" i="10"/>
  <c r="F31" i="10"/>
  <c r="V70" i="11"/>
  <c r="AC50" i="11"/>
  <c r="F32" i="10"/>
  <c r="T70" i="11"/>
  <c r="AC70" i="11"/>
  <c r="U70" i="11"/>
  <c r="AG70" i="11"/>
  <c r="Q70" i="11"/>
  <c r="R70" i="11"/>
  <c r="F34" i="10"/>
  <c r="Y70" i="11"/>
  <c r="AH70" i="11"/>
  <c r="F30" i="10"/>
  <c r="AA70" i="11"/>
  <c r="X70" i="11"/>
  <c r="AB50" i="11"/>
  <c r="R142" i="11"/>
  <c r="S142" i="11" s="1"/>
  <c r="T142" i="11" s="1"/>
  <c r="U142" i="11" s="1"/>
  <c r="V142" i="11" s="1"/>
  <c r="W142" i="11" s="1"/>
  <c r="X142" i="11" s="1"/>
  <c r="Y142" i="11" s="1"/>
  <c r="Z142" i="11" s="1"/>
  <c r="AA142" i="11" s="1"/>
  <c r="AB142" i="11" s="1"/>
  <c r="AC142" i="11" s="1"/>
  <c r="AD142" i="11" s="1"/>
  <c r="AE142" i="11" s="1"/>
  <c r="AF142" i="11" s="1"/>
  <c r="AG142" i="11" s="1"/>
  <c r="AH142" i="11" s="1"/>
  <c r="AI142" i="11" s="1"/>
  <c r="AJ142" i="11" s="1"/>
  <c r="G146" i="11"/>
  <c r="H146" i="11"/>
  <c r="H140" i="11"/>
  <c r="G140" i="11"/>
  <c r="AC51" i="11"/>
  <c r="AH265" i="11"/>
  <c r="AI51" i="11"/>
  <c r="G35" i="10" s="1"/>
  <c r="AF265" i="11"/>
  <c r="AB51" i="11"/>
  <c r="AJ19" i="11"/>
  <c r="AJ21" i="11"/>
  <c r="AI5" i="11"/>
  <c r="AH5" i="11"/>
  <c r="AG5" i="11"/>
  <c r="AF5" i="11"/>
  <c r="M257" i="11"/>
  <c r="G257" i="11"/>
  <c r="G51" i="11" s="1"/>
  <c r="M135" i="11"/>
  <c r="M136" i="11" s="1"/>
  <c r="N136" i="11" s="1"/>
  <c r="O136" i="11" s="1"/>
  <c r="P136" i="11" s="1"/>
  <c r="Q136" i="11" s="1"/>
  <c r="R184" i="11"/>
  <c r="M184" i="11"/>
  <c r="AD51" i="11"/>
  <c r="H257" i="11"/>
  <c r="I257" i="11"/>
  <c r="K257" i="11"/>
  <c r="Q257" i="11"/>
  <c r="N257" i="11"/>
  <c r="I258" i="11"/>
  <c r="J258" i="11"/>
  <c r="R138" i="11"/>
  <c r="R139" i="11" s="1"/>
  <c r="S139" i="11" s="1"/>
  <c r="T139" i="11" s="1"/>
  <c r="H258" i="11"/>
  <c r="AB5" i="11"/>
  <c r="AA5" i="11"/>
  <c r="AC5" i="11"/>
  <c r="AE5" i="11"/>
  <c r="AD5" i="11"/>
  <c r="K260" i="11"/>
  <c r="H260" i="11"/>
  <c r="L260" i="11"/>
  <c r="M260" i="11"/>
  <c r="J260" i="11"/>
  <c r="R144" i="11"/>
  <c r="R145" i="11" s="1"/>
  <c r="S145" i="11" s="1"/>
  <c r="T145" i="11" s="1"/>
  <c r="U145" i="11" s="1"/>
  <c r="V145" i="11" s="1"/>
  <c r="W145" i="11" s="1"/>
  <c r="X145" i="11" s="1"/>
  <c r="I260" i="11"/>
  <c r="N260" i="11"/>
  <c r="AA14" i="11"/>
  <c r="AH14" i="11"/>
  <c r="O257" i="11"/>
  <c r="L257" i="11"/>
  <c r="I194" i="11"/>
  <c r="I195" i="11" s="1"/>
  <c r="P257" i="11"/>
  <c r="R135" i="11"/>
  <c r="R257" i="11"/>
  <c r="J257" i="11"/>
  <c r="AB14" i="11"/>
  <c r="X190" i="11"/>
  <c r="I191" i="11"/>
  <c r="AE14" i="11"/>
  <c r="AC14" i="11"/>
  <c r="AF14" i="11"/>
  <c r="AJ14" i="11"/>
  <c r="AJ15" i="11" s="1"/>
  <c r="R193" i="11"/>
  <c r="Y193" i="11"/>
  <c r="AI14" i="11"/>
  <c r="AG265" i="11"/>
  <c r="G5" i="11"/>
  <c r="W5" i="11"/>
  <c r="H5" i="11"/>
  <c r="S5" i="11"/>
  <c r="J5" i="11"/>
  <c r="T5" i="11"/>
  <c r="X5" i="11"/>
  <c r="Q5" i="11"/>
  <c r="I5" i="11"/>
  <c r="L5" i="11"/>
  <c r="R5" i="11"/>
  <c r="M5" i="11"/>
  <c r="N5" i="11"/>
  <c r="P5" i="11"/>
  <c r="Z5" i="11"/>
  <c r="Y5" i="11"/>
  <c r="V5" i="11"/>
  <c r="O5" i="11"/>
  <c r="K5" i="11"/>
  <c r="U5" i="11"/>
  <c r="T260" i="11"/>
  <c r="Q260" i="11"/>
  <c r="Y144" i="11"/>
  <c r="W260" i="11"/>
  <c r="W51" i="11" s="1"/>
  <c r="O260" i="11"/>
  <c r="P260" i="11"/>
  <c r="V260" i="11"/>
  <c r="V51" i="11" s="1"/>
  <c r="X260" i="11"/>
  <c r="X265" i="11" s="1"/>
  <c r="U260" i="11"/>
  <c r="R260" i="11"/>
  <c r="S260" i="11"/>
  <c r="Y260" i="11"/>
  <c r="H186" i="11"/>
  <c r="I185" i="11"/>
  <c r="R187" i="11"/>
  <c r="U187" i="11"/>
  <c r="AD14" i="11"/>
  <c r="U138" i="11"/>
  <c r="T258" i="11"/>
  <c r="R258" i="11"/>
  <c r="S258" i="11"/>
  <c r="K258" i="11"/>
  <c r="P258" i="11"/>
  <c r="Q258" i="11"/>
  <c r="U258" i="11"/>
  <c r="O258" i="11"/>
  <c r="M258" i="11"/>
  <c r="L258" i="11"/>
  <c r="N258" i="11"/>
  <c r="AG14" i="11"/>
  <c r="I188" i="11"/>
  <c r="S255" i="11"/>
  <c r="G12" i="11" l="1"/>
  <c r="G30" i="10"/>
  <c r="C143" i="12"/>
  <c r="D142" i="12"/>
  <c r="T16" i="11" s="1"/>
  <c r="F142" i="12"/>
  <c r="L26" i="11"/>
  <c r="L32" i="11" s="1"/>
  <c r="K31" i="11"/>
  <c r="G29" i="10"/>
  <c r="AF50" i="11"/>
  <c r="AG50" i="11"/>
  <c r="G28" i="10"/>
  <c r="X50" i="11"/>
  <c r="AH50" i="11"/>
  <c r="R136" i="11"/>
  <c r="S136" i="11" s="1"/>
  <c r="T136" i="11" s="1"/>
  <c r="U136" i="11" s="1"/>
  <c r="V136" i="11" s="1"/>
  <c r="W136" i="11" s="1"/>
  <c r="X136" i="11" s="1"/>
  <c r="Y136" i="11" s="1"/>
  <c r="Z136" i="11" s="1"/>
  <c r="AA136" i="11" s="1"/>
  <c r="AB136" i="11" s="1"/>
  <c r="AC136" i="11" s="1"/>
  <c r="AD136" i="11" s="1"/>
  <c r="AE136" i="11" s="1"/>
  <c r="AF136" i="11" s="1"/>
  <c r="AG136" i="11" s="1"/>
  <c r="AH136" i="11" s="1"/>
  <c r="AI136" i="11" s="1"/>
  <c r="AJ136" i="11" s="1"/>
  <c r="Y145" i="11"/>
  <c r="Z145" i="11" s="1"/>
  <c r="AA145" i="11" s="1"/>
  <c r="AB145" i="11" s="1"/>
  <c r="AC145" i="11" s="1"/>
  <c r="AD145" i="11" s="1"/>
  <c r="AE145" i="11" s="1"/>
  <c r="AF145" i="11" s="1"/>
  <c r="AG145" i="11" s="1"/>
  <c r="AH145" i="11" s="1"/>
  <c r="AI145" i="11" s="1"/>
  <c r="AJ145" i="11" s="1"/>
  <c r="U139" i="11"/>
  <c r="V139" i="11" s="1"/>
  <c r="W139" i="11" s="1"/>
  <c r="X139" i="11" s="1"/>
  <c r="Y139" i="11" s="1"/>
  <c r="Z139" i="11" s="1"/>
  <c r="AA139" i="11" s="1"/>
  <c r="AB139" i="11" s="1"/>
  <c r="AC139" i="11" s="1"/>
  <c r="AD139" i="11" s="1"/>
  <c r="AE139" i="11" s="1"/>
  <c r="AF139" i="11" s="1"/>
  <c r="AG139" i="11" s="1"/>
  <c r="AH139" i="11" s="1"/>
  <c r="AI139" i="11" s="1"/>
  <c r="AJ139" i="11" s="1"/>
  <c r="H137" i="11"/>
  <c r="H143" i="11"/>
  <c r="K146" i="11"/>
  <c r="AI15" i="11"/>
  <c r="AF15" i="11"/>
  <c r="AH15" i="11"/>
  <c r="AG15" i="11"/>
  <c r="AE15" i="11"/>
  <c r="M51" i="11"/>
  <c r="AF19" i="11"/>
  <c r="AF21" i="11"/>
  <c r="AG19" i="11"/>
  <c r="AG21" i="11"/>
  <c r="AH21" i="11"/>
  <c r="AH19" i="11"/>
  <c r="AI19" i="11"/>
  <c r="AI21" i="11"/>
  <c r="G265" i="11"/>
  <c r="H265" i="11"/>
  <c r="J51" i="11"/>
  <c r="I51" i="11"/>
  <c r="N265" i="11"/>
  <c r="I265" i="11"/>
  <c r="AD15" i="11"/>
  <c r="H51" i="11"/>
  <c r="AA15" i="11"/>
  <c r="AC21" i="11"/>
  <c r="AC19" i="11"/>
  <c r="J194" i="11"/>
  <c r="K194" i="11" s="1"/>
  <c r="AA19" i="11"/>
  <c r="AA21" i="11"/>
  <c r="AB15" i="11"/>
  <c r="AB21" i="11"/>
  <c r="AB19" i="11"/>
  <c r="AD19" i="11"/>
  <c r="AD21" i="11"/>
  <c r="G19" i="11"/>
  <c r="K51" i="11"/>
  <c r="AC15" i="11"/>
  <c r="AE19" i="11"/>
  <c r="AE21" i="11"/>
  <c r="R265" i="11"/>
  <c r="J265" i="11"/>
  <c r="I146" i="11"/>
  <c r="J146" i="11"/>
  <c r="L265" i="11"/>
  <c r="T51" i="11"/>
  <c r="L51" i="11"/>
  <c r="O265" i="11"/>
  <c r="P51" i="11"/>
  <c r="S265" i="11"/>
  <c r="M265" i="11"/>
  <c r="S51" i="11"/>
  <c r="X51" i="11"/>
  <c r="R51" i="11"/>
  <c r="I192" i="11"/>
  <c r="J191" i="11"/>
  <c r="I189" i="11"/>
  <c r="J188" i="11"/>
  <c r="Z21" i="11"/>
  <c r="Z19" i="11"/>
  <c r="X21" i="11"/>
  <c r="X19" i="11"/>
  <c r="P265" i="11"/>
  <c r="K265" i="11"/>
  <c r="P21" i="11"/>
  <c r="P19" i="11"/>
  <c r="T21" i="11"/>
  <c r="T19" i="11"/>
  <c r="N21" i="11"/>
  <c r="N19" i="11"/>
  <c r="J32" i="11"/>
  <c r="J21" i="11"/>
  <c r="J19" i="11"/>
  <c r="Q51" i="11"/>
  <c r="J185" i="11"/>
  <c r="I186" i="11"/>
  <c r="U21" i="11"/>
  <c r="U19" i="11"/>
  <c r="M19" i="11"/>
  <c r="M21" i="11"/>
  <c r="S21" i="11"/>
  <c r="S19" i="11"/>
  <c r="K32" i="11"/>
  <c r="K21" i="11"/>
  <c r="K19" i="11"/>
  <c r="R21" i="11"/>
  <c r="R19" i="11"/>
  <c r="H32" i="11"/>
  <c r="H19" i="11"/>
  <c r="H21" i="11"/>
  <c r="W265" i="11"/>
  <c r="I140" i="11"/>
  <c r="O21" i="11"/>
  <c r="O19" i="11"/>
  <c r="L21" i="11"/>
  <c r="L19" i="11"/>
  <c r="W19" i="11"/>
  <c r="W21" i="11"/>
  <c r="I137" i="11"/>
  <c r="U51" i="11"/>
  <c r="V19" i="11"/>
  <c r="V21" i="11"/>
  <c r="I21" i="11"/>
  <c r="I32" i="11"/>
  <c r="I19" i="11"/>
  <c r="G32" i="11"/>
  <c r="G21" i="11"/>
  <c r="N51" i="11"/>
  <c r="L146" i="11"/>
  <c r="Y265" i="11"/>
  <c r="Y51" i="11"/>
  <c r="Y21" i="11"/>
  <c r="Y19" i="11"/>
  <c r="Q21" i="11"/>
  <c r="Q19" i="11"/>
  <c r="O51" i="11"/>
  <c r="D7" i="9" l="1"/>
  <c r="G13" i="11"/>
  <c r="H13" i="11" s="1"/>
  <c r="C144" i="12"/>
  <c r="D143" i="12"/>
  <c r="U16" i="11" s="1"/>
  <c r="F143" i="12"/>
  <c r="M26" i="11"/>
  <c r="L31" i="11"/>
  <c r="G24" i="10"/>
  <c r="L50" i="11"/>
  <c r="G12" i="10" s="1"/>
  <c r="I50" i="11"/>
  <c r="G9" i="10" s="1"/>
  <c r="G34" i="10"/>
  <c r="M50" i="11"/>
  <c r="W50" i="11"/>
  <c r="K50" i="11"/>
  <c r="G11" i="10" s="1"/>
  <c r="S50" i="11"/>
  <c r="J50" i="11"/>
  <c r="G10" i="10" s="1"/>
  <c r="Y50" i="11"/>
  <c r="R50" i="11"/>
  <c r="G18" i="10" s="1"/>
  <c r="H50" i="11"/>
  <c r="N50" i="11"/>
  <c r="G50" i="11"/>
  <c r="P50" i="11"/>
  <c r="O50" i="11"/>
  <c r="G15" i="10" s="1"/>
  <c r="G33" i="10"/>
  <c r="G32" i="10"/>
  <c r="H12" i="11"/>
  <c r="I143" i="11"/>
  <c r="J195" i="11"/>
  <c r="K191" i="11"/>
  <c r="J192" i="11"/>
  <c r="K195" i="11"/>
  <c r="L194" i="11"/>
  <c r="M146" i="11"/>
  <c r="K188" i="11"/>
  <c r="J189" i="11"/>
  <c r="J137" i="11"/>
  <c r="J186" i="11"/>
  <c r="K185" i="11"/>
  <c r="J140" i="11"/>
  <c r="G14" i="11" l="1"/>
  <c r="C145" i="12"/>
  <c r="V16" i="11"/>
  <c r="V17" i="11" s="1"/>
  <c r="N26" i="11"/>
  <c r="M31" i="11"/>
  <c r="M32" i="11"/>
  <c r="G8" i="10"/>
  <c r="G23" i="10"/>
  <c r="G16" i="10"/>
  <c r="G14" i="10"/>
  <c r="G7" i="10"/>
  <c r="G25" i="10"/>
  <c r="G19" i="10"/>
  <c r="G13" i="10"/>
  <c r="I12" i="11"/>
  <c r="H14" i="11"/>
  <c r="I13" i="11"/>
  <c r="J143" i="11"/>
  <c r="K143" i="11"/>
  <c r="K192" i="11"/>
  <c r="L191" i="11"/>
  <c r="L143" i="11"/>
  <c r="K189" i="11"/>
  <c r="L188" i="11"/>
  <c r="K140" i="11"/>
  <c r="K137" i="11"/>
  <c r="L195" i="11"/>
  <c r="M194" i="11"/>
  <c r="K186" i="11"/>
  <c r="L185" i="11"/>
  <c r="N146" i="11"/>
  <c r="G15" i="11" l="1"/>
  <c r="C7" i="10"/>
  <c r="C146" i="12"/>
  <c r="F145" i="12"/>
  <c r="O26" i="11"/>
  <c r="N31" i="11"/>
  <c r="N32" i="11"/>
  <c r="J13" i="11"/>
  <c r="H15" i="11"/>
  <c r="C8" i="10"/>
  <c r="I14" i="11"/>
  <c r="J12" i="11"/>
  <c r="M191" i="11"/>
  <c r="L192" i="11"/>
  <c r="M195" i="11"/>
  <c r="N194" i="11"/>
  <c r="L140" i="11"/>
  <c r="O146" i="11"/>
  <c r="L137" i="11"/>
  <c r="L186" i="11"/>
  <c r="M185" i="11"/>
  <c r="L189" i="11"/>
  <c r="M188" i="11"/>
  <c r="M143" i="11"/>
  <c r="D145" i="12" l="1"/>
  <c r="W16" i="11" s="1"/>
  <c r="W17" i="11" s="1"/>
  <c r="C147" i="12"/>
  <c r="F146" i="12"/>
  <c r="P26" i="11"/>
  <c r="O31" i="11"/>
  <c r="O32" i="11"/>
  <c r="J14" i="11"/>
  <c r="K12" i="11"/>
  <c r="I15" i="11"/>
  <c r="C9" i="10"/>
  <c r="K13" i="11"/>
  <c r="M192" i="11"/>
  <c r="N191" i="11"/>
  <c r="O194" i="11"/>
  <c r="N195" i="11"/>
  <c r="M189" i="11"/>
  <c r="N188" i="11"/>
  <c r="P146" i="11"/>
  <c r="M137" i="11"/>
  <c r="M186" i="11"/>
  <c r="N185" i="11"/>
  <c r="N143" i="11"/>
  <c r="M140" i="11"/>
  <c r="D146" i="12" l="1"/>
  <c r="X16" i="11" s="1"/>
  <c r="X17" i="11" s="1"/>
  <c r="C148" i="12"/>
  <c r="F147" i="12"/>
  <c r="Q26" i="11"/>
  <c r="P31" i="11"/>
  <c r="P32" i="11"/>
  <c r="L13" i="11"/>
  <c r="K14" i="11"/>
  <c r="L12" i="11"/>
  <c r="C10" i="10"/>
  <c r="J15" i="11"/>
  <c r="O191" i="11"/>
  <c r="N192" i="11"/>
  <c r="N137" i="11"/>
  <c r="Q146" i="11"/>
  <c r="N189" i="11"/>
  <c r="O188" i="11"/>
  <c r="N140" i="11"/>
  <c r="N186" i="11"/>
  <c r="O185" i="11"/>
  <c r="O143" i="11"/>
  <c r="O195" i="11"/>
  <c r="P194" i="11"/>
  <c r="D147" i="12" l="1"/>
  <c r="Y16" i="11" s="1"/>
  <c r="Y17" i="11" s="1"/>
  <c r="C149" i="12"/>
  <c r="F148" i="12"/>
  <c r="Q31" i="11"/>
  <c r="R26" i="11"/>
  <c r="Q32" i="11"/>
  <c r="M12" i="11"/>
  <c r="L14" i="11"/>
  <c r="K15" i="11"/>
  <c r="C11" i="10"/>
  <c r="M13" i="11"/>
  <c r="P191" i="11"/>
  <c r="O192" i="11"/>
  <c r="P143" i="11"/>
  <c r="P188" i="11"/>
  <c r="O189" i="11"/>
  <c r="P185" i="11"/>
  <c r="O186" i="11"/>
  <c r="Q194" i="11"/>
  <c r="P195" i="11"/>
  <c r="O137" i="11"/>
  <c r="O140" i="11"/>
  <c r="R146" i="11"/>
  <c r="D148" i="12" l="1"/>
  <c r="Z16" i="11" s="1"/>
  <c r="Z17" i="11" s="1"/>
  <c r="AA16" i="11"/>
  <c r="C150" i="12"/>
  <c r="S26" i="11"/>
  <c r="R31" i="11"/>
  <c r="R32" i="11"/>
  <c r="N13" i="11"/>
  <c r="M14" i="11"/>
  <c r="N12" i="11"/>
  <c r="L15" i="11"/>
  <c r="C12" i="10"/>
  <c r="Q191" i="11"/>
  <c r="P192" i="11"/>
  <c r="P137" i="11"/>
  <c r="P189" i="11"/>
  <c r="Q188" i="11"/>
  <c r="S146" i="11"/>
  <c r="Q185" i="11"/>
  <c r="P186" i="11"/>
  <c r="Q143" i="11"/>
  <c r="R194" i="11"/>
  <c r="Q195" i="11"/>
  <c r="P140" i="11"/>
  <c r="C151" i="12" l="1"/>
  <c r="AB16" i="11"/>
  <c r="AA17" i="11"/>
  <c r="C27" i="10"/>
  <c r="S31" i="11"/>
  <c r="T26" i="11"/>
  <c r="S32" i="11"/>
  <c r="N14" i="11"/>
  <c r="O12" i="11"/>
  <c r="M15" i="11"/>
  <c r="C13" i="10"/>
  <c r="O13" i="11"/>
  <c r="Q192" i="11"/>
  <c r="R191" i="11"/>
  <c r="R143" i="11"/>
  <c r="Q137" i="11"/>
  <c r="Q189" i="11"/>
  <c r="R188" i="11"/>
  <c r="Q140" i="11"/>
  <c r="Q186" i="11"/>
  <c r="R185" i="11"/>
  <c r="R195" i="11"/>
  <c r="S194" i="11"/>
  <c r="T146" i="11"/>
  <c r="C28" i="10" l="1"/>
  <c r="AB17" i="11"/>
  <c r="C152" i="12"/>
  <c r="F151" i="12"/>
  <c r="T31" i="11"/>
  <c r="U26" i="11"/>
  <c r="T32" i="11"/>
  <c r="P13" i="11"/>
  <c r="N15" i="11"/>
  <c r="C14" i="10"/>
  <c r="O14" i="11"/>
  <c r="P12" i="11"/>
  <c r="R192" i="11"/>
  <c r="S191" i="11"/>
  <c r="U146" i="11"/>
  <c r="S195" i="11"/>
  <c r="T194" i="11"/>
  <c r="S185" i="11"/>
  <c r="R186" i="11"/>
  <c r="R140" i="11"/>
  <c r="R189" i="11"/>
  <c r="S188" i="11"/>
  <c r="R137" i="11"/>
  <c r="S143" i="11"/>
  <c r="D151" i="12" l="1"/>
  <c r="AC16" i="11" s="1"/>
  <c r="C153" i="12"/>
  <c r="F152" i="12"/>
  <c r="U31" i="11"/>
  <c r="U32" i="11"/>
  <c r="V26" i="11"/>
  <c r="P14" i="11"/>
  <c r="Q12" i="11"/>
  <c r="C15" i="10"/>
  <c r="O15" i="11"/>
  <c r="Q13" i="11"/>
  <c r="T191" i="11"/>
  <c r="S192" i="11"/>
  <c r="T143" i="11"/>
  <c r="S137" i="11"/>
  <c r="S140" i="11"/>
  <c r="S189" i="11"/>
  <c r="T188" i="11"/>
  <c r="U194" i="11"/>
  <c r="T195" i="11"/>
  <c r="T185" i="11"/>
  <c r="S186" i="11"/>
  <c r="V146" i="11"/>
  <c r="C29" i="10" l="1"/>
  <c r="AC17" i="11"/>
  <c r="D152" i="12"/>
  <c r="AD16" i="11" s="1"/>
  <c r="C154" i="12"/>
  <c r="F153" i="12"/>
  <c r="V31" i="11"/>
  <c r="V32" i="11"/>
  <c r="W26" i="11"/>
  <c r="R13" i="11"/>
  <c r="Q14" i="11"/>
  <c r="R12" i="11"/>
  <c r="C16" i="10"/>
  <c r="P15" i="11"/>
  <c r="T189" i="11"/>
  <c r="U188" i="11"/>
  <c r="T140" i="11"/>
  <c r="U191" i="11"/>
  <c r="T192" i="11"/>
  <c r="T186" i="11"/>
  <c r="U185" i="11"/>
  <c r="U195" i="11"/>
  <c r="V194" i="11"/>
  <c r="T137" i="11"/>
  <c r="W146" i="11"/>
  <c r="U143" i="11"/>
  <c r="AD17" i="11" l="1"/>
  <c r="C30" i="10"/>
  <c r="D153" i="12"/>
  <c r="AE16" i="11" s="1"/>
  <c r="C155" i="12"/>
  <c r="F154" i="12"/>
  <c r="W31" i="11"/>
  <c r="X26" i="11"/>
  <c r="W32" i="11"/>
  <c r="S12" i="11"/>
  <c r="R14" i="11"/>
  <c r="C17" i="10"/>
  <c r="Q15" i="11"/>
  <c r="S13" i="11"/>
  <c r="U140" i="11"/>
  <c r="U189" i="11"/>
  <c r="V188" i="11"/>
  <c r="X146" i="11"/>
  <c r="U192" i="11"/>
  <c r="V191" i="11"/>
  <c r="V195" i="11"/>
  <c r="W194" i="11"/>
  <c r="V143" i="11"/>
  <c r="U186" i="11"/>
  <c r="V185" i="11"/>
  <c r="U137" i="11"/>
  <c r="AE17" i="11" l="1"/>
  <c r="C31" i="10"/>
  <c r="D154" i="12"/>
  <c r="AF16" i="11" s="1"/>
  <c r="C156" i="12"/>
  <c r="F155" i="12"/>
  <c r="X31" i="11"/>
  <c r="X32" i="11"/>
  <c r="Y26" i="11"/>
  <c r="T13" i="11"/>
  <c r="C18" i="10"/>
  <c r="R15" i="11"/>
  <c r="S14" i="11"/>
  <c r="T12" i="11"/>
  <c r="Y146" i="11"/>
  <c r="W188" i="11"/>
  <c r="V189" i="11"/>
  <c r="V140" i="11"/>
  <c r="W191" i="11"/>
  <c r="V192" i="11"/>
  <c r="W143" i="11"/>
  <c r="V137" i="11"/>
  <c r="V186" i="11"/>
  <c r="W185" i="11"/>
  <c r="W195" i="11"/>
  <c r="X194" i="11"/>
  <c r="AF17" i="11" l="1"/>
  <c r="C32" i="10"/>
  <c r="D155" i="12"/>
  <c r="AG16" i="11" s="1"/>
  <c r="C157" i="12"/>
  <c r="F156" i="12"/>
  <c r="Y31" i="11"/>
  <c r="Y32" i="11"/>
  <c r="Z26" i="11"/>
  <c r="U12" i="11"/>
  <c r="V12" i="11" s="1"/>
  <c r="T14" i="11"/>
  <c r="S15" i="11"/>
  <c r="C19" i="10"/>
  <c r="U13" i="11"/>
  <c r="V13" i="11" s="1"/>
  <c r="W13" i="11" s="1"/>
  <c r="X13" i="11" s="1"/>
  <c r="W140" i="11"/>
  <c r="X195" i="11"/>
  <c r="Y194" i="11"/>
  <c r="W189" i="11"/>
  <c r="X188" i="11"/>
  <c r="Z146" i="11"/>
  <c r="X191" i="11"/>
  <c r="W192" i="11"/>
  <c r="X143" i="11"/>
  <c r="X185" i="11"/>
  <c r="W186" i="11"/>
  <c r="W137" i="11"/>
  <c r="AG17" i="11" l="1"/>
  <c r="C33" i="10"/>
  <c r="D156" i="12"/>
  <c r="AH16" i="11" s="1"/>
  <c r="C158" i="12"/>
  <c r="F157" i="12"/>
  <c r="V14" i="11"/>
  <c r="W12" i="11"/>
  <c r="Z31" i="11"/>
  <c r="Z32" i="11"/>
  <c r="AA26" i="11"/>
  <c r="T15" i="11"/>
  <c r="C20" i="10"/>
  <c r="U14" i="11"/>
  <c r="Y13" i="11"/>
  <c r="AA146" i="11"/>
  <c r="X189" i="11"/>
  <c r="Y188" i="11"/>
  <c r="Y195" i="11"/>
  <c r="Z194" i="11"/>
  <c r="X140" i="11"/>
  <c r="X192" i="11"/>
  <c r="Y191" i="11"/>
  <c r="Y143" i="11"/>
  <c r="X137" i="11"/>
  <c r="Y185" i="11"/>
  <c r="X186" i="11"/>
  <c r="C34" i="10" l="1"/>
  <c r="AH17" i="11"/>
  <c r="D157" i="12"/>
  <c r="AI16" i="11" s="1"/>
  <c r="F158" i="12"/>
  <c r="W14" i="11"/>
  <c r="X12" i="11"/>
  <c r="C22" i="10"/>
  <c r="V15" i="11"/>
  <c r="AA31" i="11"/>
  <c r="AB26" i="11"/>
  <c r="AA32" i="11"/>
  <c r="U15" i="11"/>
  <c r="C21" i="10"/>
  <c r="Z13" i="11"/>
  <c r="Z195" i="11"/>
  <c r="AA194" i="11"/>
  <c r="Y140" i="11"/>
  <c r="Y189" i="11"/>
  <c r="Z188" i="11"/>
  <c r="AB146" i="11"/>
  <c r="Z191" i="11"/>
  <c r="Y192" i="11"/>
  <c r="Y186" i="11"/>
  <c r="Z185" i="11"/>
  <c r="Y137" i="11"/>
  <c r="Z143" i="11"/>
  <c r="C35" i="10" l="1"/>
  <c r="AI17" i="11"/>
  <c r="D158" i="12"/>
  <c r="AJ16" i="11" s="1"/>
  <c r="X14" i="11"/>
  <c r="Y12" i="11"/>
  <c r="C23" i="10"/>
  <c r="W15" i="11"/>
  <c r="AB31" i="11"/>
  <c r="AC26" i="11"/>
  <c r="AB32" i="11"/>
  <c r="Z189" i="11"/>
  <c r="AA188" i="11"/>
  <c r="AC146" i="11"/>
  <c r="Z140" i="11"/>
  <c r="AA195" i="11"/>
  <c r="AB194" i="11"/>
  <c r="AA191" i="11"/>
  <c r="Z192" i="11"/>
  <c r="AA143" i="11"/>
  <c r="Z186" i="11"/>
  <c r="AA185" i="11"/>
  <c r="Z137" i="11"/>
  <c r="C36" i="10" l="1"/>
  <c r="AJ17" i="11"/>
  <c r="Z12" i="11"/>
  <c r="Z14" i="11" s="1"/>
  <c r="Y14" i="11"/>
  <c r="C24" i="10"/>
  <c r="X15" i="11"/>
  <c r="AC31" i="11"/>
  <c r="AC32" i="11"/>
  <c r="AD26" i="11"/>
  <c r="AB195" i="11"/>
  <c r="AC194" i="11"/>
  <c r="AD146" i="11"/>
  <c r="AA140" i="11"/>
  <c r="AB188" i="11"/>
  <c r="AA189" i="11"/>
  <c r="AA192" i="11"/>
  <c r="AB191" i="11"/>
  <c r="AA137" i="11"/>
  <c r="AB185" i="11"/>
  <c r="AA186" i="11"/>
  <c r="AB143" i="11"/>
  <c r="C26" i="10" l="1"/>
  <c r="D14" i="9"/>
  <c r="Z15" i="11"/>
  <c r="C25" i="10"/>
  <c r="Y15" i="11"/>
  <c r="AD31" i="11"/>
  <c r="AD32" i="11"/>
  <c r="AE26" i="11"/>
  <c r="AC188" i="11"/>
  <c r="AB189" i="11"/>
  <c r="AB140" i="11"/>
  <c r="AE146" i="11"/>
  <c r="AD194" i="11"/>
  <c r="AC195" i="11"/>
  <c r="AB192" i="11"/>
  <c r="AC191" i="11"/>
  <c r="AC143" i="11"/>
  <c r="AB186" i="11"/>
  <c r="AC185" i="11"/>
  <c r="AB137" i="11"/>
  <c r="AE31" i="11" l="1"/>
  <c r="AE32" i="11"/>
  <c r="AF26" i="11"/>
  <c r="AD195" i="11"/>
  <c r="AE194" i="11"/>
  <c r="AF146" i="11"/>
  <c r="AC140" i="11"/>
  <c r="AC189" i="11"/>
  <c r="AD188" i="11"/>
  <c r="AC192" i="11"/>
  <c r="AD191" i="11"/>
  <c r="AD143" i="11"/>
  <c r="AC137" i="11"/>
  <c r="AD185" i="11"/>
  <c r="AC186" i="11"/>
  <c r="AG26" i="11" l="1"/>
  <c r="AF31" i="11"/>
  <c r="AF32" i="11"/>
  <c r="AD140" i="11"/>
  <c r="AG146" i="11"/>
  <c r="AD189" i="11"/>
  <c r="AE188" i="11"/>
  <c r="AE195" i="11"/>
  <c r="AF194" i="11"/>
  <c r="AE191" i="11"/>
  <c r="AD192" i="11"/>
  <c r="AD186" i="11"/>
  <c r="AE185" i="11"/>
  <c r="AD137" i="11"/>
  <c r="AE143" i="11"/>
  <c r="AH26" i="11" l="1"/>
  <c r="AG31" i="11"/>
  <c r="AG32" i="11"/>
  <c r="AF188" i="11"/>
  <c r="AE189" i="11"/>
  <c r="AH146" i="11"/>
  <c r="AF195" i="11"/>
  <c r="AG194" i="11"/>
  <c r="AE140" i="11"/>
  <c r="AE192" i="11"/>
  <c r="AF191" i="11"/>
  <c r="AF143" i="11"/>
  <c r="AE137" i="11"/>
  <c r="AE186" i="11"/>
  <c r="AF185" i="11"/>
  <c r="AI26" i="11" l="1"/>
  <c r="AH31" i="11"/>
  <c r="AH32" i="11"/>
  <c r="AI146" i="11"/>
  <c r="AJ146" i="11"/>
  <c r="AF140" i="11"/>
  <c r="AG195" i="11"/>
  <c r="AH194" i="11"/>
  <c r="AF189" i="11"/>
  <c r="AG188" i="11"/>
  <c r="AG191" i="11"/>
  <c r="AF192" i="11"/>
  <c r="AG185" i="11"/>
  <c r="AF186" i="11"/>
  <c r="AF137" i="11"/>
  <c r="AG143" i="11"/>
  <c r="AJ26" i="11" l="1"/>
  <c r="AI31" i="11"/>
  <c r="AI32" i="11"/>
  <c r="AG140" i="11"/>
  <c r="AG189" i="11"/>
  <c r="AH188" i="11"/>
  <c r="AH195" i="11"/>
  <c r="AI194" i="11"/>
  <c r="AH191" i="11"/>
  <c r="AG192" i="11"/>
  <c r="AH143" i="11"/>
  <c r="AG137" i="11"/>
  <c r="AG186" i="11"/>
  <c r="AH185" i="11"/>
  <c r="AJ31" i="11" l="1"/>
  <c r="AJ32" i="11"/>
  <c r="AI195" i="11"/>
  <c r="AJ194" i="11"/>
  <c r="AJ195" i="11" s="1"/>
  <c r="AH189" i="11"/>
  <c r="AI188" i="11"/>
  <c r="AH140" i="11"/>
  <c r="AI191" i="11"/>
  <c r="AH192" i="11"/>
  <c r="AI185" i="11"/>
  <c r="AH186" i="11"/>
  <c r="AH137" i="11"/>
  <c r="AJ143" i="11"/>
  <c r="AI143" i="11"/>
  <c r="AI140" i="11" l="1"/>
  <c r="AJ140" i="11"/>
  <c r="AI189" i="11"/>
  <c r="AJ188" i="11"/>
  <c r="AJ189" i="11" s="1"/>
  <c r="AI192" i="11"/>
  <c r="AJ191" i="11"/>
  <c r="AJ192" i="11" s="1"/>
  <c r="AJ137" i="11"/>
  <c r="AI137" i="11"/>
  <c r="AI186" i="11"/>
  <c r="AJ185" i="11"/>
  <c r="AJ186" i="11" s="1"/>
  <c r="U255" i="11" l="1"/>
  <c r="Q255" i="11"/>
  <c r="U265" i="11" l="1"/>
  <c r="Q265" i="11"/>
  <c r="Q50" i="11" l="1"/>
  <c r="U50" i="11"/>
  <c r="O226" i="11"/>
  <c r="N226" i="11"/>
  <c r="G226" i="11"/>
  <c r="M226" i="11"/>
  <c r="P226" i="11"/>
  <c r="J226" i="11"/>
  <c r="L226" i="11"/>
  <c r="K226" i="11"/>
  <c r="H226" i="11"/>
  <c r="I226" i="11"/>
  <c r="O228" i="11" l="1"/>
  <c r="I228" i="11"/>
  <c r="G21" i="10"/>
  <c r="K228" i="11"/>
  <c r="H228" i="11"/>
  <c r="J228" i="11"/>
  <c r="G17" i="10"/>
  <c r="L228" i="11"/>
  <c r="P228" i="11"/>
  <c r="N228" i="11"/>
  <c r="M228" i="11"/>
  <c r="L70" i="11" l="1"/>
  <c r="K70" i="11"/>
  <c r="N70" i="11"/>
  <c r="J70" i="11"/>
  <c r="I70" i="11"/>
  <c r="M70" i="11"/>
  <c r="P70" i="11"/>
  <c r="H70" i="11"/>
  <c r="O70" i="11"/>
  <c r="G21" i="7" l="1"/>
  <c r="G36" i="7" l="1"/>
  <c r="F86" i="11"/>
  <c r="AI33" i="11" l="1"/>
  <c r="AI38" i="11" s="1"/>
  <c r="AG33" i="11"/>
  <c r="AG38" i="11" s="1"/>
  <c r="AJ33" i="11"/>
  <c r="AJ38" i="11" s="1"/>
  <c r="AH33" i="11"/>
  <c r="AH38" i="11" s="1"/>
  <c r="AF33" i="11"/>
  <c r="AF38" i="11" s="1"/>
  <c r="F88" i="11"/>
  <c r="L33" i="11"/>
  <c r="U33" i="11"/>
  <c r="AD33" i="11"/>
  <c r="M33" i="11"/>
  <c r="R33" i="11"/>
  <c r="V33" i="11"/>
  <c r="Z33" i="11"/>
  <c r="G33" i="11"/>
  <c r="H33" i="11"/>
  <c r="N33" i="11"/>
  <c r="AE33" i="11"/>
  <c r="I33" i="11"/>
  <c r="O33" i="11"/>
  <c r="S33" i="11"/>
  <c r="W33" i="11"/>
  <c r="AA33" i="11"/>
  <c r="J33" i="11"/>
  <c r="P33" i="11"/>
  <c r="T33" i="11"/>
  <c r="X33" i="11"/>
  <c r="AB33" i="11"/>
  <c r="K33" i="11"/>
  <c r="Q33" i="11"/>
  <c r="Y33" i="11"/>
  <c r="AC33" i="11"/>
  <c r="H92" i="11" l="1"/>
  <c r="Z92" i="11"/>
  <c r="V92" i="11"/>
  <c r="X92" i="11"/>
  <c r="Z93" i="11"/>
  <c r="V93" i="11"/>
  <c r="W92" i="11"/>
  <c r="Y93" i="11"/>
  <c r="Y92" i="11"/>
  <c r="W93" i="11"/>
  <c r="X93" i="11"/>
  <c r="L92" i="11"/>
  <c r="L46" i="11" s="1"/>
  <c r="T93" i="11"/>
  <c r="T92" i="11"/>
  <c r="U93" i="11"/>
  <c r="U92" i="11"/>
  <c r="O92" i="11"/>
  <c r="O46" i="11" s="1"/>
  <c r="M92" i="11"/>
  <c r="N93" i="11"/>
  <c r="N98" i="11" s="1"/>
  <c r="AF40" i="11"/>
  <c r="AF39" i="11"/>
  <c r="E32" i="10"/>
  <c r="S32" i="10" s="1"/>
  <c r="E34" i="10"/>
  <c r="S34" i="10" s="1"/>
  <c r="AH39" i="11"/>
  <c r="AH40" i="11"/>
  <c r="O93" i="11"/>
  <c r="O49" i="11" s="1"/>
  <c r="AJ39" i="11"/>
  <c r="E36" i="10"/>
  <c r="AJ40" i="11"/>
  <c r="K92" i="11"/>
  <c r="K46" i="11" s="1"/>
  <c r="L93" i="11"/>
  <c r="L49" i="11" s="1"/>
  <c r="J93" i="11"/>
  <c r="J49" i="11" s="1"/>
  <c r="M93" i="11"/>
  <c r="M49" i="11" s="1"/>
  <c r="H93" i="11"/>
  <c r="H49" i="11" s="1"/>
  <c r="AG39" i="11"/>
  <c r="AG40" i="11"/>
  <c r="E33" i="10"/>
  <c r="S33" i="10" s="1"/>
  <c r="S93" i="11"/>
  <c r="S98" i="11" s="1"/>
  <c r="Q93" i="11"/>
  <c r="Q98" i="11" s="1"/>
  <c r="Q92" i="11"/>
  <c r="Q46" i="11" s="1"/>
  <c r="J92" i="11"/>
  <c r="E35" i="10"/>
  <c r="S35" i="10" s="1"/>
  <c r="AI39" i="11"/>
  <c r="AI40" i="11"/>
  <c r="K93" i="11"/>
  <c r="K49" i="11" s="1"/>
  <c r="I93" i="11"/>
  <c r="I49" i="11" s="1"/>
  <c r="G92" i="11"/>
  <c r="G46" i="11" s="1"/>
  <c r="P92" i="11"/>
  <c r="P46" i="11" s="1"/>
  <c r="R92" i="11"/>
  <c r="R46" i="11" s="1"/>
  <c r="F97" i="11"/>
  <c r="F99" i="11" s="1"/>
  <c r="G93" i="11"/>
  <c r="G49" i="11" s="1"/>
  <c r="R93" i="11"/>
  <c r="R49" i="11" s="1"/>
  <c r="N92" i="11"/>
  <c r="N46" i="11" s="1"/>
  <c r="I92" i="11"/>
  <c r="I46" i="11" s="1"/>
  <c r="G66" i="7"/>
  <c r="S92" i="11"/>
  <c r="S46" i="11" s="1"/>
  <c r="P93" i="11"/>
  <c r="K38" i="11"/>
  <c r="K39" i="11" s="1"/>
  <c r="S38" i="11"/>
  <c r="S40" i="11" s="1"/>
  <c r="V38" i="11"/>
  <c r="V40" i="11" s="1"/>
  <c r="AB38" i="11"/>
  <c r="AB39" i="11" s="1"/>
  <c r="O38" i="11"/>
  <c r="O39" i="11" s="1"/>
  <c r="R38" i="11"/>
  <c r="E18" i="10" s="1"/>
  <c r="X38" i="11"/>
  <c r="E24" i="10" s="1"/>
  <c r="I38" i="11"/>
  <c r="I39" i="11" s="1"/>
  <c r="M38" i="11"/>
  <c r="M39" i="11" s="1"/>
  <c r="T38" i="11"/>
  <c r="T39" i="11" s="1"/>
  <c r="AE38" i="11"/>
  <c r="E31" i="10" s="1"/>
  <c r="AD38" i="11"/>
  <c r="E30" i="10" s="1"/>
  <c r="S30" i="10" s="1"/>
  <c r="P38" i="11"/>
  <c r="P39" i="11" s="1"/>
  <c r="N38" i="11"/>
  <c r="N39" i="11" s="1"/>
  <c r="U38" i="11"/>
  <c r="U39" i="11" s="1"/>
  <c r="AC38" i="11"/>
  <c r="AC39" i="11" s="1"/>
  <c r="J38" i="11"/>
  <c r="J40" i="11" s="1"/>
  <c r="H38" i="11"/>
  <c r="L38" i="11"/>
  <c r="Y38" i="11"/>
  <c r="Y40" i="11" s="1"/>
  <c r="AA38" i="11"/>
  <c r="AA39" i="11" s="1"/>
  <c r="G38" i="11"/>
  <c r="Q38" i="11"/>
  <c r="W38" i="11"/>
  <c r="E23" i="10" s="1"/>
  <c r="Z38" i="11"/>
  <c r="E26" i="10" s="1"/>
  <c r="H46" i="11"/>
  <c r="Z98" i="11" l="1"/>
  <c r="Z49" i="11"/>
  <c r="W46" i="11"/>
  <c r="W91" i="11"/>
  <c r="F23" i="10" s="1"/>
  <c r="S23" i="10" s="1"/>
  <c r="X46" i="11"/>
  <c r="X91" i="11"/>
  <c r="F24" i="10" s="1"/>
  <c r="X98" i="11"/>
  <c r="X49" i="11"/>
  <c r="Y49" i="11"/>
  <c r="Y98" i="11"/>
  <c r="V49" i="11"/>
  <c r="V98" i="11"/>
  <c r="V46" i="11"/>
  <c r="V91" i="11"/>
  <c r="F22" i="10" s="1"/>
  <c r="W98" i="11"/>
  <c r="W49" i="11"/>
  <c r="Y91" i="11"/>
  <c r="F25" i="10" s="1"/>
  <c r="Y46" i="11"/>
  <c r="S24" i="10"/>
  <c r="Z91" i="11"/>
  <c r="F26" i="10" s="1"/>
  <c r="Z46" i="11"/>
  <c r="J91" i="11"/>
  <c r="F10" i="10" s="1"/>
  <c r="K91" i="11"/>
  <c r="F11" i="10" s="1"/>
  <c r="K98" i="11"/>
  <c r="M91" i="11"/>
  <c r="F13" i="10" s="1"/>
  <c r="J46" i="11"/>
  <c r="N91" i="11"/>
  <c r="F14" i="10" s="1"/>
  <c r="N49" i="11"/>
  <c r="M46" i="11"/>
  <c r="H91" i="11"/>
  <c r="F8" i="10" s="1"/>
  <c r="U91" i="11"/>
  <c r="F21" i="10" s="1"/>
  <c r="U46" i="11"/>
  <c r="U49" i="11"/>
  <c r="U98" i="11"/>
  <c r="T46" i="11"/>
  <c r="T91" i="11"/>
  <c r="F20" i="10" s="1"/>
  <c r="T49" i="11"/>
  <c r="T98" i="11"/>
  <c r="O91" i="11"/>
  <c r="F15" i="10" s="1"/>
  <c r="M98" i="11"/>
  <c r="O98" i="11"/>
  <c r="X39" i="11"/>
  <c r="J98" i="11"/>
  <c r="AB40" i="11"/>
  <c r="S49" i="11"/>
  <c r="R39" i="11"/>
  <c r="O40" i="11"/>
  <c r="Q91" i="11"/>
  <c r="F17" i="10" s="1"/>
  <c r="L91" i="11"/>
  <c r="F12" i="10" s="1"/>
  <c r="E14" i="10"/>
  <c r="L98" i="11"/>
  <c r="I98" i="11"/>
  <c r="E28" i="10"/>
  <c r="S28" i="10" s="1"/>
  <c r="S91" i="11"/>
  <c r="F19" i="10" s="1"/>
  <c r="AD39" i="11"/>
  <c r="AD40" i="11"/>
  <c r="Q49" i="11"/>
  <c r="P91" i="11"/>
  <c r="F16" i="10" s="1"/>
  <c r="H98" i="11"/>
  <c r="E13" i="10"/>
  <c r="Y39" i="11"/>
  <c r="P49" i="11"/>
  <c r="X40" i="11"/>
  <c r="J39" i="11"/>
  <c r="P98" i="11"/>
  <c r="E21" i="10"/>
  <c r="U40" i="11"/>
  <c r="S39" i="11"/>
  <c r="T40" i="11"/>
  <c r="E20" i="10"/>
  <c r="G98" i="11"/>
  <c r="N40" i="11"/>
  <c r="E9" i="10"/>
  <c r="I40" i="11"/>
  <c r="E19" i="10"/>
  <c r="W40" i="11"/>
  <c r="W39" i="11"/>
  <c r="R98" i="11"/>
  <c r="V39" i="11"/>
  <c r="M40" i="11"/>
  <c r="AC40" i="11"/>
  <c r="K40" i="11"/>
  <c r="E29" i="10"/>
  <c r="S29" i="10" s="1"/>
  <c r="E22" i="10"/>
  <c r="E11" i="10"/>
  <c r="G91" i="11"/>
  <c r="F7" i="10" s="1"/>
  <c r="R91" i="11"/>
  <c r="F18" i="10" s="1"/>
  <c r="S18" i="10" s="1"/>
  <c r="AE39" i="11"/>
  <c r="E10" i="10"/>
  <c r="E27" i="10"/>
  <c r="E15" i="10"/>
  <c r="AA40" i="11"/>
  <c r="I91" i="11"/>
  <c r="F9" i="10" s="1"/>
  <c r="E16" i="10"/>
  <c r="R40" i="11"/>
  <c r="P40" i="11"/>
  <c r="AE40" i="11"/>
  <c r="E25" i="10"/>
  <c r="L40" i="11"/>
  <c r="L39" i="11"/>
  <c r="H39" i="11"/>
  <c r="Q39" i="11"/>
  <c r="Q40" i="11"/>
  <c r="E7" i="10"/>
  <c r="Z40" i="11"/>
  <c r="E17" i="10"/>
  <c r="G40" i="11"/>
  <c r="E8" i="10"/>
  <c r="Z39" i="11"/>
  <c r="E12" i="10"/>
  <c r="G39" i="11"/>
  <c r="H40" i="11"/>
  <c r="G96" i="11"/>
  <c r="S25" i="10" l="1"/>
  <c r="S21" i="10"/>
  <c r="S14" i="10"/>
  <c r="S13" i="10"/>
  <c r="Q68" i="7"/>
  <c r="F255" i="11" s="1"/>
  <c r="S16" i="10"/>
  <c r="S19" i="10"/>
  <c r="S9" i="10"/>
  <c r="S10" i="10"/>
  <c r="S15" i="10"/>
  <c r="S11" i="10"/>
  <c r="S12" i="10"/>
  <c r="S17" i="10"/>
  <c r="S8" i="10"/>
  <c r="S7" i="10"/>
  <c r="Q71" i="7"/>
  <c r="F256" i="11" s="1"/>
  <c r="G99" i="11"/>
  <c r="V255" i="11" l="1"/>
  <c r="V265" i="11" s="1"/>
  <c r="V50" i="11" s="1"/>
  <c r="G22" i="10" s="1"/>
  <c r="S22" i="10" s="1"/>
  <c r="AA255" i="11"/>
  <c r="AA265" i="11" s="1"/>
  <c r="AA50" i="11" s="1"/>
  <c r="G27" i="10" s="1"/>
  <c r="S27" i="10" s="1"/>
  <c r="AJ256" i="11"/>
  <c r="AJ265" i="11" s="1"/>
  <c r="AJ50" i="11" s="1"/>
  <c r="G36" i="10" s="1"/>
  <c r="S36" i="10" s="1"/>
  <c r="Z256" i="11"/>
  <c r="Z265" i="11" s="1"/>
  <c r="Z50" i="11" s="1"/>
  <c r="G26" i="10" s="1"/>
  <c r="S26" i="10" s="1"/>
  <c r="C109" i="12"/>
  <c r="C110" i="12" s="1"/>
  <c r="D110" i="12" s="1"/>
  <c r="G20" i="7"/>
  <c r="H96" i="11"/>
  <c r="AE256" i="11"/>
  <c r="N120" i="12"/>
  <c r="N121" i="12" s="1"/>
  <c r="F262" i="11"/>
  <c r="T255" i="11"/>
  <c r="C105" i="11" l="1"/>
  <c r="Q22" i="7"/>
  <c r="C118" i="11" s="1"/>
  <c r="C114" i="11"/>
  <c r="C164" i="11"/>
  <c r="C106" i="11"/>
  <c r="C112" i="11"/>
  <c r="C160" i="11"/>
  <c r="C163" i="11"/>
  <c r="C159" i="11"/>
  <c r="C108" i="11"/>
  <c r="C111" i="11"/>
  <c r="C161" i="11"/>
  <c r="C110" i="11"/>
  <c r="C107" i="11"/>
  <c r="C162" i="11"/>
  <c r="C109" i="11"/>
  <c r="C158" i="11"/>
  <c r="C157" i="11"/>
  <c r="C156" i="11"/>
  <c r="G22" i="7"/>
  <c r="T265" i="11"/>
  <c r="G254" i="11"/>
  <c r="AE265" i="11"/>
  <c r="H99" i="11"/>
  <c r="C120" i="12"/>
  <c r="C121" i="12" s="1"/>
  <c r="D120" i="12"/>
  <c r="C116" i="11" l="1"/>
  <c r="C117" i="11" s="1"/>
  <c r="C166" i="11"/>
  <c r="D156" i="11" s="1"/>
  <c r="G225" i="11"/>
  <c r="G228" i="11" s="1"/>
  <c r="G70" i="11" s="1"/>
  <c r="C168" i="11"/>
  <c r="G23" i="7"/>
  <c r="G25" i="7"/>
  <c r="G26" i="7" s="1"/>
  <c r="G262" i="11"/>
  <c r="H254" i="11" s="1"/>
  <c r="H262" i="11" s="1"/>
  <c r="AE50" i="11"/>
  <c r="T50" i="11"/>
  <c r="I96" i="11"/>
  <c r="D107" i="11" l="1"/>
  <c r="E107" i="11" s="1"/>
  <c r="H124" i="11" s="1"/>
  <c r="D110" i="11"/>
  <c r="E110" i="11" s="1"/>
  <c r="H127" i="11" s="1"/>
  <c r="D108" i="11"/>
  <c r="E108" i="11" s="1"/>
  <c r="AI125" i="11" s="1"/>
  <c r="D163" i="11"/>
  <c r="E163" i="11" s="1"/>
  <c r="AA179" i="11" s="1"/>
  <c r="E156" i="11"/>
  <c r="Y172" i="11" s="1"/>
  <c r="D158" i="11"/>
  <c r="E158" i="11" s="1"/>
  <c r="AH174" i="11" s="1"/>
  <c r="D105" i="11"/>
  <c r="D112" i="11"/>
  <c r="E112" i="11" s="1"/>
  <c r="R129" i="11" s="1"/>
  <c r="D160" i="11"/>
  <c r="E160" i="11" s="1"/>
  <c r="AH176" i="11" s="1"/>
  <c r="D159" i="11"/>
  <c r="E159" i="11" s="1"/>
  <c r="AB175" i="11" s="1"/>
  <c r="D114" i="11"/>
  <c r="E114" i="11" s="1"/>
  <c r="D106" i="11"/>
  <c r="E106" i="11" s="1"/>
  <c r="AB123" i="11" s="1"/>
  <c r="D157" i="11"/>
  <c r="E157" i="11" s="1"/>
  <c r="D111" i="11"/>
  <c r="E111" i="11" s="1"/>
  <c r="C167" i="11"/>
  <c r="D109" i="11"/>
  <c r="E109" i="11" s="1"/>
  <c r="D162" i="11"/>
  <c r="E162" i="11" s="1"/>
  <c r="AJ178" i="11" s="1"/>
  <c r="E113" i="11"/>
  <c r="AE130" i="11" s="1"/>
  <c r="D164" i="11"/>
  <c r="E164" i="11" s="1"/>
  <c r="D161" i="11"/>
  <c r="E161" i="11" s="1"/>
  <c r="K177" i="11" s="1"/>
  <c r="D21" i="9"/>
  <c r="F55" i="11"/>
  <c r="G67" i="7" s="1"/>
  <c r="G264" i="11"/>
  <c r="G22" i="11" s="1"/>
  <c r="G23" i="11" s="1"/>
  <c r="G42" i="11" s="1"/>
  <c r="G44" i="11" s="1"/>
  <c r="G20" i="10"/>
  <c r="S20" i="10" s="1"/>
  <c r="I254" i="11"/>
  <c r="I262" i="11" s="1"/>
  <c r="I99" i="11"/>
  <c r="G31" i="10"/>
  <c r="S31" i="10" s="1"/>
  <c r="D22" i="9"/>
  <c r="H264" i="11"/>
  <c r="G124" i="11" l="1"/>
  <c r="M124" i="11"/>
  <c r="AH124" i="11"/>
  <c r="AE124" i="11"/>
  <c r="S124" i="11"/>
  <c r="K124" i="11"/>
  <c r="L124" i="11"/>
  <c r="U124" i="11"/>
  <c r="O124" i="11"/>
  <c r="AI124" i="11"/>
  <c r="J124" i="11"/>
  <c r="W124" i="11"/>
  <c r="N124" i="11"/>
  <c r="AC124" i="11"/>
  <c r="AA124" i="11"/>
  <c r="AB124" i="11"/>
  <c r="T124" i="11"/>
  <c r="P124" i="11"/>
  <c r="AG124" i="11"/>
  <c r="Q124" i="11"/>
  <c r="Z124" i="11"/>
  <c r="X124" i="11"/>
  <c r="AD124" i="11"/>
  <c r="AJ124" i="11"/>
  <c r="R124" i="11"/>
  <c r="I124" i="11"/>
  <c r="V124" i="11"/>
  <c r="Y124" i="11"/>
  <c r="AF124" i="11"/>
  <c r="V127" i="11"/>
  <c r="P127" i="11"/>
  <c r="AC127" i="11"/>
  <c r="F57" i="11"/>
  <c r="F72" i="11" s="1"/>
  <c r="W127" i="11"/>
  <c r="AA127" i="11"/>
  <c r="M127" i="11"/>
  <c r="AB127" i="11"/>
  <c r="AF127" i="11"/>
  <c r="K127" i="11"/>
  <c r="AI127" i="11"/>
  <c r="Z127" i="11"/>
  <c r="O127" i="11"/>
  <c r="Y127" i="11"/>
  <c r="AD127" i="11"/>
  <c r="S127" i="11"/>
  <c r="R127" i="11"/>
  <c r="G127" i="11"/>
  <c r="AG176" i="11"/>
  <c r="N127" i="11"/>
  <c r="I127" i="11"/>
  <c r="AJ127" i="11"/>
  <c r="L127" i="11"/>
  <c r="Q127" i="11"/>
  <c r="J127" i="11"/>
  <c r="T127" i="11"/>
  <c r="AC176" i="11"/>
  <c r="G176" i="11"/>
  <c r="N176" i="11"/>
  <c r="AG127" i="11"/>
  <c r="AH127" i="11"/>
  <c r="AE127" i="11"/>
  <c r="Y176" i="11"/>
  <c r="X127" i="11"/>
  <c r="U127" i="11"/>
  <c r="S176" i="11"/>
  <c r="Z176" i="11"/>
  <c r="AB176" i="11"/>
  <c r="M176" i="11"/>
  <c r="W176" i="11"/>
  <c r="U176" i="11"/>
  <c r="AF176" i="11"/>
  <c r="O176" i="11"/>
  <c r="J176" i="11"/>
  <c r="R176" i="11"/>
  <c r="AI176" i="11"/>
  <c r="V176" i="11"/>
  <c r="L176" i="11"/>
  <c r="Q176" i="11"/>
  <c r="I176" i="11"/>
  <c r="AD176" i="11"/>
  <c r="K176" i="11"/>
  <c r="T176" i="11"/>
  <c r="P176" i="11"/>
  <c r="AJ176" i="11"/>
  <c r="AA176" i="11"/>
  <c r="H176" i="11"/>
  <c r="AE176" i="11"/>
  <c r="X176" i="11"/>
  <c r="P125" i="11"/>
  <c r="W125" i="11"/>
  <c r="R125" i="11"/>
  <c r="V129" i="11"/>
  <c r="H125" i="11"/>
  <c r="G129" i="11"/>
  <c r="N129" i="11"/>
  <c r="AF125" i="11"/>
  <c r="J129" i="11"/>
  <c r="AD125" i="11"/>
  <c r="AC125" i="11"/>
  <c r="V125" i="11"/>
  <c r="AF129" i="11"/>
  <c r="L125" i="11"/>
  <c r="H129" i="11"/>
  <c r="I129" i="11"/>
  <c r="AE129" i="11"/>
  <c r="G125" i="11"/>
  <c r="S129" i="11"/>
  <c r="AB129" i="11"/>
  <c r="U125" i="11"/>
  <c r="Z129" i="11"/>
  <c r="M174" i="11"/>
  <c r="AE125" i="11"/>
  <c r="K125" i="11"/>
  <c r="N125" i="11"/>
  <c r="X125" i="11"/>
  <c r="AB125" i="11"/>
  <c r="M129" i="11"/>
  <c r="AI129" i="11"/>
  <c r="P129" i="11"/>
  <c r="J125" i="11"/>
  <c r="AG125" i="11"/>
  <c r="S125" i="11"/>
  <c r="L129" i="11"/>
  <c r="X129" i="11"/>
  <c r="O129" i="11"/>
  <c r="K129" i="11"/>
  <c r="Z125" i="11"/>
  <c r="T125" i="11"/>
  <c r="AH125" i="11"/>
  <c r="AJ125" i="11"/>
  <c r="Y125" i="11"/>
  <c r="T129" i="11"/>
  <c r="U129" i="11"/>
  <c r="I125" i="11"/>
  <c r="O125" i="11"/>
  <c r="Q125" i="11"/>
  <c r="AG129" i="11"/>
  <c r="W129" i="11"/>
  <c r="AC129" i="11"/>
  <c r="Y129" i="11"/>
  <c r="AH129" i="11"/>
  <c r="AA125" i="11"/>
  <c r="M125" i="11"/>
  <c r="AA129" i="11"/>
  <c r="Q129" i="11"/>
  <c r="AJ129" i="11"/>
  <c r="AD129" i="11"/>
  <c r="AE128" i="11"/>
  <c r="P128" i="11"/>
  <c r="G128" i="11"/>
  <c r="D116" i="11"/>
  <c r="D117" i="11" s="1"/>
  <c r="N130" i="11"/>
  <c r="K130" i="11"/>
  <c r="AF173" i="11"/>
  <c r="Y173" i="11"/>
  <c r="AH173" i="11"/>
  <c r="L128" i="11"/>
  <c r="T128" i="11"/>
  <c r="O128" i="11"/>
  <c r="W128" i="11"/>
  <c r="AD128" i="11"/>
  <c r="AA128" i="11"/>
  <c r="H128" i="11"/>
  <c r="J128" i="11"/>
  <c r="Z123" i="11"/>
  <c r="AF128" i="11"/>
  <c r="Y128" i="11"/>
  <c r="AH128" i="11"/>
  <c r="X128" i="11"/>
  <c r="Z128" i="11"/>
  <c r="U128" i="11"/>
  <c r="N128" i="11"/>
  <c r="I128" i="11"/>
  <c r="M128" i="11"/>
  <c r="AG128" i="11"/>
  <c r="AB128" i="11"/>
  <c r="V128" i="11"/>
  <c r="S128" i="11"/>
  <c r="AC128" i="11"/>
  <c r="AJ128" i="11"/>
  <c r="K128" i="11"/>
  <c r="Q128" i="11"/>
  <c r="AI128" i="11"/>
  <c r="R128" i="11"/>
  <c r="U130" i="11"/>
  <c r="J130" i="11"/>
  <c r="H179" i="11"/>
  <c r="S179" i="11"/>
  <c r="Q173" i="11"/>
  <c r="G126" i="11"/>
  <c r="AI126" i="11"/>
  <c r="J126" i="11"/>
  <c r="AB126" i="11"/>
  <c r="S126" i="11"/>
  <c r="P126" i="11"/>
  <c r="I126" i="11"/>
  <c r="AH126" i="11"/>
  <c r="L126" i="11"/>
  <c r="U126" i="11"/>
  <c r="AC126" i="11"/>
  <c r="R126" i="11"/>
  <c r="AJ126" i="11"/>
  <c r="V126" i="11"/>
  <c r="X126" i="11"/>
  <c r="AG130" i="11"/>
  <c r="T130" i="11"/>
  <c r="H130" i="11"/>
  <c r="P130" i="11"/>
  <c r="AJ130" i="11"/>
  <c r="I130" i="11"/>
  <c r="G130" i="11"/>
  <c r="Y130" i="11"/>
  <c r="AI130" i="11"/>
  <c r="V172" i="11"/>
  <c r="Z130" i="11"/>
  <c r="W130" i="11"/>
  <c r="Q172" i="11"/>
  <c r="AC130" i="11"/>
  <c r="AH130" i="11"/>
  <c r="N172" i="11"/>
  <c r="R130" i="11"/>
  <c r="AA130" i="11"/>
  <c r="AB130" i="11"/>
  <c r="AB172" i="11"/>
  <c r="K172" i="11"/>
  <c r="AG179" i="11"/>
  <c r="I179" i="11"/>
  <c r="AE179" i="11"/>
  <c r="AC179" i="11"/>
  <c r="AF130" i="11"/>
  <c r="AD130" i="11"/>
  <c r="AH172" i="11"/>
  <c r="V179" i="11"/>
  <c r="L130" i="11"/>
  <c r="AI172" i="11"/>
  <c r="S130" i="11"/>
  <c r="AJ172" i="11"/>
  <c r="O130" i="11"/>
  <c r="X130" i="11"/>
  <c r="M130" i="11"/>
  <c r="V130" i="11"/>
  <c r="K123" i="11"/>
  <c r="AF126" i="11"/>
  <c r="J123" i="11"/>
  <c r="O126" i="11"/>
  <c r="AJ179" i="11"/>
  <c r="N126" i="11"/>
  <c r="K126" i="11"/>
  <c r="M126" i="11"/>
  <c r="Q126" i="11"/>
  <c r="U123" i="11"/>
  <c r="Y126" i="11"/>
  <c r="E105" i="11"/>
  <c r="Q122" i="11" s="1"/>
  <c r="AG126" i="11"/>
  <c r="Y123" i="11"/>
  <c r="AD123" i="11"/>
  <c r="M172" i="11"/>
  <c r="AA172" i="11"/>
  <c r="AD172" i="11"/>
  <c r="Z126" i="11"/>
  <c r="T126" i="11"/>
  <c r="R123" i="11"/>
  <c r="L172" i="11"/>
  <c r="R172" i="11"/>
  <c r="AD126" i="11"/>
  <c r="H126" i="11"/>
  <c r="AF172" i="11"/>
  <c r="I172" i="11"/>
  <c r="S172" i="11"/>
  <c r="T172" i="11"/>
  <c r="V123" i="11"/>
  <c r="H172" i="11"/>
  <c r="AE172" i="11"/>
  <c r="U172" i="11"/>
  <c r="L123" i="11"/>
  <c r="AG123" i="11"/>
  <c r="Q123" i="11"/>
  <c r="AE123" i="11"/>
  <c r="M123" i="11"/>
  <c r="W123" i="11"/>
  <c r="AF123" i="11"/>
  <c r="AI123" i="11"/>
  <c r="O123" i="11"/>
  <c r="AJ123" i="11"/>
  <c r="R178" i="11"/>
  <c r="AB173" i="11"/>
  <c r="O179" i="11"/>
  <c r="U179" i="11"/>
  <c r="K179" i="11"/>
  <c r="N179" i="11"/>
  <c r="AF179" i="11"/>
  <c r="L179" i="11"/>
  <c r="AD179" i="11"/>
  <c r="M179" i="11"/>
  <c r="R179" i="11"/>
  <c r="W179" i="11"/>
  <c r="J179" i="11"/>
  <c r="P179" i="11"/>
  <c r="Q179" i="11"/>
  <c r="X179" i="11"/>
  <c r="G179" i="11"/>
  <c r="AI179" i="11"/>
  <c r="T179" i="11"/>
  <c r="AH179" i="11"/>
  <c r="Y179" i="11"/>
  <c r="Z179" i="11"/>
  <c r="AB179" i="11"/>
  <c r="L178" i="11"/>
  <c r="I178" i="11"/>
  <c r="W126" i="11"/>
  <c r="X123" i="11"/>
  <c r="P123" i="11"/>
  <c r="AE126" i="11"/>
  <c r="AA126" i="11"/>
  <c r="W172" i="11"/>
  <c r="J175" i="11"/>
  <c r="T123" i="11"/>
  <c r="AG178" i="11"/>
  <c r="S178" i="11"/>
  <c r="AC123" i="11"/>
  <c r="N123" i="11"/>
  <c r="AG172" i="11"/>
  <c r="AH123" i="11"/>
  <c r="I175" i="11"/>
  <c r="S123" i="11"/>
  <c r="L175" i="11"/>
  <c r="H123" i="11"/>
  <c r="AE178" i="11"/>
  <c r="AD178" i="11"/>
  <c r="Q130" i="11"/>
  <c r="X175" i="11"/>
  <c r="R175" i="11"/>
  <c r="AD175" i="11"/>
  <c r="P175" i="11"/>
  <c r="K175" i="11"/>
  <c r="Q175" i="11"/>
  <c r="T175" i="11"/>
  <c r="N175" i="11"/>
  <c r="AC175" i="11"/>
  <c r="U175" i="11"/>
  <c r="S175" i="11"/>
  <c r="W175" i="11"/>
  <c r="AJ175" i="11"/>
  <c r="AI175" i="11"/>
  <c r="AA178" i="11"/>
  <c r="AE175" i="11"/>
  <c r="AH175" i="11"/>
  <c r="Z175" i="11"/>
  <c r="G175" i="11"/>
  <c r="AF178" i="11"/>
  <c r="AI178" i="11"/>
  <c r="H175" i="11"/>
  <c r="AA175" i="11"/>
  <c r="M175" i="11"/>
  <c r="Y175" i="11"/>
  <c r="K178" i="11"/>
  <c r="O175" i="11"/>
  <c r="V175" i="11"/>
  <c r="AF175" i="11"/>
  <c r="AG175" i="11"/>
  <c r="G123" i="11"/>
  <c r="H178" i="11"/>
  <c r="G172" i="11"/>
  <c r="P174" i="11"/>
  <c r="V178" i="11"/>
  <c r="M178" i="11"/>
  <c r="Y178" i="11"/>
  <c r="J178" i="11"/>
  <c r="G174" i="11"/>
  <c r="AI174" i="11"/>
  <c r="Z173" i="11"/>
  <c r="AA174" i="11"/>
  <c r="Z178" i="11"/>
  <c r="X178" i="11"/>
  <c r="AF174" i="11"/>
  <c r="Y174" i="11"/>
  <c r="X173" i="11"/>
  <c r="T174" i="11"/>
  <c r="V173" i="11"/>
  <c r="AC178" i="11"/>
  <c r="AG174" i="11"/>
  <c r="AE174" i="11"/>
  <c r="T178" i="11"/>
  <c r="O178" i="11"/>
  <c r="U178" i="11"/>
  <c r="AJ174" i="11"/>
  <c r="V174" i="11"/>
  <c r="K174" i="11"/>
  <c r="T173" i="11"/>
  <c r="AE173" i="11"/>
  <c r="AA123" i="11"/>
  <c r="AH178" i="11"/>
  <c r="Q178" i="11"/>
  <c r="W174" i="11"/>
  <c r="AC174" i="11"/>
  <c r="G178" i="11"/>
  <c r="I123" i="11"/>
  <c r="N178" i="11"/>
  <c r="P178" i="11"/>
  <c r="Q174" i="11"/>
  <c r="Z174" i="11"/>
  <c r="J177" i="11"/>
  <c r="N177" i="11"/>
  <c r="AJ177" i="11"/>
  <c r="Y177" i="11"/>
  <c r="M177" i="11"/>
  <c r="O177" i="11"/>
  <c r="AC177" i="11"/>
  <c r="AB177" i="11"/>
  <c r="W177" i="11"/>
  <c r="H174" i="11"/>
  <c r="AF177" i="11"/>
  <c r="AI177" i="11"/>
  <c r="L174" i="11"/>
  <c r="S174" i="11"/>
  <c r="T177" i="11"/>
  <c r="AG177" i="11"/>
  <c r="G177" i="11"/>
  <c r="R174" i="11"/>
  <c r="AD177" i="11"/>
  <c r="R177" i="11"/>
  <c r="AE177" i="11"/>
  <c r="E166" i="11"/>
  <c r="E167" i="11" s="1"/>
  <c r="I174" i="11"/>
  <c r="H177" i="11"/>
  <c r="U177" i="11"/>
  <c r="AB174" i="11"/>
  <c r="AD174" i="11"/>
  <c r="W178" i="11"/>
  <c r="O174" i="11"/>
  <c r="P177" i="11"/>
  <c r="I177" i="11"/>
  <c r="AB178" i="11"/>
  <c r="L177" i="11"/>
  <c r="AA177" i="11"/>
  <c r="U174" i="11"/>
  <c r="Z177" i="11"/>
  <c r="X174" i="11"/>
  <c r="AH177" i="11"/>
  <c r="S177" i="11"/>
  <c r="X177" i="11"/>
  <c r="J174" i="11"/>
  <c r="N174" i="11"/>
  <c r="AG173" i="11"/>
  <c r="AJ173" i="11"/>
  <c r="L173" i="11"/>
  <c r="AA173" i="11"/>
  <c r="N173" i="11"/>
  <c r="AD173" i="11"/>
  <c r="J173" i="11"/>
  <c r="G173" i="11"/>
  <c r="I173" i="11"/>
  <c r="O173" i="11"/>
  <c r="W173" i="11"/>
  <c r="AC173" i="11"/>
  <c r="K173" i="11"/>
  <c r="AI173" i="11"/>
  <c r="P173" i="11"/>
  <c r="V177" i="11"/>
  <c r="H173" i="11"/>
  <c r="R173" i="11"/>
  <c r="M173" i="11"/>
  <c r="S173" i="11"/>
  <c r="Q177" i="11"/>
  <c r="U173" i="11"/>
  <c r="AC172" i="11"/>
  <c r="X172" i="11"/>
  <c r="J172" i="11"/>
  <c r="O172" i="11"/>
  <c r="P172" i="11"/>
  <c r="Z172" i="11"/>
  <c r="D166" i="11"/>
  <c r="D167" i="11" s="1"/>
  <c r="H22" i="11"/>
  <c r="J96" i="11"/>
  <c r="J254" i="11"/>
  <c r="J262" i="11" s="1"/>
  <c r="E180" i="11"/>
  <c r="G69" i="7"/>
  <c r="F67" i="7" s="1"/>
  <c r="E131" i="11"/>
  <c r="I264" i="11"/>
  <c r="E124" i="11" l="1"/>
  <c r="E127" i="11"/>
  <c r="E176" i="11"/>
  <c r="AH197" i="11"/>
  <c r="AJ197" i="11"/>
  <c r="AF197" i="11"/>
  <c r="AI197" i="11"/>
  <c r="AG197" i="11"/>
  <c r="E125" i="11"/>
  <c r="E129" i="11"/>
  <c r="E128" i="11"/>
  <c r="AA122" i="11"/>
  <c r="AA148" i="11" s="1"/>
  <c r="AA60" i="11" s="1"/>
  <c r="X122" i="11"/>
  <c r="X148" i="11" s="1"/>
  <c r="X150" i="11" s="1"/>
  <c r="O122" i="11"/>
  <c r="O148" i="11" s="1"/>
  <c r="O150" i="11" s="1"/>
  <c r="E116" i="11"/>
  <c r="E117" i="11" s="1"/>
  <c r="E130" i="11"/>
  <c r="AD122" i="11"/>
  <c r="AD148" i="11" s="1"/>
  <c r="AD150" i="11" s="1"/>
  <c r="AE122" i="11"/>
  <c r="AE148" i="11" s="1"/>
  <c r="J122" i="11"/>
  <c r="J148" i="11" s="1"/>
  <c r="J150" i="11" s="1"/>
  <c r="AI122" i="11"/>
  <c r="AI148" i="11" s="1"/>
  <c r="M122" i="11"/>
  <c r="M148" i="11" s="1"/>
  <c r="M150" i="11" s="1"/>
  <c r="G122" i="11"/>
  <c r="G148" i="11" s="1"/>
  <c r="G150" i="11" s="1"/>
  <c r="L122" i="11"/>
  <c r="L148" i="11" s="1"/>
  <c r="L150" i="11" s="1"/>
  <c r="AF122" i="11"/>
  <c r="AF148" i="11" s="1"/>
  <c r="H122" i="11"/>
  <c r="H148" i="11" s="1"/>
  <c r="H150" i="11" s="1"/>
  <c r="W122" i="11"/>
  <c r="W148" i="11" s="1"/>
  <c r="W60" i="11" s="1"/>
  <c r="AH122" i="11"/>
  <c r="AH148" i="11" s="1"/>
  <c r="K122" i="11"/>
  <c r="K148" i="11" s="1"/>
  <c r="K60" i="11" s="1"/>
  <c r="T122" i="11"/>
  <c r="T148" i="11" s="1"/>
  <c r="T60" i="11" s="1"/>
  <c r="AG122" i="11"/>
  <c r="AG148" i="11" s="1"/>
  <c r="V122" i="11"/>
  <c r="V148" i="11" s="1"/>
  <c r="V150" i="11" s="1"/>
  <c r="U122" i="11"/>
  <c r="U148" i="11" s="1"/>
  <c r="U150" i="11" s="1"/>
  <c r="Y122" i="11"/>
  <c r="Y148" i="11" s="1"/>
  <c r="Y60" i="11" s="1"/>
  <c r="AJ122" i="11"/>
  <c r="AJ148" i="11" s="1"/>
  <c r="AC122" i="11"/>
  <c r="AC148" i="11" s="1"/>
  <c r="AC150" i="11" s="1"/>
  <c r="AB122" i="11"/>
  <c r="AB148" i="11" s="1"/>
  <c r="AB150" i="11" s="1"/>
  <c r="S122" i="11"/>
  <c r="S148" i="11" s="1"/>
  <c r="S60" i="11" s="1"/>
  <c r="I122" i="11"/>
  <c r="I148" i="11" s="1"/>
  <c r="I60" i="11" s="1"/>
  <c r="Q148" i="11"/>
  <c r="Q60" i="11" s="1"/>
  <c r="R122" i="11"/>
  <c r="R148" i="11" s="1"/>
  <c r="R60" i="11" s="1"/>
  <c r="Z122" i="11"/>
  <c r="Z148" i="11" s="1"/>
  <c r="Z60" i="11" s="1"/>
  <c r="N122" i="11"/>
  <c r="N148" i="11" s="1"/>
  <c r="P122" i="11"/>
  <c r="P148" i="11" s="1"/>
  <c r="P150" i="11" s="1"/>
  <c r="K197" i="11"/>
  <c r="K199" i="11" s="1"/>
  <c r="E126" i="11"/>
  <c r="AE197" i="11"/>
  <c r="AE61" i="11" s="1"/>
  <c r="E179" i="11"/>
  <c r="W197" i="11"/>
  <c r="W61" i="11" s="1"/>
  <c r="V197" i="11"/>
  <c r="V199" i="11" s="1"/>
  <c r="L197" i="11"/>
  <c r="L199" i="11" s="1"/>
  <c r="AD197" i="11"/>
  <c r="AD199" i="11" s="1"/>
  <c r="E178" i="11"/>
  <c r="E123" i="11"/>
  <c r="S197" i="11"/>
  <c r="S199" i="11" s="1"/>
  <c r="I197" i="11"/>
  <c r="I61" i="11" s="1"/>
  <c r="Y197" i="11"/>
  <c r="Y199" i="11" s="1"/>
  <c r="E174" i="11"/>
  <c r="E175" i="11"/>
  <c r="M197" i="11"/>
  <c r="M61" i="11" s="1"/>
  <c r="E177" i="11"/>
  <c r="T197" i="11"/>
  <c r="T61" i="11" s="1"/>
  <c r="AA197" i="11"/>
  <c r="AA199" i="11" s="1"/>
  <c r="Q197" i="11"/>
  <c r="Q61" i="11" s="1"/>
  <c r="O197" i="11"/>
  <c r="O199" i="11" s="1"/>
  <c r="G197" i="11"/>
  <c r="G61" i="11" s="1"/>
  <c r="N197" i="11"/>
  <c r="N61" i="11" s="1"/>
  <c r="X197" i="11"/>
  <c r="X199" i="11" s="1"/>
  <c r="H197" i="11"/>
  <c r="H199" i="11" s="1"/>
  <c r="AB197" i="11"/>
  <c r="AB199" i="11" s="1"/>
  <c r="P197" i="11"/>
  <c r="P61" i="11" s="1"/>
  <c r="U197" i="11"/>
  <c r="U61" i="11" s="1"/>
  <c r="R197" i="11"/>
  <c r="R61" i="11" s="1"/>
  <c r="AC197" i="11"/>
  <c r="AC199" i="11" s="1"/>
  <c r="J197" i="11"/>
  <c r="J61" i="11" s="1"/>
  <c r="E173" i="11"/>
  <c r="E172" i="11"/>
  <c r="Z197" i="11"/>
  <c r="Z61" i="11" s="1"/>
  <c r="M6" i="10"/>
  <c r="N6" i="10" s="1"/>
  <c r="D7" i="10"/>
  <c r="H7" i="10" s="1"/>
  <c r="H23" i="11"/>
  <c r="K254" i="11"/>
  <c r="K262" i="11" s="1"/>
  <c r="I22" i="11"/>
  <c r="J99" i="11"/>
  <c r="F68" i="7"/>
  <c r="F66" i="7"/>
  <c r="G62" i="7" s="1"/>
  <c r="J264" i="11"/>
  <c r="AB60" i="11" l="1"/>
  <c r="W199" i="11"/>
  <c r="O60" i="11"/>
  <c r="K61" i="11"/>
  <c r="P60" i="11"/>
  <c r="AH150" i="11"/>
  <c r="AH60" i="11"/>
  <c r="AJ60" i="11"/>
  <c r="AJ150" i="11"/>
  <c r="AF150" i="11"/>
  <c r="AF60" i="11"/>
  <c r="AG199" i="11"/>
  <c r="AG61" i="11"/>
  <c r="AI199" i="11"/>
  <c r="AI61" i="11"/>
  <c r="AG60" i="11"/>
  <c r="AG150" i="11"/>
  <c r="AF61" i="11"/>
  <c r="AF199" i="11"/>
  <c r="AJ61" i="11"/>
  <c r="AJ199" i="11"/>
  <c r="AI60" i="11"/>
  <c r="AI150" i="11"/>
  <c r="AH199" i="11"/>
  <c r="AH61" i="11"/>
  <c r="L60" i="11"/>
  <c r="Q150" i="11"/>
  <c r="K150" i="11"/>
  <c r="V61" i="11"/>
  <c r="M60" i="11"/>
  <c r="AD60" i="11"/>
  <c r="S61" i="11"/>
  <c r="V60" i="11"/>
  <c r="U60" i="11"/>
  <c r="AC60" i="11"/>
  <c r="I150" i="11"/>
  <c r="AE150" i="11"/>
  <c r="AE60" i="11"/>
  <c r="J60" i="11"/>
  <c r="S150" i="11"/>
  <c r="R150" i="11"/>
  <c r="W150" i="11"/>
  <c r="X60" i="11"/>
  <c r="N150" i="11"/>
  <c r="N60" i="11"/>
  <c r="AA150" i="11"/>
  <c r="Z150" i="11"/>
  <c r="Y150" i="11"/>
  <c r="AE199" i="11"/>
  <c r="H60" i="11"/>
  <c r="E122" i="11"/>
  <c r="E132" i="11" s="1"/>
  <c r="F132" i="11" s="1"/>
  <c r="H61" i="11"/>
  <c r="T199" i="11"/>
  <c r="T150" i="11"/>
  <c r="I199" i="11"/>
  <c r="L61" i="11"/>
  <c r="O61" i="11"/>
  <c r="M199" i="11"/>
  <c r="AD61" i="11"/>
  <c r="E181" i="11"/>
  <c r="F181" i="11" s="1"/>
  <c r="G60" i="11"/>
  <c r="Y61" i="11"/>
  <c r="U199" i="11"/>
  <c r="Q199" i="11"/>
  <c r="J199" i="11"/>
  <c r="X61" i="11"/>
  <c r="AA61" i="11"/>
  <c r="G199" i="11"/>
  <c r="N199" i="11"/>
  <c r="AC61" i="11"/>
  <c r="R199" i="11"/>
  <c r="AB61" i="11"/>
  <c r="P199" i="11"/>
  <c r="Z199" i="11"/>
  <c r="I23" i="11"/>
  <c r="J22" i="11"/>
  <c r="K96" i="11"/>
  <c r="L254" i="11"/>
  <c r="L262" i="11" s="1"/>
  <c r="G47" i="11"/>
  <c r="H42" i="11"/>
  <c r="D8" i="10"/>
  <c r="H8" i="10" s="1"/>
  <c r="K264" i="11"/>
  <c r="G62" i="11" l="1"/>
  <c r="G206" i="11" s="1"/>
  <c r="P7" i="10"/>
  <c r="H47" i="11"/>
  <c r="H44" i="11"/>
  <c r="K99" i="11"/>
  <c r="G52" i="11"/>
  <c r="G56" i="11" s="1"/>
  <c r="G57" i="11" s="1"/>
  <c r="G63" i="11"/>
  <c r="K22" i="11"/>
  <c r="J23" i="11"/>
  <c r="M254" i="11"/>
  <c r="I42" i="11"/>
  <c r="D9" i="10"/>
  <c r="H9" i="10" s="1"/>
  <c r="L264" i="11"/>
  <c r="G58" i="11" l="1"/>
  <c r="P8" i="10"/>
  <c r="M262" i="11"/>
  <c r="N254" i="11" s="1"/>
  <c r="N262" i="11" s="1"/>
  <c r="K23" i="11"/>
  <c r="L22" i="11"/>
  <c r="I47" i="11"/>
  <c r="I44" i="11"/>
  <c r="P9" i="10" s="1"/>
  <c r="G66" i="11"/>
  <c r="G215" i="11"/>
  <c r="G65" i="11"/>
  <c r="L96" i="11"/>
  <c r="D10" i="10"/>
  <c r="H10" i="10" s="1"/>
  <c r="J42" i="11"/>
  <c r="H62" i="11"/>
  <c r="H63" i="11"/>
  <c r="H52" i="11"/>
  <c r="H56" i="11" s="1"/>
  <c r="H57" i="11" s="1"/>
  <c r="M264" i="11" l="1"/>
  <c r="M22" i="11" s="1"/>
  <c r="J47" i="11"/>
  <c r="J44" i="11"/>
  <c r="P10" i="10" s="1"/>
  <c r="G217" i="11"/>
  <c r="G218" i="11"/>
  <c r="G69" i="11"/>
  <c r="L7" i="10" s="1"/>
  <c r="J7" i="10"/>
  <c r="L99" i="11"/>
  <c r="I62" i="11"/>
  <c r="I52" i="11"/>
  <c r="I56" i="11" s="1"/>
  <c r="I57" i="11" s="1"/>
  <c r="I63" i="11"/>
  <c r="L23" i="11"/>
  <c r="H66" i="11"/>
  <c r="H215" i="11"/>
  <c r="I7" i="10"/>
  <c r="O254" i="11"/>
  <c r="O262" i="11" s="1"/>
  <c r="H206" i="11"/>
  <c r="H65" i="11"/>
  <c r="G208" i="11"/>
  <c r="G209" i="11"/>
  <c r="K42" i="11"/>
  <c r="D11" i="10"/>
  <c r="H11" i="10" s="1"/>
  <c r="H58" i="11"/>
  <c r="N264" i="11"/>
  <c r="G68" i="11" l="1"/>
  <c r="G72" i="11" s="1"/>
  <c r="G221" i="11"/>
  <c r="G212" i="11"/>
  <c r="N22" i="11"/>
  <c r="I8" i="10"/>
  <c r="M23" i="11"/>
  <c r="H208" i="11"/>
  <c r="D12" i="10"/>
  <c r="H12" i="10" s="1"/>
  <c r="L42" i="11"/>
  <c r="I66" i="11"/>
  <c r="I215" i="11"/>
  <c r="I217" i="11" s="1"/>
  <c r="P254" i="11"/>
  <c r="K47" i="11"/>
  <c r="K44" i="11"/>
  <c r="P11" i="10" s="1"/>
  <c r="I65" i="11"/>
  <c r="I206" i="11"/>
  <c r="I208" i="11" s="1"/>
  <c r="G219" i="11"/>
  <c r="H216" i="11" s="1"/>
  <c r="H217" i="11"/>
  <c r="M96" i="11"/>
  <c r="G210" i="11"/>
  <c r="H207" i="11" s="1"/>
  <c r="H69" i="11"/>
  <c r="L8" i="10" s="1"/>
  <c r="J8" i="10"/>
  <c r="J63" i="11"/>
  <c r="J62" i="11"/>
  <c r="J52" i="11"/>
  <c r="J56" i="11" s="1"/>
  <c r="J57" i="11" s="1"/>
  <c r="J58" i="11" s="1"/>
  <c r="I58" i="11"/>
  <c r="O264" i="11"/>
  <c r="H68" i="11" l="1"/>
  <c r="H72" i="11" s="1"/>
  <c r="K7" i="10"/>
  <c r="R7" i="10" s="1"/>
  <c r="P262" i="11"/>
  <c r="P264" i="11" s="1"/>
  <c r="J206" i="11"/>
  <c r="J208" i="11" s="1"/>
  <c r="J65" i="11"/>
  <c r="K62" i="11"/>
  <c r="K52" i="11"/>
  <c r="K56" i="11" s="1"/>
  <c r="K57" i="11" s="1"/>
  <c r="K63" i="11"/>
  <c r="O22" i="11"/>
  <c r="J66" i="11"/>
  <c r="J215" i="11"/>
  <c r="J217" i="11" s="1"/>
  <c r="D13" i="10"/>
  <c r="H13" i="10" s="1"/>
  <c r="M42" i="11"/>
  <c r="I9" i="10"/>
  <c r="J9" i="10"/>
  <c r="I69" i="11"/>
  <c r="L9" i="10" s="1"/>
  <c r="G73" i="11"/>
  <c r="O7" i="10" s="1"/>
  <c r="G74" i="11"/>
  <c r="L44" i="11"/>
  <c r="P12" i="10" s="1"/>
  <c r="L47" i="11"/>
  <c r="M99" i="11"/>
  <c r="N23" i="11"/>
  <c r="H218" i="11"/>
  <c r="H221" i="11" s="1"/>
  <c r="H209" i="11"/>
  <c r="H212" i="11" s="1"/>
  <c r="Q254" i="11" l="1"/>
  <c r="Q262" i="11" s="1"/>
  <c r="Q264" i="11" s="1"/>
  <c r="I68" i="11"/>
  <c r="K9" i="10" s="1"/>
  <c r="K8" i="10"/>
  <c r="R8" i="10" s="1"/>
  <c r="M7" i="10"/>
  <c r="N7" i="10" s="1"/>
  <c r="H210" i="11"/>
  <c r="I207" i="11" s="1"/>
  <c r="G75" i="11"/>
  <c r="H74" i="11"/>
  <c r="O23" i="11"/>
  <c r="K215" i="11"/>
  <c r="K217" i="11" s="1"/>
  <c r="K66" i="11"/>
  <c r="P22" i="11"/>
  <c r="D14" i="10"/>
  <c r="H14" i="10" s="1"/>
  <c r="N42" i="11"/>
  <c r="M44" i="11"/>
  <c r="P13" i="10" s="1"/>
  <c r="M47" i="11"/>
  <c r="K65" i="11"/>
  <c r="K206" i="11"/>
  <c r="K208" i="11" s="1"/>
  <c r="H73" i="11"/>
  <c r="O8" i="10" s="1"/>
  <c r="H219" i="11"/>
  <c r="N96" i="11"/>
  <c r="I10" i="10"/>
  <c r="L63" i="11"/>
  <c r="L52" i="11"/>
  <c r="L56" i="11" s="1"/>
  <c r="L57" i="11" s="1"/>
  <c r="L58" i="11" s="1"/>
  <c r="L62" i="11"/>
  <c r="J10" i="10"/>
  <c r="J69" i="11"/>
  <c r="L10" i="10" s="1"/>
  <c r="K58" i="11"/>
  <c r="M8" i="10" l="1"/>
  <c r="N8" i="10" s="1"/>
  <c r="I72" i="11"/>
  <c r="J68" i="11"/>
  <c r="K10" i="10" s="1"/>
  <c r="I209" i="11"/>
  <c r="I212" i="11" s="1"/>
  <c r="N99" i="11"/>
  <c r="M62" i="11"/>
  <c r="M52" i="11"/>
  <c r="M56" i="11" s="1"/>
  <c r="M57" i="11" s="1"/>
  <c r="M58" i="11" s="1"/>
  <c r="M63" i="11"/>
  <c r="J11" i="10"/>
  <c r="K69" i="11"/>
  <c r="L11" i="10" s="1"/>
  <c r="I216" i="11"/>
  <c r="I218" i="11"/>
  <c r="I221" i="11" s="1"/>
  <c r="L65" i="11"/>
  <c r="L206" i="11"/>
  <c r="L208" i="11" s="1"/>
  <c r="R254" i="11"/>
  <c r="O42" i="11"/>
  <c r="D15" i="10"/>
  <c r="H15" i="10" s="1"/>
  <c r="Q22" i="11"/>
  <c r="L66" i="11"/>
  <c r="L215" i="11"/>
  <c r="L217" i="11" s="1"/>
  <c r="N44" i="11"/>
  <c r="P14" i="10" s="1"/>
  <c r="N47" i="11"/>
  <c r="I11" i="10"/>
  <c r="R9" i="10"/>
  <c r="M9" i="10"/>
  <c r="H75" i="11"/>
  <c r="P23" i="11"/>
  <c r="I73" i="11" l="1"/>
  <c r="O9" i="10" s="1"/>
  <c r="N9" i="10"/>
  <c r="I74" i="11"/>
  <c r="J72" i="11"/>
  <c r="J73" i="11" s="1"/>
  <c r="O10" i="10" s="1"/>
  <c r="K68" i="11"/>
  <c r="K11" i="10" s="1"/>
  <c r="I210" i="11"/>
  <c r="J207" i="11" s="1"/>
  <c r="I219" i="11"/>
  <c r="J216" i="11" s="1"/>
  <c r="O47" i="11"/>
  <c r="O44" i="11"/>
  <c r="P15" i="10" s="1"/>
  <c r="R262" i="11"/>
  <c r="R10" i="10"/>
  <c r="M10" i="10"/>
  <c r="M215" i="11"/>
  <c r="M217" i="11" s="1"/>
  <c r="M66" i="11"/>
  <c r="L69" i="11"/>
  <c r="L12" i="10" s="1"/>
  <c r="J12" i="10"/>
  <c r="N52" i="11"/>
  <c r="N56" i="11" s="1"/>
  <c r="N57" i="11" s="1"/>
  <c r="N63" i="11"/>
  <c r="N62" i="11"/>
  <c r="M65" i="11"/>
  <c r="M206" i="11"/>
  <c r="M208" i="11" s="1"/>
  <c r="P42" i="11"/>
  <c r="D16" i="10"/>
  <c r="H16" i="10" s="1"/>
  <c r="Q23" i="11"/>
  <c r="I12" i="10"/>
  <c r="O96" i="11"/>
  <c r="J209" i="11" l="1"/>
  <c r="J212" i="11" s="1"/>
  <c r="J74" i="11"/>
  <c r="J75" i="11" s="1"/>
  <c r="I75" i="11"/>
  <c r="N10" i="10"/>
  <c r="K72" i="11"/>
  <c r="L68" i="11"/>
  <c r="K12" i="10" s="1"/>
  <c r="J218" i="11"/>
  <c r="J221" i="11" s="1"/>
  <c r="N215" i="11"/>
  <c r="N217" i="11" s="1"/>
  <c r="N66" i="11"/>
  <c r="O99" i="11"/>
  <c r="D17" i="10"/>
  <c r="H17" i="10" s="1"/>
  <c r="Q42" i="11"/>
  <c r="S254" i="11"/>
  <c r="R264" i="11"/>
  <c r="R11" i="10"/>
  <c r="M11" i="10"/>
  <c r="P47" i="11"/>
  <c r="P44" i="11"/>
  <c r="P16" i="10" s="1"/>
  <c r="J13" i="10"/>
  <c r="M69" i="11"/>
  <c r="L13" i="10" s="1"/>
  <c r="I13" i="10"/>
  <c r="N65" i="11"/>
  <c r="N206" i="11"/>
  <c r="N208" i="11" s="1"/>
  <c r="O52" i="11"/>
  <c r="O56" i="11" s="1"/>
  <c r="O57" i="11" s="1"/>
  <c r="O62" i="11"/>
  <c r="O63" i="11"/>
  <c r="N58" i="11"/>
  <c r="J210" i="11" l="1"/>
  <c r="K209" i="11" s="1"/>
  <c r="K212" i="11" s="1"/>
  <c r="N11" i="10"/>
  <c r="K74" i="11"/>
  <c r="K75" i="11" s="1"/>
  <c r="L72" i="11"/>
  <c r="L73" i="11" s="1"/>
  <c r="O12" i="10" s="1"/>
  <c r="K73" i="11"/>
  <c r="O11" i="10" s="1"/>
  <c r="M68" i="11"/>
  <c r="M72" i="11" s="1"/>
  <c r="J219" i="11"/>
  <c r="K216" i="11" s="1"/>
  <c r="P52" i="11"/>
  <c r="P56" i="11" s="1"/>
  <c r="P57" i="11" s="1"/>
  <c r="P58" i="11" s="1"/>
  <c r="P62" i="11"/>
  <c r="P63" i="11"/>
  <c r="Q44" i="11"/>
  <c r="P17" i="10" s="1"/>
  <c r="Q47" i="11"/>
  <c r="O215" i="11"/>
  <c r="O217" i="11" s="1"/>
  <c r="O66" i="11"/>
  <c r="O65" i="11"/>
  <c r="O206" i="11"/>
  <c r="O208" i="11" s="1"/>
  <c r="R22" i="11"/>
  <c r="P96" i="11"/>
  <c r="J14" i="10"/>
  <c r="N69" i="11"/>
  <c r="L14" i="10" s="1"/>
  <c r="R12" i="10"/>
  <c r="M12" i="10"/>
  <c r="I14" i="10"/>
  <c r="S262" i="11"/>
  <c r="S264" i="11" s="1"/>
  <c r="O58" i="11"/>
  <c r="K207" i="11" l="1"/>
  <c r="K210" i="11" s="1"/>
  <c r="N12" i="10"/>
  <c r="M73" i="11"/>
  <c r="O13" i="10" s="1"/>
  <c r="L74" i="11"/>
  <c r="L75" i="11" s="1"/>
  <c r="K13" i="10"/>
  <c r="R13" i="10" s="1"/>
  <c r="N68" i="11"/>
  <c r="K14" i="10" s="1"/>
  <c r="K218" i="11"/>
  <c r="K221" i="11" s="1"/>
  <c r="S22" i="11"/>
  <c r="Q62" i="11"/>
  <c r="Q52" i="11"/>
  <c r="Q56" i="11" s="1"/>
  <c r="Q57" i="11" s="1"/>
  <c r="Q58" i="11" s="1"/>
  <c r="Q63" i="11"/>
  <c r="T254" i="11"/>
  <c r="P99" i="11"/>
  <c r="I15" i="10"/>
  <c r="P66" i="11"/>
  <c r="P215" i="11"/>
  <c r="P217" i="11" s="1"/>
  <c r="J15" i="10"/>
  <c r="O69" i="11"/>
  <c r="L15" i="10" s="1"/>
  <c r="P206" i="11"/>
  <c r="P208" i="11" s="1"/>
  <c r="P65" i="11"/>
  <c r="R23" i="11"/>
  <c r="M74" i="11" l="1"/>
  <c r="M75" i="11" s="1"/>
  <c r="N72" i="11"/>
  <c r="N73" i="11" s="1"/>
  <c r="O14" i="10" s="1"/>
  <c r="M13" i="10"/>
  <c r="N13" i="10" s="1"/>
  <c r="O68" i="11"/>
  <c r="O72" i="11" s="1"/>
  <c r="K219" i="11"/>
  <c r="L218" i="11" s="1"/>
  <c r="L221" i="11" s="1"/>
  <c r="L207" i="11"/>
  <c r="L209" i="11"/>
  <c r="L212" i="11" s="1"/>
  <c r="R42" i="11"/>
  <c r="D18" i="10"/>
  <c r="H18" i="10" s="1"/>
  <c r="Q215" i="11"/>
  <c r="Q217" i="11" s="1"/>
  <c r="Q66" i="11"/>
  <c r="J16" i="10"/>
  <c r="P69" i="11"/>
  <c r="L16" i="10" s="1"/>
  <c r="R14" i="10"/>
  <c r="M14" i="10"/>
  <c r="Q65" i="11"/>
  <c r="Q206" i="11"/>
  <c r="Q208" i="11" s="1"/>
  <c r="I16" i="10"/>
  <c r="S23" i="11"/>
  <c r="Q96" i="11"/>
  <c r="T262" i="11"/>
  <c r="T264" i="11" s="1"/>
  <c r="O73" i="11" l="1"/>
  <c r="O15" i="10" s="1"/>
  <c r="K15" i="10"/>
  <c r="R15" i="10" s="1"/>
  <c r="N74" i="11"/>
  <c r="O74" i="11" s="1"/>
  <c r="N14" i="10"/>
  <c r="P68" i="11"/>
  <c r="P72" i="11" s="1"/>
  <c r="L216" i="11"/>
  <c r="L219" i="11" s="1"/>
  <c r="M218" i="11" s="1"/>
  <c r="L210" i="11"/>
  <c r="T22" i="11"/>
  <c r="D19" i="10"/>
  <c r="H19" i="10" s="1"/>
  <c r="S42" i="11"/>
  <c r="U254" i="11"/>
  <c r="Q99" i="11"/>
  <c r="J17" i="10"/>
  <c r="Q69" i="11"/>
  <c r="L17" i="10" s="1"/>
  <c r="I17" i="10"/>
  <c r="R47" i="11"/>
  <c r="R44" i="11"/>
  <c r="N75" i="11" l="1"/>
  <c r="M15" i="10"/>
  <c r="N15" i="10" s="1"/>
  <c r="K16" i="10"/>
  <c r="R16" i="10" s="1"/>
  <c r="Q68" i="11"/>
  <c r="K17" i="10" s="1"/>
  <c r="M216" i="11"/>
  <c r="M219" i="11" s="1"/>
  <c r="M221" i="11"/>
  <c r="M209" i="11"/>
  <c r="M212" i="11" s="1"/>
  <c r="M207" i="11"/>
  <c r="P18" i="10"/>
  <c r="P74" i="11"/>
  <c r="O75" i="11"/>
  <c r="U262" i="11"/>
  <c r="U264" i="11" s="1"/>
  <c r="S44" i="11"/>
  <c r="S47" i="11"/>
  <c r="R62" i="11"/>
  <c r="R52" i="11"/>
  <c r="R56" i="11" s="1"/>
  <c r="R57" i="11" s="1"/>
  <c r="R63" i="11"/>
  <c r="P73" i="11"/>
  <c r="O16" i="10" s="1"/>
  <c r="R96" i="11"/>
  <c r="T23" i="11"/>
  <c r="M16" i="10" l="1"/>
  <c r="N16" i="10" s="1"/>
  <c r="N216" i="11"/>
  <c r="N218" i="11"/>
  <c r="N221" i="11" s="1"/>
  <c r="Q72" i="11"/>
  <c r="Q73" i="11" s="1"/>
  <c r="O17" i="10" s="1"/>
  <c r="M210" i="11"/>
  <c r="N209" i="11" s="1"/>
  <c r="N212" i="11" s="1"/>
  <c r="D20" i="10"/>
  <c r="H20" i="10" s="1"/>
  <c r="T42" i="11"/>
  <c r="S52" i="11"/>
  <c r="S56" i="11" s="1"/>
  <c r="S57" i="11" s="1"/>
  <c r="S62" i="11"/>
  <c r="S63" i="11"/>
  <c r="P19" i="10"/>
  <c r="R99" i="11"/>
  <c r="U22" i="11"/>
  <c r="V254" i="11"/>
  <c r="R215" i="11"/>
  <c r="R217" i="11" s="1"/>
  <c r="R66" i="11"/>
  <c r="R17" i="10"/>
  <c r="M17" i="10"/>
  <c r="R58" i="11"/>
  <c r="R65" i="11"/>
  <c r="R206" i="11"/>
  <c r="R208" i="11" s="1"/>
  <c r="P75" i="11"/>
  <c r="T47" i="11" l="1"/>
  <c r="T52" i="11" s="1"/>
  <c r="T56" i="11" s="1"/>
  <c r="T57" i="11" s="1"/>
  <c r="T58" i="11" s="1"/>
  <c r="T44" i="11"/>
  <c r="N17" i="10"/>
  <c r="Q74" i="11"/>
  <c r="Q75" i="11" s="1"/>
  <c r="N219" i="11"/>
  <c r="O216" i="11" s="1"/>
  <c r="N207" i="11"/>
  <c r="N210" i="11" s="1"/>
  <c r="R69" i="11"/>
  <c r="L18" i="10" s="1"/>
  <c r="J18" i="10"/>
  <c r="I18" i="10"/>
  <c r="V262" i="11"/>
  <c r="V264" i="11" s="1"/>
  <c r="S66" i="11"/>
  <c r="S215" i="11"/>
  <c r="S217" i="11" s="1"/>
  <c r="S206" i="11"/>
  <c r="S208" i="11" s="1"/>
  <c r="S65" i="11"/>
  <c r="U23" i="11"/>
  <c r="S58" i="11"/>
  <c r="S96" i="11"/>
  <c r="T62" i="11" l="1"/>
  <c r="T206" i="11" s="1"/>
  <c r="T208" i="11" s="1"/>
  <c r="T63" i="11"/>
  <c r="T215" i="11" s="1"/>
  <c r="T217" i="11" s="1"/>
  <c r="P20" i="10"/>
  <c r="O218" i="11"/>
  <c r="O221" i="11" s="1"/>
  <c r="R68" i="11"/>
  <c r="K18" i="10" s="1"/>
  <c r="O207" i="11"/>
  <c r="O209" i="11"/>
  <c r="O212" i="11" s="1"/>
  <c r="V22" i="11"/>
  <c r="V23" i="11" s="1"/>
  <c r="W254" i="11"/>
  <c r="S99" i="11"/>
  <c r="U42" i="11"/>
  <c r="D21" i="10"/>
  <c r="I19" i="10"/>
  <c r="J19" i="10"/>
  <c r="S69" i="11"/>
  <c r="L19" i="10" s="1"/>
  <c r="T66" i="11" l="1"/>
  <c r="T69" i="11" s="1"/>
  <c r="L20" i="10" s="1"/>
  <c r="T65" i="11"/>
  <c r="I20" i="10" s="1"/>
  <c r="U47" i="11"/>
  <c r="U52" i="11" s="1"/>
  <c r="U56" i="11" s="1"/>
  <c r="U57" i="11" s="1"/>
  <c r="U44" i="11"/>
  <c r="R72" i="11"/>
  <c r="R74" i="11" s="1"/>
  <c r="O219" i="11"/>
  <c r="P218" i="11" s="1"/>
  <c r="S68" i="11"/>
  <c r="S72" i="11" s="1"/>
  <c r="O210" i="11"/>
  <c r="R18" i="10"/>
  <c r="M18" i="10"/>
  <c r="N18" i="10" s="1"/>
  <c r="T96" i="11"/>
  <c r="W262" i="11"/>
  <c r="H21" i="10"/>
  <c r="J20" i="10" l="1"/>
  <c r="U63" i="11"/>
  <c r="U215" i="11" s="1"/>
  <c r="U217" i="11" s="1"/>
  <c r="U62" i="11"/>
  <c r="U206" i="11" s="1"/>
  <c r="U208" i="11" s="1"/>
  <c r="P21" i="10"/>
  <c r="P216" i="11"/>
  <c r="P219" i="11" s="1"/>
  <c r="K19" i="10"/>
  <c r="M19" i="10" s="1"/>
  <c r="N19" i="10" s="1"/>
  <c r="S73" i="11"/>
  <c r="O19" i="10" s="1"/>
  <c r="R73" i="11"/>
  <c r="O18" i="10" s="1"/>
  <c r="T68" i="11"/>
  <c r="K20" i="10" s="1"/>
  <c r="P209" i="11"/>
  <c r="P212" i="11" s="1"/>
  <c r="P207" i="11"/>
  <c r="D22" i="10"/>
  <c r="V42" i="11"/>
  <c r="X254" i="11"/>
  <c r="S74" i="11"/>
  <c r="R75" i="11"/>
  <c r="T99" i="11"/>
  <c r="U58" i="11"/>
  <c r="W264" i="11"/>
  <c r="P221" i="11"/>
  <c r="V47" i="11" l="1"/>
  <c r="V62" i="11" s="1"/>
  <c r="V44" i="11"/>
  <c r="U66" i="11"/>
  <c r="J21" i="10" s="1"/>
  <c r="U65" i="11"/>
  <c r="I21" i="10" s="1"/>
  <c r="R19" i="10"/>
  <c r="T72" i="11"/>
  <c r="T73" i="11" s="1"/>
  <c r="O20" i="10" s="1"/>
  <c r="P210" i="11"/>
  <c r="S75" i="11"/>
  <c r="W22" i="11"/>
  <c r="U96" i="11"/>
  <c r="X262" i="11"/>
  <c r="X264" i="11" s="1"/>
  <c r="R20" i="10"/>
  <c r="M20" i="10"/>
  <c r="N20" i="10" s="1"/>
  <c r="H22" i="10"/>
  <c r="Q216" i="11"/>
  <c r="Q218" i="11"/>
  <c r="V52" i="11" l="1"/>
  <c r="V56" i="11" s="1"/>
  <c r="V57" i="11" s="1"/>
  <c r="V63" i="11"/>
  <c r="V66" i="11" s="1"/>
  <c r="P22" i="10"/>
  <c r="U69" i="11"/>
  <c r="L21" i="10" s="1"/>
  <c r="T74" i="11"/>
  <c r="T75" i="11" s="1"/>
  <c r="Q207" i="11"/>
  <c r="Q209" i="11"/>
  <c r="Q212" i="11" s="1"/>
  <c r="X22" i="11"/>
  <c r="Y254" i="11"/>
  <c r="W23" i="11"/>
  <c r="V58" i="11"/>
  <c r="V65" i="11"/>
  <c r="V206" i="11"/>
  <c r="V208" i="11" s="1"/>
  <c r="U99" i="11"/>
  <c r="Q221" i="11"/>
  <c r="Q219" i="11"/>
  <c r="V215" i="11" l="1"/>
  <c r="V217" i="11" s="1"/>
  <c r="U68" i="11"/>
  <c r="K21" i="10" s="1"/>
  <c r="R21" i="10" s="1"/>
  <c r="Q210" i="11"/>
  <c r="V69" i="11"/>
  <c r="L22" i="10" s="1"/>
  <c r="J22" i="10"/>
  <c r="W42" i="11"/>
  <c r="D23" i="10"/>
  <c r="V96" i="11"/>
  <c r="Y262" i="11"/>
  <c r="I22" i="10"/>
  <c r="X23" i="11"/>
  <c r="R216" i="11"/>
  <c r="R218" i="11"/>
  <c r="W47" i="11" l="1"/>
  <c r="W63" i="11" s="1"/>
  <c r="W44" i="11"/>
  <c r="M21" i="10"/>
  <c r="N21" i="10" s="1"/>
  <c r="U72" i="11"/>
  <c r="U74" i="11" s="1"/>
  <c r="U75" i="11" s="1"/>
  <c r="V68" i="11"/>
  <c r="K22" i="10" s="1"/>
  <c r="R207" i="11"/>
  <c r="R209" i="11"/>
  <c r="R212" i="11" s="1"/>
  <c r="Z254" i="11"/>
  <c r="X42" i="11"/>
  <c r="D24" i="10"/>
  <c r="V99" i="11"/>
  <c r="H23" i="10"/>
  <c r="Y264" i="11"/>
  <c r="R221" i="11"/>
  <c r="R219" i="11"/>
  <c r="W52" i="11" l="1"/>
  <c r="W56" i="11" s="1"/>
  <c r="W57" i="11" s="1"/>
  <c r="W62" i="11"/>
  <c r="X47" i="11"/>
  <c r="X62" i="11" s="1"/>
  <c r="X44" i="11"/>
  <c r="P23" i="10"/>
  <c r="U73" i="11"/>
  <c r="O21" i="10" s="1"/>
  <c r="V72" i="11"/>
  <c r="V74" i="11" s="1"/>
  <c r="R210" i="11"/>
  <c r="R22" i="10"/>
  <c r="M22" i="10"/>
  <c r="N22" i="10" s="1"/>
  <c r="W58" i="11"/>
  <c r="W65" i="11"/>
  <c r="W206" i="11"/>
  <c r="W208" i="11" s="1"/>
  <c r="W96" i="11"/>
  <c r="W215" i="11"/>
  <c r="W217" i="11" s="1"/>
  <c r="W66" i="11"/>
  <c r="H24" i="10"/>
  <c r="Y22" i="11"/>
  <c r="X63" i="11"/>
  <c r="Z262" i="11"/>
  <c r="Z264" i="11" s="1"/>
  <c r="S216" i="11"/>
  <c r="S218" i="11"/>
  <c r="X52" i="11" l="1"/>
  <c r="X56" i="11" s="1"/>
  <c r="X57" i="11" s="1"/>
  <c r="X58" i="11" s="1"/>
  <c r="P24" i="10"/>
  <c r="V73" i="11"/>
  <c r="O22" i="10" s="1"/>
  <c r="S209" i="11"/>
  <c r="S212" i="11" s="1"/>
  <c r="S207" i="11"/>
  <c r="Z22" i="11"/>
  <c r="AA254" i="11"/>
  <c r="Y23" i="11"/>
  <c r="I23" i="10"/>
  <c r="J23" i="10"/>
  <c r="W69" i="11"/>
  <c r="L23" i="10" s="1"/>
  <c r="X206" i="11"/>
  <c r="X208" i="11" s="1"/>
  <c r="X65" i="11"/>
  <c r="X66" i="11"/>
  <c r="X215" i="11"/>
  <c r="X217" i="11" s="1"/>
  <c r="W99" i="11"/>
  <c r="V75" i="11"/>
  <c r="S221" i="11"/>
  <c r="S219" i="11"/>
  <c r="W68" i="11" l="1"/>
  <c r="K23" i="10" s="1"/>
  <c r="S210" i="11"/>
  <c r="I24" i="10"/>
  <c r="Y42" i="11"/>
  <c r="D25" i="10"/>
  <c r="X96" i="11"/>
  <c r="AA262" i="11"/>
  <c r="AA264" i="11" s="1"/>
  <c r="X69" i="11"/>
  <c r="L24" i="10" s="1"/>
  <c r="J24" i="10"/>
  <c r="Z23" i="11"/>
  <c r="T216" i="11"/>
  <c r="T218" i="11"/>
  <c r="Y47" i="11" l="1"/>
  <c r="Y63" i="11" s="1"/>
  <c r="Y44" i="11"/>
  <c r="W72" i="11"/>
  <c r="W74" i="11" s="1"/>
  <c r="X68" i="11"/>
  <c r="X72" i="11" s="1"/>
  <c r="T207" i="11"/>
  <c r="T209" i="11"/>
  <c r="T212" i="11" s="1"/>
  <c r="X99" i="11"/>
  <c r="Z42" i="11"/>
  <c r="D26" i="10"/>
  <c r="H25" i="10"/>
  <c r="AA22" i="11"/>
  <c r="AB254" i="11"/>
  <c r="R23" i="10"/>
  <c r="M23" i="10"/>
  <c r="N23" i="10" s="1"/>
  <c r="T221" i="11"/>
  <c r="T219" i="11"/>
  <c r="Y52" i="11" l="1"/>
  <c r="Y56" i="11" s="1"/>
  <c r="Y57" i="11" s="1"/>
  <c r="Y58" i="11" s="1"/>
  <c r="Y62" i="11"/>
  <c r="Y65" i="11" s="1"/>
  <c r="Z47" i="11"/>
  <c r="Z44" i="11"/>
  <c r="E44" i="11" s="1"/>
  <c r="G58" i="7" s="1"/>
  <c r="P25" i="10"/>
  <c r="W73" i="11"/>
  <c r="O23" i="10" s="1"/>
  <c r="K24" i="10"/>
  <c r="R24" i="10" s="1"/>
  <c r="T210" i="11"/>
  <c r="Y215" i="11"/>
  <c r="Y217" i="11" s="1"/>
  <c r="Y66" i="11"/>
  <c r="AB262" i="11"/>
  <c r="AB264" i="11" s="1"/>
  <c r="H26" i="10"/>
  <c r="W75" i="11"/>
  <c r="X74" i="11"/>
  <c r="Z63" i="11"/>
  <c r="Z52" i="11"/>
  <c r="Z56" i="11" s="1"/>
  <c r="Z57" i="11" s="1"/>
  <c r="Z62" i="11"/>
  <c r="X73" i="11"/>
  <c r="O24" i="10" s="1"/>
  <c r="AA23" i="11"/>
  <c r="Y96" i="11"/>
  <c r="U216" i="11"/>
  <c r="U218" i="11"/>
  <c r="G59" i="7" l="1"/>
  <c r="D11" i="9" s="1"/>
  <c r="Y206" i="11"/>
  <c r="Y208" i="11" s="1"/>
  <c r="F44" i="11"/>
  <c r="Y45" i="11" s="1"/>
  <c r="P26" i="10"/>
  <c r="M24" i="10"/>
  <c r="N24" i="10" s="1"/>
  <c r="U207" i="11"/>
  <c r="U209" i="11"/>
  <c r="U212" i="11" s="1"/>
  <c r="Y99" i="11"/>
  <c r="I25" i="10"/>
  <c r="Z66" i="11"/>
  <c r="Z215" i="11"/>
  <c r="Z217" i="11" s="1"/>
  <c r="Z206" i="11"/>
  <c r="Z208" i="11" s="1"/>
  <c r="Z65" i="11"/>
  <c r="AB22" i="11"/>
  <c r="X75" i="11"/>
  <c r="AC254" i="11"/>
  <c r="Y69" i="11"/>
  <c r="L25" i="10" s="1"/>
  <c r="J25" i="10"/>
  <c r="D27" i="10"/>
  <c r="AA42" i="11"/>
  <c r="AA47" i="11" s="1"/>
  <c r="Z58" i="11"/>
  <c r="U221" i="11"/>
  <c r="U219" i="11"/>
  <c r="Z45" i="11" l="1"/>
  <c r="X45" i="11"/>
  <c r="W45" i="11"/>
  <c r="J45" i="11"/>
  <c r="AF45" i="11"/>
  <c r="K45" i="11"/>
  <c r="AD45" i="11"/>
  <c r="T45" i="11"/>
  <c r="S45" i="11"/>
  <c r="AH45" i="11"/>
  <c r="M45" i="11"/>
  <c r="AA45" i="11"/>
  <c r="P45" i="11"/>
  <c r="L45" i="11"/>
  <c r="AC45" i="11"/>
  <c r="G45" i="11"/>
  <c r="U45" i="11"/>
  <c r="H45" i="11"/>
  <c r="V45" i="11"/>
  <c r="I45" i="11"/>
  <c r="AB45" i="11"/>
  <c r="O45" i="11"/>
  <c r="AI45" i="11"/>
  <c r="R45" i="11"/>
  <c r="AE45" i="11"/>
  <c r="G55" i="7"/>
  <c r="G56" i="7" s="1"/>
  <c r="D10" i="9" s="1"/>
  <c r="AG45" i="11"/>
  <c r="N45" i="11"/>
  <c r="Q45" i="11"/>
  <c r="AJ45" i="11"/>
  <c r="Y68" i="11"/>
  <c r="K25" i="10" s="1"/>
  <c r="U210" i="11"/>
  <c r="AB23" i="11"/>
  <c r="AC262" i="11"/>
  <c r="AC264" i="11" s="1"/>
  <c r="Z96" i="11"/>
  <c r="AA52" i="11"/>
  <c r="AA56" i="11" s="1"/>
  <c r="AA57" i="11" s="1"/>
  <c r="AA62" i="11"/>
  <c r="AA63" i="11"/>
  <c r="I26" i="10"/>
  <c r="H27" i="10"/>
  <c r="J26" i="10"/>
  <c r="Z69" i="11"/>
  <c r="L26" i="10" s="1"/>
  <c r="V216" i="11"/>
  <c r="V218" i="11"/>
  <c r="F55" i="7" l="1"/>
  <c r="Y72" i="11"/>
  <c r="Y73" i="11" s="1"/>
  <c r="O25" i="10" s="1"/>
  <c r="Z68" i="11"/>
  <c r="K26" i="10" s="1"/>
  <c r="V207" i="11"/>
  <c r="V209" i="11"/>
  <c r="V212" i="11" s="1"/>
  <c r="Z99" i="11"/>
  <c r="AC22" i="11"/>
  <c r="AD254" i="11"/>
  <c r="AA215" i="11"/>
  <c r="AA217" i="11" s="1"/>
  <c r="AA66" i="11"/>
  <c r="AA206" i="11"/>
  <c r="AA208" i="11" s="1"/>
  <c r="AA65" i="11"/>
  <c r="R25" i="10"/>
  <c r="M25" i="10"/>
  <c r="N25" i="10" s="1"/>
  <c r="AA58" i="11"/>
  <c r="AB42" i="11"/>
  <c r="AB47" i="11" s="1"/>
  <c r="D28" i="10"/>
  <c r="V221" i="11"/>
  <c r="V219" i="11"/>
  <c r="Z72" i="11" l="1"/>
  <c r="Z73" i="11" s="1"/>
  <c r="O26" i="10" s="1"/>
  <c r="Y74" i="11"/>
  <c r="Y75" i="11" s="1"/>
  <c r="V210" i="11"/>
  <c r="R26" i="10"/>
  <c r="M26" i="10"/>
  <c r="N26" i="10" s="1"/>
  <c r="AD262" i="11"/>
  <c r="I27" i="10"/>
  <c r="AB63" i="11"/>
  <c r="AB52" i="11"/>
  <c r="AB56" i="11" s="1"/>
  <c r="AB57" i="11" s="1"/>
  <c r="AB62" i="11"/>
  <c r="AA69" i="11"/>
  <c r="L27" i="10" s="1"/>
  <c r="J27" i="10"/>
  <c r="AC23" i="11"/>
  <c r="H28" i="10"/>
  <c r="AA96" i="11"/>
  <c r="W218" i="11"/>
  <c r="W216" i="11"/>
  <c r="Z74" i="11" l="1"/>
  <c r="Z75" i="11" s="1"/>
  <c r="AA68" i="11"/>
  <c r="AA72" i="11" s="1"/>
  <c r="W209" i="11"/>
  <c r="W212" i="11" s="1"/>
  <c r="W207" i="11"/>
  <c r="AE254" i="11"/>
  <c r="AB58" i="11"/>
  <c r="AB215" i="11"/>
  <c r="AB217" i="11" s="1"/>
  <c r="AB66" i="11"/>
  <c r="AB206" i="11"/>
  <c r="AB208" i="11" s="1"/>
  <c r="AB65" i="11"/>
  <c r="AC42" i="11"/>
  <c r="AC47" i="11" s="1"/>
  <c r="D29" i="10"/>
  <c r="AA99" i="11"/>
  <c r="AD264" i="11"/>
  <c r="W219" i="11"/>
  <c r="X216" i="11" s="1"/>
  <c r="W221" i="11"/>
  <c r="K27" i="10" l="1"/>
  <c r="R27" i="10" s="1"/>
  <c r="AA74" i="11"/>
  <c r="AA75" i="11" s="1"/>
  <c r="W210" i="11"/>
  <c r="AB96" i="11"/>
  <c r="AC52" i="11"/>
  <c r="AC56" i="11" s="1"/>
  <c r="AC57" i="11" s="1"/>
  <c r="AC63" i="11"/>
  <c r="AC62" i="11"/>
  <c r="I28" i="10"/>
  <c r="AD22" i="11"/>
  <c r="AA73" i="11"/>
  <c r="O27" i="10" s="1"/>
  <c r="AB69" i="11"/>
  <c r="L28" i="10" s="1"/>
  <c r="J28" i="10"/>
  <c r="AE262" i="11"/>
  <c r="AE264" i="11" s="1"/>
  <c r="H29" i="10"/>
  <c r="X218" i="11"/>
  <c r="X219" i="11" s="1"/>
  <c r="M27" i="10" l="1"/>
  <c r="N27" i="10" s="1"/>
  <c r="AB68" i="11"/>
  <c r="AB72" i="11" s="1"/>
  <c r="X209" i="11"/>
  <c r="X212" i="11" s="1"/>
  <c r="X207" i="11"/>
  <c r="AC206" i="11"/>
  <c r="AC208" i="11" s="1"/>
  <c r="AC65" i="11"/>
  <c r="AC66" i="11"/>
  <c r="AC215" i="11"/>
  <c r="AC217" i="11" s="1"/>
  <c r="AE22" i="11"/>
  <c r="AC58" i="11"/>
  <c r="AF254" i="11"/>
  <c r="AF262" i="11" s="1"/>
  <c r="AG254" i="11" s="1"/>
  <c r="AB99" i="11"/>
  <c r="AD23" i="11"/>
  <c r="X221" i="11"/>
  <c r="Y216" i="11"/>
  <c r="Y218" i="11"/>
  <c r="AG262" i="11" l="1"/>
  <c r="AH254" i="11" s="1"/>
  <c r="K28" i="10"/>
  <c r="R28" i="10" s="1"/>
  <c r="X210" i="11"/>
  <c r="AF264" i="11"/>
  <c r="D30" i="10"/>
  <c r="AD42" i="11"/>
  <c r="AD47" i="11" s="1"/>
  <c r="AE23" i="11"/>
  <c r="AC69" i="11"/>
  <c r="L29" i="10" s="1"/>
  <c r="J29" i="10"/>
  <c r="AC96" i="11"/>
  <c r="I29" i="10"/>
  <c r="AB74" i="11"/>
  <c r="AB73" i="11"/>
  <c r="O28" i="10" s="1"/>
  <c r="Y221" i="11"/>
  <c r="Y219" i="11"/>
  <c r="AG264" i="11" l="1"/>
  <c r="AG22" i="11" s="1"/>
  <c r="AG23" i="11" s="1"/>
  <c r="AG42" i="11" s="1"/>
  <c r="AG47" i="11" s="1"/>
  <c r="AH262" i="11"/>
  <c r="AI254" i="11" s="1"/>
  <c r="M28" i="10"/>
  <c r="N28" i="10" s="1"/>
  <c r="AC68" i="11"/>
  <c r="K29" i="10" s="1"/>
  <c r="Y209" i="11"/>
  <c r="Y212" i="11" s="1"/>
  <c r="Y207" i="11"/>
  <c r="AB75" i="11"/>
  <c r="AE42" i="11"/>
  <c r="AE47" i="11" s="1"/>
  <c r="D31" i="10"/>
  <c r="AD62" i="11"/>
  <c r="AD63" i="11"/>
  <c r="AD52" i="11"/>
  <c r="AD56" i="11" s="1"/>
  <c r="AD57" i="11" s="1"/>
  <c r="H30" i="10"/>
  <c r="AC99" i="11"/>
  <c r="AF22" i="11"/>
  <c r="Z216" i="11"/>
  <c r="Z218" i="11"/>
  <c r="D33" i="10" l="1"/>
  <c r="H33" i="10" s="1"/>
  <c r="AH264" i="11"/>
  <c r="AH22" i="11" s="1"/>
  <c r="AH23" i="11" s="1"/>
  <c r="AH42" i="11" s="1"/>
  <c r="AH47" i="11" s="1"/>
  <c r="AI262" i="11"/>
  <c r="AJ254" i="11" s="1"/>
  <c r="AJ262" i="11" s="1"/>
  <c r="AJ264" i="11" s="1"/>
  <c r="AJ22" i="11" s="1"/>
  <c r="AJ23" i="11" s="1"/>
  <c r="AG62" i="11"/>
  <c r="AG63" i="11"/>
  <c r="AG52" i="11"/>
  <c r="AG56" i="11" s="1"/>
  <c r="AG57" i="11" s="1"/>
  <c r="AC72" i="11"/>
  <c r="AC74" i="11" s="1"/>
  <c r="Y210" i="11"/>
  <c r="Z207" i="11" s="1"/>
  <c r="R29" i="10"/>
  <c r="M29" i="10"/>
  <c r="N29" i="10" s="1"/>
  <c r="H31" i="10"/>
  <c r="AF23" i="11"/>
  <c r="AD96" i="11"/>
  <c r="AE63" i="11"/>
  <c r="AE62" i="11"/>
  <c r="AE52" i="11"/>
  <c r="AE56" i="11" s="1"/>
  <c r="AE57" i="11" s="1"/>
  <c r="AE58" i="11" s="1"/>
  <c r="AD206" i="11"/>
  <c r="AD208" i="11" s="1"/>
  <c r="AD65" i="11"/>
  <c r="AD66" i="11"/>
  <c r="AD215" i="11"/>
  <c r="AD217" i="11" s="1"/>
  <c r="AD58" i="11"/>
  <c r="Z221" i="11"/>
  <c r="Z219" i="11"/>
  <c r="D34" i="10" l="1"/>
  <c r="H34" i="10" s="1"/>
  <c r="AI264" i="11"/>
  <c r="AI22" i="11" s="1"/>
  <c r="AI23" i="11" s="1"/>
  <c r="AI42" i="11" s="1"/>
  <c r="AI47" i="11" s="1"/>
  <c r="AF42" i="11"/>
  <c r="AF47" i="11" s="1"/>
  <c r="AF62" i="11" s="1"/>
  <c r="D32" i="10"/>
  <c r="AG206" i="11"/>
  <c r="AG65" i="11"/>
  <c r="I33" i="10" s="1"/>
  <c r="D36" i="10"/>
  <c r="AJ42" i="11"/>
  <c r="AJ47" i="11" s="1"/>
  <c r="AG66" i="11"/>
  <c r="AG215" i="11"/>
  <c r="AH63" i="11"/>
  <c r="AH52" i="11"/>
  <c r="AH56" i="11" s="1"/>
  <c r="AH57" i="11" s="1"/>
  <c r="AH62" i="11"/>
  <c r="AC73" i="11"/>
  <c r="O29" i="10" s="1"/>
  <c r="Z209" i="11"/>
  <c r="Z212" i="11" s="1"/>
  <c r="AC75" i="11"/>
  <c r="AE66" i="11"/>
  <c r="AE215" i="11"/>
  <c r="AE217" i="11" s="1"/>
  <c r="AD69" i="11"/>
  <c r="L30" i="10" s="1"/>
  <c r="J30" i="10"/>
  <c r="AD99" i="11"/>
  <c r="I30" i="10"/>
  <c r="AE65" i="11"/>
  <c r="AE206" i="11"/>
  <c r="AE208" i="11" s="1"/>
  <c r="AA216" i="11"/>
  <c r="AA218" i="11"/>
  <c r="AF63" i="11" l="1"/>
  <c r="AF215" i="11" s="1"/>
  <c r="AF217" i="11" s="1"/>
  <c r="AF52" i="11"/>
  <c r="AF56" i="11" s="1"/>
  <c r="AF57" i="11" s="1"/>
  <c r="AH58" i="11" s="1"/>
  <c r="D35" i="10"/>
  <c r="H35" i="10" s="1"/>
  <c r="AJ63" i="11"/>
  <c r="AJ62" i="11"/>
  <c r="AJ52" i="11"/>
  <c r="AJ56" i="11" s="1"/>
  <c r="AJ57" i="11" s="1"/>
  <c r="AI63" i="11"/>
  <c r="AI52" i="11"/>
  <c r="AI56" i="11" s="1"/>
  <c r="AI57" i="11" s="1"/>
  <c r="AI62" i="11"/>
  <c r="H36" i="10"/>
  <c r="AG217" i="11"/>
  <c r="AG208" i="11"/>
  <c r="AH66" i="11"/>
  <c r="AH215" i="11"/>
  <c r="J33" i="10"/>
  <c r="AG69" i="11"/>
  <c r="H32" i="10"/>
  <c r="AH65" i="11"/>
  <c r="I34" i="10" s="1"/>
  <c r="AH206" i="11"/>
  <c r="AD68" i="11"/>
  <c r="K30" i="10" s="1"/>
  <c r="Z210" i="11"/>
  <c r="AA207" i="11" s="1"/>
  <c r="AF65" i="11"/>
  <c r="I32" i="10" s="1"/>
  <c r="AF206" i="11"/>
  <c r="AF208" i="11" s="1"/>
  <c r="AE69" i="11"/>
  <c r="L31" i="10" s="1"/>
  <c r="J31" i="10"/>
  <c r="I31" i="10"/>
  <c r="AE96" i="11"/>
  <c r="AA221" i="11"/>
  <c r="AA219" i="11"/>
  <c r="D76" i="11" l="1"/>
  <c r="AF66" i="11"/>
  <c r="AF69" i="11" s="1"/>
  <c r="L32" i="10" s="1"/>
  <c r="AF58" i="11"/>
  <c r="AG58" i="11"/>
  <c r="AJ58" i="11"/>
  <c r="AI58" i="11"/>
  <c r="AI206" i="11"/>
  <c r="AI65" i="11"/>
  <c r="AI215" i="11"/>
  <c r="AI66" i="11"/>
  <c r="AH217" i="11"/>
  <c r="AJ65" i="11"/>
  <c r="AJ206" i="11"/>
  <c r="AG68" i="11"/>
  <c r="L33" i="10"/>
  <c r="J34" i="10"/>
  <c r="AH69" i="11"/>
  <c r="AH208" i="11"/>
  <c r="AJ215" i="11"/>
  <c r="AJ66" i="11"/>
  <c r="AD72" i="11"/>
  <c r="AD74" i="11" s="1"/>
  <c r="AD75" i="11" s="1"/>
  <c r="AA209" i="11"/>
  <c r="AA212" i="11" s="1"/>
  <c r="AE68" i="11"/>
  <c r="K31" i="10" s="1"/>
  <c r="AE99" i="11"/>
  <c r="R30" i="10"/>
  <c r="M30" i="10"/>
  <c r="N30" i="10" s="1"/>
  <c r="AB216" i="11"/>
  <c r="AB218" i="11"/>
  <c r="J32" i="10" l="1"/>
  <c r="J35" i="10"/>
  <c r="AI69" i="11"/>
  <c r="L35" i="10" s="1"/>
  <c r="J36" i="10"/>
  <c r="AJ69" i="11"/>
  <c r="L36" i="10" s="1"/>
  <c r="I35" i="10"/>
  <c r="K33" i="10"/>
  <c r="AG72" i="11"/>
  <c r="AI217" i="11"/>
  <c r="AJ217" i="11"/>
  <c r="AJ208" i="11"/>
  <c r="I36" i="10"/>
  <c r="AI208" i="11"/>
  <c r="AF68" i="11"/>
  <c r="AH68" i="11"/>
  <c r="L34" i="10"/>
  <c r="AD73" i="11"/>
  <c r="O30" i="10" s="1"/>
  <c r="AA210" i="11"/>
  <c r="AB207" i="11" s="1"/>
  <c r="AE72" i="11"/>
  <c r="R31" i="10"/>
  <c r="M31" i="10"/>
  <c r="N31" i="10" s="1"/>
  <c r="AF96" i="11"/>
  <c r="AB221" i="11"/>
  <c r="AB219" i="11"/>
  <c r="AI68" i="11" l="1"/>
  <c r="K35" i="10" s="1"/>
  <c r="AJ68" i="11"/>
  <c r="AJ72" i="11" s="1"/>
  <c r="R33" i="10"/>
  <c r="M33" i="10"/>
  <c r="AF72" i="11"/>
  <c r="K32" i="10"/>
  <c r="K34" i="10"/>
  <c r="AH72" i="11"/>
  <c r="AE74" i="11"/>
  <c r="AE75" i="11" s="1"/>
  <c r="AE73" i="11"/>
  <c r="O31" i="10" s="1"/>
  <c r="AB209" i="11"/>
  <c r="AB212" i="11" s="1"/>
  <c r="AF99" i="11"/>
  <c r="AC216" i="11"/>
  <c r="AC218" i="11"/>
  <c r="AH73" i="11" l="1"/>
  <c r="O34" i="10" s="1"/>
  <c r="AI72" i="11"/>
  <c r="K36" i="10"/>
  <c r="R36" i="10" s="1"/>
  <c r="AG73" i="11"/>
  <c r="O33" i="10" s="1"/>
  <c r="AF73" i="11"/>
  <c r="O32" i="10" s="1"/>
  <c r="R35" i="10"/>
  <c r="M35" i="10"/>
  <c r="R32" i="10"/>
  <c r="M32" i="10"/>
  <c r="N32" i="10" s="1"/>
  <c r="N33" i="10" s="1"/>
  <c r="R34" i="10"/>
  <c r="M34" i="10"/>
  <c r="AB210" i="11"/>
  <c r="AC207" i="11" s="1"/>
  <c r="AF74" i="11"/>
  <c r="AG74" i="11" s="1"/>
  <c r="AH74" i="11" s="1"/>
  <c r="AG96" i="11"/>
  <c r="AC221" i="11"/>
  <c r="AC219" i="11"/>
  <c r="D77" i="11" l="1"/>
  <c r="D78" i="11"/>
  <c r="O269" i="11" s="1"/>
  <c r="M36" i="10"/>
  <c r="AI73" i="11"/>
  <c r="O35" i="10" s="1"/>
  <c r="AJ73" i="11"/>
  <c r="O36" i="10" s="1"/>
  <c r="N34" i="10"/>
  <c r="N35" i="10" s="1"/>
  <c r="AC209" i="11"/>
  <c r="AC212" i="11" s="1"/>
  <c r="AG75" i="11"/>
  <c r="AF75" i="11"/>
  <c r="AG99" i="11"/>
  <c r="AH75" i="11"/>
  <c r="AI74" i="11"/>
  <c r="AD216" i="11"/>
  <c r="AD218" i="11"/>
  <c r="G269" i="11" l="1"/>
  <c r="K269" i="11"/>
  <c r="N36" i="10"/>
  <c r="AC210" i="11"/>
  <c r="AD209" i="11" s="1"/>
  <c r="AD212" i="11" s="1"/>
  <c r="AJ74" i="11"/>
  <c r="AJ75" i="11" s="1"/>
  <c r="AI75" i="11"/>
  <c r="AH96" i="11"/>
  <c r="AD221" i="11"/>
  <c r="AD219" i="11"/>
  <c r="AD207" i="11" l="1"/>
  <c r="AD210" i="11" s="1"/>
  <c r="F75" i="11"/>
  <c r="AH99" i="11"/>
  <c r="AE216" i="11"/>
  <c r="AE218" i="11"/>
  <c r="AE207" i="11" l="1"/>
  <c r="AE209" i="11"/>
  <c r="AE212" i="11" s="1"/>
  <c r="AI96" i="11"/>
  <c r="AI99" i="11" s="1"/>
  <c r="AJ96" i="11" s="1"/>
  <c r="AJ99" i="11" s="1"/>
  <c r="AE221" i="11"/>
  <c r="AE219" i="11"/>
  <c r="AE210" i="11" l="1"/>
  <c r="AF218" i="11"/>
  <c r="AF216" i="11"/>
  <c r="AF207" i="11" l="1"/>
  <c r="AF209" i="11"/>
  <c r="AF212" i="11" s="1"/>
  <c r="AF221" i="11"/>
  <c r="AF219" i="11"/>
  <c r="AG218" i="11" s="1"/>
  <c r="AG221" i="11" s="1"/>
  <c r="AF210" i="11" l="1"/>
  <c r="AG209" i="11" s="1"/>
  <c r="AG212" i="11" s="1"/>
  <c r="AG216" i="11"/>
  <c r="AG207" i="11" l="1"/>
  <c r="AG210" i="11" s="1"/>
  <c r="AH209" i="11" s="1"/>
  <c r="AH212" i="11" s="1"/>
  <c r="AG219" i="11"/>
  <c r="AH218" i="11" s="1"/>
  <c r="AH221" i="11" s="1"/>
  <c r="AH207" i="11" l="1"/>
  <c r="AH210" i="11" s="1"/>
  <c r="AI209" i="11" s="1"/>
  <c r="AI212" i="11" s="1"/>
  <c r="AH216" i="11"/>
  <c r="AI207" i="11" l="1"/>
  <c r="AI210" i="11" s="1"/>
  <c r="AH219" i="11"/>
  <c r="AI218" i="11" s="1"/>
  <c r="AI221" i="11" s="1"/>
  <c r="AJ207" i="11" l="1"/>
  <c r="AJ209" i="11"/>
  <c r="AJ212" i="11" s="1"/>
  <c r="AI216" i="11"/>
  <c r="AI219" i="11" s="1"/>
  <c r="AJ210" i="11" l="1"/>
  <c r="AJ216" i="11"/>
  <c r="AJ218" i="11"/>
  <c r="AJ221" i="11" s="1"/>
  <c r="AJ219" i="11" l="1"/>
  <c r="P77" i="19" l="1"/>
  <c r="P936" i="19" l="1"/>
  <c r="P1022" i="19"/>
  <c r="P764" i="19"/>
  <c r="P334" i="19"/>
  <c r="P678" i="19"/>
  <c r="P506" i="19"/>
  <c r="P420" i="19"/>
  <c r="P76" i="19"/>
  <c r="P162" i="19"/>
  <c r="P248" i="19"/>
  <c r="P850" i="19"/>
  <c r="P592" i="19"/>
  <c r="F56" i="19" l="1"/>
  <c r="F228"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Jason Gifford</author>
    <author>Tyler Leeds</author>
    <author>tc={38306DD5-DE73-47F8-84B0-1ABCE1DE1AF7}</author>
  </authors>
  <commentList>
    <comment ref="C5" authorId="0" shapeId="0" xr:uid="{8BF0BA04-B126-4A61-B7DF-BF1F50EFC321}">
      <text>
        <r>
          <rPr>
            <sz val="14"/>
            <color indexed="81"/>
            <rFont val="Tahoma"/>
            <family val="2"/>
          </rPr>
          <t xml:space="preserve">The "Check" column evaluates whether or not values have been enterred in all required fields.  Green denotes an accepted entry in a required field or a calculation for which the minimum required precedents have been satisfied.  Red denotes the absence of an entry in a required field, or a calculation for which the minimum required precendents have NOT been satisfied.
</t>
        </r>
        <r>
          <rPr>
            <b/>
            <sz val="14"/>
            <color indexed="81"/>
            <rFont val="Tahoma"/>
            <family val="2"/>
          </rPr>
          <t>Please note</t>
        </r>
        <r>
          <rPr>
            <sz val="14"/>
            <color indexed="81"/>
            <rFont val="Tahoma"/>
            <family val="2"/>
          </rPr>
          <t xml:space="preserve"> that while the "Check" column ensures the population of all required fields, this column does NOT validate the magnitude of such entries.  It is the model user's responsibility to provide inputs which accurately represent the project being modeled.  In some cases, a range of typical values for a specified input are provided in that input's "Notes" cell.</t>
        </r>
      </text>
    </comment>
    <comment ref="I5" authorId="0" shapeId="0" xr:uid="{B3382160-3661-4127-838A-23409CE2538B}">
      <text>
        <r>
          <rPr>
            <sz val="14"/>
            <color indexed="81"/>
            <rFont val="Tahoma"/>
            <family val="2"/>
          </rPr>
          <t xml:space="preserve">Each cell in the "Notes" column provides a brief description of the input in the corresponding row, its application within the model, and (in some cases) the range of values that might be expected to populate that  input cell.  It is the model user's responsibility, however, to research and validate the applicability of, and appropriate value for, each input.
</t>
        </r>
        <r>
          <rPr>
            <sz val="8"/>
            <color indexed="81"/>
            <rFont val="Tahoma"/>
            <family val="2"/>
          </rPr>
          <t xml:space="preserve">
</t>
        </r>
      </text>
    </comment>
    <comment ref="M5" authorId="0" shapeId="0" xr:uid="{3B7C8858-3BC3-47CF-8202-6BED98C7E737}">
      <text>
        <r>
          <rPr>
            <sz val="14"/>
            <color indexed="81"/>
            <rFont val="Tahoma"/>
            <family val="2"/>
          </rPr>
          <t xml:space="preserve">The "Check" column evaluates whether or not values have been enterred in all required fields.  Green denotes an accepted entry in a required field or a calculation for which the minimum required precedents have been satisfied.  Red denotes the absence of an entry in a required field, or a calculation for which the minimum required precendents have NOT been satisfied.
</t>
        </r>
        <r>
          <rPr>
            <b/>
            <sz val="14"/>
            <color indexed="81"/>
            <rFont val="Tahoma"/>
            <family val="2"/>
          </rPr>
          <t>Please note</t>
        </r>
        <r>
          <rPr>
            <sz val="14"/>
            <color indexed="81"/>
            <rFont val="Tahoma"/>
            <family val="2"/>
          </rPr>
          <t xml:space="preserve"> that while the "Check" column ensures the population of all required fields, this column does NOT validate the magnitude of such entries.  It is the model user's responsibility to provide inputs which accurately represent the project being modeled.  In some cases, a range of typical values for a specified input are provided in that input's "Notes" cell.</t>
        </r>
      </text>
    </comment>
    <comment ref="S5" authorId="0" shapeId="0" xr:uid="{A2F14292-453B-4528-84BB-7C5434E41C8B}">
      <text>
        <r>
          <rPr>
            <sz val="14"/>
            <color indexed="81"/>
            <rFont val="Tahoma"/>
            <family val="2"/>
          </rPr>
          <t>Each cell in the "Notes" column provides a brief description of the input in the corresponding row, its application within the model, and (in some cases) the range of values that might be expected to populate that  input cell. It is the model user's responsibility, however, to research and validate the applicability of, and appropriate value for, each input.</t>
        </r>
        <r>
          <rPr>
            <sz val="8"/>
            <color indexed="81"/>
            <rFont val="Tahoma"/>
            <family val="2"/>
          </rPr>
          <t xml:space="preserve">
</t>
        </r>
      </text>
    </comment>
    <comment ref="F7" authorId="0" shapeId="0" xr:uid="{FB30BA38-A05A-4C3F-B460-6825ED0E49D6}">
      <text>
        <r>
          <rPr>
            <b/>
            <sz val="8"/>
            <color indexed="81"/>
            <rFont val="Tahoma"/>
            <family val="2"/>
          </rPr>
          <t>See "unit" definitions at the bottom of this worksheet.</t>
        </r>
        <r>
          <rPr>
            <sz val="8"/>
            <color indexed="81"/>
            <rFont val="Tahoma"/>
            <family val="2"/>
          </rPr>
          <t xml:space="preserve">
</t>
        </r>
      </text>
    </comment>
    <comment ref="P7" authorId="0" shapeId="0" xr:uid="{C82A8B52-3000-48AC-8090-B9A58A7132FD}">
      <text>
        <r>
          <rPr>
            <b/>
            <sz val="8"/>
            <color indexed="81"/>
            <rFont val="Tahoma"/>
            <family val="2"/>
          </rPr>
          <t>See "unit" definitions at the bottom of this worksheet.</t>
        </r>
        <r>
          <rPr>
            <sz val="8"/>
            <color indexed="81"/>
            <rFont val="Tahoma"/>
            <family val="2"/>
          </rPr>
          <t xml:space="preserve">
</t>
        </r>
      </text>
    </comment>
    <comment ref="I8" authorId="1" shapeId="0" xr:uid="{FB34EA30-CB9C-4603-8F00-6796D339C6EE}">
      <text>
        <r>
          <rPr>
            <b/>
            <sz val="14"/>
            <color indexed="81"/>
            <rFont val="Tahoma"/>
            <family val="2"/>
          </rPr>
          <t>Note:</t>
        </r>
        <r>
          <rPr>
            <sz val="14"/>
            <color indexed="81"/>
            <rFont val="Tahoma"/>
            <family val="2"/>
          </rPr>
          <t xml:space="preserve">
This is the aggregate nameplate rating for the entire generating facility.
Input must be greater than zero.
</t>
        </r>
      </text>
    </comment>
    <comment ref="S8" authorId="1" shapeId="0" xr:uid="{EAFADD79-62EF-4ABF-8482-BCA97323FADF}">
      <text>
        <r>
          <rPr>
            <b/>
            <sz val="14"/>
            <color indexed="81"/>
            <rFont val="Tahoma"/>
            <family val="2"/>
          </rPr>
          <t xml:space="preserve">Note:
</t>
        </r>
        <r>
          <rPr>
            <sz val="14"/>
            <color indexed="81"/>
            <rFont val="Tahoma"/>
            <family val="2"/>
          </rPr>
          <t xml:space="preserve">The FIT contract length is the number of years for which the rate specified by this model is available. This term is established by policymakers and must be less than or equal to the project's useful life.  
The contract duration is also different than the debt tenor (if applicable), which is specified in the Permanent Financing section below.
</t>
        </r>
      </text>
    </comment>
    <comment ref="I9" authorId="1" shapeId="0" xr:uid="{53192BDB-62CB-4A3E-A646-19B79E8D523D}">
      <text>
        <r>
          <rPr>
            <b/>
            <sz val="14"/>
            <color indexed="81"/>
            <rFont val="Tahoma"/>
            <family val="2"/>
          </rPr>
          <t>Note:</t>
        </r>
        <r>
          <rPr>
            <sz val="14"/>
            <color indexed="81"/>
            <rFont val="Tahoma"/>
            <family val="2"/>
          </rPr>
          <t xml:space="preserve">
Capacity Factor is the % representation of the actual production vs. the theoretical maximum annual production of an energy project. This model requires the input of a </t>
        </r>
        <r>
          <rPr>
            <b/>
            <sz val="14"/>
            <color indexed="81"/>
            <rFont val="Tahoma"/>
            <family val="2"/>
          </rPr>
          <t>Net Capacity Factor</t>
        </r>
        <r>
          <rPr>
            <sz val="14"/>
            <color indexed="81"/>
            <rFont val="Tahoma"/>
            <family val="2"/>
          </rPr>
          <t xml:space="preserve">, meaning that the estimate of actual energy production should take into account all electricity losses (including those incurred between the generating facility and the contract delivery point), scheduled and unscheduled maintenance, forced outages, wake effects, icing, and any other factors that could reduce production.
Wind projects typically have a capacity factor between 25% and 40% depending on region and site-specific topography. 
Input must be between 0% and 100%.
</t>
        </r>
      </text>
    </comment>
    <comment ref="S9" authorId="1" shapeId="0" xr:uid="{0E5D029F-4712-4216-B7FB-71E72A726403}">
      <text>
        <r>
          <rPr>
            <b/>
            <sz val="14"/>
            <color indexed="81"/>
            <rFont val="Tahoma"/>
            <family val="2"/>
          </rPr>
          <t xml:space="preserve">Note:
</t>
        </r>
        <r>
          <rPr>
            <sz val="14"/>
            <color indexed="81"/>
            <rFont val="Tahoma"/>
            <family val="2"/>
          </rPr>
          <t xml:space="preserve">This is the portion (%) of the tariff which is subject to annual escalation.  
Program administrators may determine that some or all of the tariff rate should be escalated to reflect the uncertainty associated with the future cost of owning and operating an electricity generating facility. This input is separate from the inflation assumed to apply to certain O&amp;M expenses, which is provided as an input in the O&amp;M section below.
Input must be between 0% and 100%.
</t>
        </r>
      </text>
    </comment>
    <comment ref="I10" authorId="1" shapeId="0" xr:uid="{B32D609A-A44E-4821-B7E0-A152A4B70446}">
      <text>
        <r>
          <rPr>
            <b/>
            <sz val="14"/>
            <color indexed="81"/>
            <rFont val="Tahoma"/>
            <family val="2"/>
          </rPr>
          <t>Note:</t>
        </r>
        <r>
          <rPr>
            <sz val="14"/>
            <color indexed="81"/>
            <rFont val="Tahoma"/>
            <family val="2"/>
          </rPr>
          <t xml:space="preserve">
This is a calculation, based on the system size and capacity factor provided above. 
</t>
        </r>
      </text>
    </comment>
    <comment ref="S10" authorId="1" shapeId="0" xr:uid="{CDE745EE-5DD8-477C-8D13-684A505A2089}">
      <text>
        <r>
          <rPr>
            <b/>
            <sz val="14"/>
            <color indexed="81"/>
            <rFont val="Tahoma"/>
            <family val="2"/>
          </rPr>
          <t xml:space="preserve">Note:
</t>
        </r>
        <r>
          <rPr>
            <sz val="14"/>
            <color indexed="81"/>
            <rFont val="Tahoma"/>
            <family val="2"/>
          </rPr>
          <t xml:space="preserve">To calculate a </t>
        </r>
        <r>
          <rPr>
            <b/>
            <sz val="14"/>
            <color indexed="81"/>
            <rFont val="Tahoma"/>
            <family val="2"/>
          </rPr>
          <t>nominal levelized tariff rate</t>
        </r>
        <r>
          <rPr>
            <sz val="14"/>
            <color indexed="81"/>
            <rFont val="Tahoma"/>
            <family val="2"/>
          </rPr>
          <t xml:space="preserve">, the "feed-in tariff escalation rate" field should be </t>
        </r>
        <r>
          <rPr>
            <b/>
            <sz val="14"/>
            <color indexed="81"/>
            <rFont val="Tahoma"/>
            <family val="2"/>
          </rPr>
          <t>set to zero</t>
        </r>
        <r>
          <rPr>
            <sz val="14"/>
            <color indexed="81"/>
            <rFont val="Tahoma"/>
            <family val="2"/>
          </rPr>
          <t>.</t>
        </r>
        <r>
          <rPr>
            <b/>
            <sz val="14"/>
            <color indexed="81"/>
            <rFont val="Tahoma"/>
            <family val="2"/>
          </rPr>
          <t xml:space="preserve">
</t>
        </r>
        <r>
          <rPr>
            <sz val="14"/>
            <color indexed="81"/>
            <rFont val="Tahoma"/>
            <family val="2"/>
          </rPr>
          <t xml:space="preserve">Where applied, tariff rate escalation is intended to serve as a risk mitigating tool, at least partially protecting the project investor from the uncertainty associated with the future cost of owning and operating the renewable energy facility. The escalation rate can be used to assume a year over year increase in all, or a portion, of the per unit payment provided to eligible generators. This concept is separate from inflationary adjustments to future operating cost assumptions -- which are input below.
This rate is applied annually.  Note that in this model, calendar years and tariff years are aligned.
</t>
        </r>
        <r>
          <rPr>
            <b/>
            <sz val="14"/>
            <color indexed="81"/>
            <rFont val="Tahoma"/>
            <family val="2"/>
          </rPr>
          <t>Caution:</t>
        </r>
        <r>
          <rPr>
            <sz val="14"/>
            <color indexed="81"/>
            <rFont val="Tahoma"/>
            <family val="2"/>
          </rPr>
          <t xml:space="preserve"> A value must be entered into this cell in order for the model to function properly. The input can be positive or negative (if the FIT value decreases over time), and a typical value may fall between 0% and 5%.  
</t>
        </r>
      </text>
    </comment>
    <comment ref="I11" authorId="1" shapeId="0" xr:uid="{3E9D57FE-6FD2-43F8-B239-92954C750A2B}">
      <text>
        <r>
          <rPr>
            <b/>
            <sz val="14"/>
            <color indexed="81"/>
            <rFont val="Tahoma"/>
            <family val="2"/>
          </rPr>
          <t>Note:</t>
        </r>
        <r>
          <rPr>
            <sz val="14"/>
            <color indexed="81"/>
            <rFont val="Tahoma"/>
            <family val="2"/>
          </rPr>
          <t xml:space="preserve">
The natural aging of the mechanical components of a wind turbine generator may lead to a drop in turbine availability (or efficiency), and therefore production, over time.  
This input allows the user to model the potential for such degradation, which may be between 0% and 2% per year.
</t>
        </r>
        <r>
          <rPr>
            <b/>
            <sz val="14"/>
            <color indexed="81"/>
            <rFont val="Tahoma"/>
            <family val="2"/>
          </rPr>
          <t>If the modeled "Net Capacity Factor" is intented to take long-term average availability into account, then the user may wish to enter 0% in the Annual Production Degradation field.</t>
        </r>
        <r>
          <rPr>
            <sz val="14"/>
            <color indexed="81"/>
            <rFont val="Tahoma"/>
            <family val="2"/>
          </rPr>
          <t xml:space="preserve">
Input must be =&gt; 0%.
</t>
        </r>
      </text>
    </comment>
    <comment ref="I12" authorId="1" shapeId="0" xr:uid="{AEA45397-108B-41F4-AD1A-042E1C5A6393}">
      <text>
        <r>
          <rPr>
            <b/>
            <sz val="14"/>
            <color indexed="81"/>
            <rFont val="Tahoma"/>
            <family val="2"/>
          </rPr>
          <t xml:space="preserve">Note:
</t>
        </r>
        <r>
          <rPr>
            <sz val="14"/>
            <color indexed="81"/>
            <rFont val="Tahoma"/>
            <family val="2"/>
          </rPr>
          <t xml:space="preserve">The Project Useful Life is the number of years that the project is expected to be fully operational, reliably delivering electricity to the grid, and generating revenue. This concept is different from the FIT Contract Length, which is administratively determined by policymakers. These two values may be the same if a FIT contract is offered for the project's entire expected useful life. This approach is likely to generate the lowest tariff rate, while successfully attracting investors to renewable energy projects.  
The CREST model is built for a maximum Project Useful Life of 30 years.
Input must be greater than 0 and less than or equal to 30.
</t>
        </r>
      </text>
    </comment>
    <comment ref="S12" authorId="1" shapeId="0" xr:uid="{B542AA55-C3BB-4915-9224-D65B27F69A16}">
      <text>
        <r>
          <rPr>
            <b/>
            <sz val="14"/>
            <color indexed="81"/>
            <rFont val="Tahoma"/>
            <family val="2"/>
          </rPr>
          <t xml:space="preserve">Note:
</t>
        </r>
        <r>
          <rPr>
            <sz val="14"/>
            <color indexed="81"/>
            <rFont val="Tahoma"/>
            <family val="2"/>
          </rPr>
          <t>If the designated "FIT Contract Length" is less than the defined "Project Useful Life", then this grouping of inputs is used to calculate the project's market-based revenue during the period from FIT contract expiration to the end of the project's life.</t>
        </r>
        <r>
          <rPr>
            <b/>
            <sz val="14"/>
            <color indexed="81"/>
            <rFont val="Tahoma"/>
            <family val="2"/>
          </rPr>
          <t xml:space="preserve">
</t>
        </r>
        <r>
          <rPr>
            <sz val="14"/>
            <color indexed="81"/>
            <rFont val="Tahoma"/>
            <family val="2"/>
          </rPr>
          <t xml:space="preserve">
</t>
        </r>
      </text>
    </comment>
    <comment ref="S13" authorId="1" shapeId="0" xr:uid="{F8221B2E-C289-4503-9932-1C19B187944B}">
      <text>
        <r>
          <rPr>
            <b/>
            <sz val="14"/>
            <color indexed="81"/>
            <rFont val="Tahoma"/>
            <family val="2"/>
          </rPr>
          <t xml:space="preserve">Note:
</t>
        </r>
        <r>
          <rPr>
            <sz val="14"/>
            <color indexed="81"/>
            <rFont val="Tahoma"/>
            <family val="2"/>
          </rPr>
          <t>Selecting "Year One" forecasts the total market value of production based on an estimate of that value in the project's first year of commercial operation and a user-defined escalation rate.  
Selecting "Year-by-Year" enables the user to enter unique annual values for the period after the FIT expires and before the end of the project's useful life.</t>
        </r>
        <r>
          <rPr>
            <b/>
            <sz val="14"/>
            <color indexed="81"/>
            <rFont val="Tahoma"/>
            <family val="2"/>
          </rPr>
          <t xml:space="preserve">
</t>
        </r>
        <r>
          <rPr>
            <sz val="14"/>
            <color indexed="81"/>
            <rFont val="Tahoma"/>
            <family val="2"/>
          </rPr>
          <t xml:space="preserve">
</t>
        </r>
      </text>
    </comment>
    <comment ref="F14" authorId="0" shapeId="0" xr:uid="{E6E836C9-BB2A-4769-A02F-0BCDDDB7D2ED}">
      <text>
        <r>
          <rPr>
            <b/>
            <sz val="8"/>
            <color indexed="81"/>
            <rFont val="Tahoma"/>
            <family val="2"/>
          </rPr>
          <t>See "unit" definitions at the bottom of this worksheet.</t>
        </r>
        <r>
          <rPr>
            <sz val="8"/>
            <color indexed="81"/>
            <rFont val="Tahoma"/>
            <family val="2"/>
          </rPr>
          <t xml:space="preserve">
</t>
        </r>
      </text>
    </comment>
    <comment ref="S14" authorId="1" shapeId="0" xr:uid="{A1F26A8F-3CF4-4BA8-B1C3-106EFC680E0A}">
      <text>
        <r>
          <rPr>
            <b/>
            <sz val="14"/>
            <color indexed="81"/>
            <rFont val="Tahoma"/>
            <family val="2"/>
          </rPr>
          <t xml:space="preserve">Note:
</t>
        </r>
        <r>
          <rPr>
            <sz val="14"/>
            <color indexed="81"/>
            <rFont val="Tahoma"/>
            <family val="2"/>
          </rPr>
          <t xml:space="preserve">This is the </t>
        </r>
        <r>
          <rPr>
            <b/>
            <sz val="14"/>
            <color indexed="81"/>
            <rFont val="Tahoma"/>
            <family val="2"/>
          </rPr>
          <t>combined</t>
        </r>
        <r>
          <rPr>
            <sz val="14"/>
            <color indexed="81"/>
            <rFont val="Tahoma"/>
            <family val="2"/>
          </rPr>
          <t xml:space="preserve"> (or "bundled") market value of energy + capacity + Renewable Energy Credtis (RECs) in the same year in which the project's first enters commercial operation.
This input must be greater than zero.
</t>
        </r>
      </text>
    </comment>
    <comment ref="I15" authorId="1" shapeId="0" xr:uid="{41B406DF-B5E3-4108-9687-B0520A91FA48}">
      <text>
        <r>
          <rPr>
            <b/>
            <sz val="14"/>
            <color indexed="81"/>
            <rFont val="Tahoma"/>
            <family val="2"/>
          </rPr>
          <t>Note:</t>
        </r>
        <r>
          <rPr>
            <sz val="14"/>
            <color indexed="81"/>
            <rFont val="Tahoma"/>
            <family val="2"/>
          </rPr>
          <t xml:space="preserve">
This model alllows the user to input system cost at 1 of 3 levels of detail: "simple", "intermediate" or "complex." Simple offers a single input in $/kW, Intermediate offers five cost subcategories in total dollars, and Complex offers line-by-line project costing with user-defined categories and costs per line-item.  
Select your preferred method and use the cells below to enter your cost information. If you choose the "Complex" option, you will need to follow the link below to the "Complex Capital Costs" tab.</t>
        </r>
      </text>
    </comment>
    <comment ref="S15" authorId="1" shapeId="0" xr:uid="{3EB9A836-8A52-426C-BB81-B0DE77BFF38D}">
      <text>
        <r>
          <rPr>
            <b/>
            <sz val="14"/>
            <color indexed="81"/>
            <rFont val="Tahoma"/>
            <family val="2"/>
          </rPr>
          <t xml:space="preserve">Note:
</t>
        </r>
        <r>
          <rPr>
            <sz val="14"/>
            <color indexed="81"/>
            <rFont val="Tahoma"/>
            <family val="2"/>
          </rPr>
          <t xml:space="preserve">When the "Year One" forecast methodology is selected, this is the user-defined escalation rate at which the market value of production is expected to change.
Input must be greater than zero.
</t>
        </r>
      </text>
    </comment>
    <comment ref="I16" authorId="1" shapeId="0" xr:uid="{FB202538-B103-46D7-A85C-981D3EAD8F23}">
      <text>
        <r>
          <rPr>
            <b/>
            <sz val="14"/>
            <color indexed="81"/>
            <rFont val="Tahoma"/>
            <family val="2"/>
          </rPr>
          <t>Note:</t>
        </r>
        <r>
          <rPr>
            <sz val="14"/>
            <color indexed="81"/>
            <rFont val="Tahoma"/>
            <family val="2"/>
          </rPr>
          <t xml:space="preserve">
When "Simple" is selected in the Cost Level of Detail cell, this "Total Installed Cost" row represents the total expected all-in project cost, which should include all hardware, balance of plant, interconnection, design, construction, permitting, development (including developer fee), interest during construction and financing costs. This figure should not account for any tax incentives, grants, or other cash incentives, each of which will be addressed elsewhere in the model. This figure should, however, reflect any applicable sales tax or exemptions thereof.
Input must be greater than zero.
</t>
        </r>
      </text>
    </comment>
    <comment ref="S16" authorId="1" shapeId="0" xr:uid="{02285501-5C6D-465C-97BB-A6B4143B9D2D}">
      <text>
        <r>
          <rPr>
            <b/>
            <sz val="14"/>
            <color indexed="81"/>
            <rFont val="Tahoma"/>
            <family val="2"/>
          </rPr>
          <t xml:space="preserve">Note:
</t>
        </r>
        <r>
          <rPr>
            <sz val="14"/>
            <color indexed="81"/>
            <rFont val="Tahoma"/>
            <family val="2"/>
          </rPr>
          <t xml:space="preserve">When "Year-by-Year" market value of production forecast is selected, this link brings the user to another worksheet on which unique annual values may be entered.
</t>
        </r>
      </text>
    </comment>
    <comment ref="I17" authorId="1" shapeId="0" xr:uid="{3C507F05-8E79-4814-B840-CBE38C30D866}">
      <text>
        <r>
          <rPr>
            <b/>
            <sz val="14"/>
            <color indexed="81"/>
            <rFont val="Tahoma"/>
            <family val="2"/>
          </rPr>
          <t>Note:</t>
        </r>
        <r>
          <rPr>
            <sz val="14"/>
            <color indexed="81"/>
            <rFont val="Tahoma"/>
            <family val="2"/>
          </rPr>
          <t xml:space="preserve">
"Generation Equipment" should include hardware such as the generator, blades and tower.  
Caution: the model assumes that if "Intermediate" is selected as the level of detail section, the "Generation Equipment" row must have a value greater than zero. 
</t>
        </r>
      </text>
    </comment>
    <comment ref="I18" authorId="1" shapeId="0" xr:uid="{A998B57F-E158-434E-86E7-42FB16FEB4EA}">
      <text>
        <r>
          <rPr>
            <b/>
            <sz val="14"/>
            <color indexed="81"/>
            <rFont val="Tahoma"/>
            <family val="2"/>
          </rPr>
          <t>Note:</t>
        </r>
        <r>
          <rPr>
            <sz val="14"/>
            <color indexed="81"/>
            <rFont val="Tahoma"/>
            <family val="2"/>
          </rPr>
          <t xml:space="preserve">
Balance of Plant (also known as Balance of System) represents all infrastructure, site prep and labor supporting the installation of the generation equipment. BOP costs include foundations, mounting devices, other hardware, and labor not already accounted for in the "Generation Equipment" row.
Input cannot be less than zero.
</t>
        </r>
      </text>
    </comment>
    <comment ref="P18" authorId="0" shapeId="0" xr:uid="{EFA03216-6D4C-4A85-B430-CDFCED85E7C1}">
      <text>
        <r>
          <rPr>
            <b/>
            <sz val="8"/>
            <color indexed="81"/>
            <rFont val="Tahoma"/>
            <family val="2"/>
          </rPr>
          <t>See "unit" definitions at the bottom of this worksheet.</t>
        </r>
        <r>
          <rPr>
            <sz val="8"/>
            <color indexed="81"/>
            <rFont val="Tahoma"/>
            <family val="2"/>
          </rPr>
          <t xml:space="preserve">
</t>
        </r>
      </text>
    </comment>
    <comment ref="I19" authorId="1" shapeId="0" xr:uid="{7B629DE2-16A2-41D1-9AC4-E0AFE284A68C}">
      <text>
        <r>
          <rPr>
            <b/>
            <sz val="14"/>
            <color indexed="81"/>
            <rFont val="Tahoma"/>
            <family val="2"/>
          </rPr>
          <t>Note:</t>
        </r>
        <r>
          <rPr>
            <sz val="14"/>
            <color indexed="81"/>
            <rFont val="Tahoma"/>
            <family val="2"/>
          </rPr>
          <t xml:space="preserve">
The "Interconnection" row should account for all project costs relating to connecting to the grid, such as the construction of transmission lines, permitting costs with the utility, and start-up costs. This category will also include the cost of a new substation, if necessary.
Regulators wishing to explore the potential that interconnection costs may be recovered from ratepayers separately can elect to enter zeros in this cost category whenever "Intermediate" or "Complex" is selected.
Input cannot be less than zero.
</t>
        </r>
      </text>
    </comment>
    <comment ref="S19" authorId="0" shapeId="0" xr:uid="{787558E6-824A-49B9-A245-DA5C890CF9C9}">
      <text>
        <r>
          <rPr>
            <b/>
            <sz val="14"/>
            <color indexed="81"/>
            <rFont val="Tahoma"/>
            <family val="2"/>
          </rPr>
          <t xml:space="preserve">Note:
</t>
        </r>
        <r>
          <rPr>
            <sz val="14"/>
            <color indexed="81"/>
            <rFont val="Tahoma"/>
            <family val="2"/>
          </rPr>
          <t>This drop-down input cell allows the user to specify whether federal incentives are cost-based (e.g. an investment tax credit) or performance-based (e.g. a PTC). The magnitude and terms of these incentives are set in the cells below.
For more information, a useful resource for researching federal and state incentives online is:  
http://dsireusa.org/
*See bottom of introduction page for a list of links</t>
        </r>
      </text>
    </comment>
    <comment ref="E20" authorId="0" shapeId="0" xr:uid="{8976B658-9EC1-481C-A89B-BC64E3C3F29A}">
      <text>
        <r>
          <rPr>
            <b/>
            <sz val="14"/>
            <color indexed="81"/>
            <rFont val="Tahoma"/>
            <family val="2"/>
          </rPr>
          <t>Jason Gifford:</t>
        </r>
        <r>
          <rPr>
            <sz val="14"/>
            <color indexed="81"/>
            <rFont val="Tahoma"/>
            <family val="2"/>
          </rPr>
          <t xml:space="preserve">
Converted to "admin cost" for community remote DG</t>
        </r>
      </text>
    </comment>
    <comment ref="I20" authorId="1" shapeId="0" xr:uid="{B02D3539-2E18-4382-875E-B11F61935FA8}">
      <text>
        <r>
          <rPr>
            <b/>
            <sz val="14"/>
            <color indexed="81"/>
            <rFont val="Tahoma"/>
            <family val="2"/>
          </rPr>
          <t>Note:</t>
        </r>
        <r>
          <rPr>
            <sz val="8"/>
            <color indexed="81"/>
            <rFont val="Tahoma"/>
            <family val="2"/>
          </rPr>
          <t xml:space="preserve">
</t>
        </r>
        <r>
          <rPr>
            <sz val="14"/>
            <color indexed="81"/>
            <rFont val="Tahoma"/>
            <family val="2"/>
          </rPr>
          <t xml:space="preserve">The "Development Costs" row should include all costs relating to project management, studies, engineering, permitting, contingencies, success fees, and other soft costs not accounted for elsewhere in the "Intermediate" cost breakdown. 
Input cannot be less than zero.
</t>
        </r>
      </text>
    </comment>
    <comment ref="S20" authorId="1" shapeId="0" xr:uid="{DD496787-9422-4C33-A33F-B73EEE9218D7}">
      <text>
        <r>
          <rPr>
            <b/>
            <sz val="14"/>
            <color indexed="81"/>
            <rFont val="Tahoma"/>
            <family val="2"/>
          </rPr>
          <t xml:space="preserve">Note:
</t>
        </r>
        <r>
          <rPr>
            <sz val="14"/>
            <color indexed="81"/>
            <rFont val="Tahoma"/>
            <family val="2"/>
          </rPr>
          <t>Some renewable energy projects may be eligible to take advantagee of Federal incentives such as the Investment Tax Credit or a Treasury Grant. Information on eligibility for funding opportunities such as these is available online at:
http://dsireusa.org/incentives/incentive.cfm?Incentive_Code=US02F&amp;re=1&amp;ee=1
*See bottom of introduction page for a list of links</t>
        </r>
        <r>
          <rPr>
            <b/>
            <sz val="14"/>
            <color indexed="81"/>
            <rFont val="Tahoma"/>
            <family val="2"/>
          </rPr>
          <t xml:space="preserve">
</t>
        </r>
        <r>
          <rPr>
            <sz val="14"/>
            <color indexed="81"/>
            <rFont val="Tahoma"/>
            <family val="2"/>
          </rPr>
          <t xml:space="preserve">
</t>
        </r>
      </text>
    </comment>
    <comment ref="I21" authorId="1" shapeId="0" xr:uid="{311ADA3C-4067-42EF-A94B-68DEF137DA60}">
      <text>
        <r>
          <rPr>
            <b/>
            <sz val="14"/>
            <color indexed="81"/>
            <rFont val="Tahoma"/>
            <family val="2"/>
          </rPr>
          <t>Note:</t>
        </r>
        <r>
          <rPr>
            <sz val="14"/>
            <color indexed="81"/>
            <rFont val="Tahoma"/>
            <family val="2"/>
          </rPr>
          <t xml:space="preserve">
The "Reserves &amp; Financing Costs" row accounts for all costs relating to financing, such as lender fees, closing costs, legal fees, interest during construction, due diligence costs, and any other relevant, financing relating costs. The model calculates this field by aggregating G22 through G25, G51, G54, G63, G66, Q57 and Q60.
</t>
        </r>
      </text>
    </comment>
    <comment ref="S21" authorId="0" shapeId="0" xr:uid="{8A5CA56F-33A4-4AA0-A81F-F2CC8F78C756}">
      <text>
        <r>
          <rPr>
            <b/>
            <sz val="14"/>
            <color indexed="81"/>
            <rFont val="Tahoma"/>
            <family val="2"/>
          </rPr>
          <t xml:space="preserve">NOTE:
</t>
        </r>
        <r>
          <rPr>
            <sz val="14"/>
            <color indexed="81"/>
            <rFont val="Tahoma"/>
            <family val="2"/>
          </rPr>
          <t xml:space="preserve">The maximum potential Investment Tax Credit (ITC) benefit is assumed to be 30% of those project costs which are depreciable on the 5-year MACRS schedule.  This 'eligible costs' assumption is purposefully simplified for this analysis.  Project costs depreciated on other bases may also be eligible for the ITC.  Developers should consult with tax counsel for project-specific depreciation and ITC treatment of each project cost.
</t>
        </r>
        <r>
          <rPr>
            <sz val="8"/>
            <color indexed="81"/>
            <rFont val="Tahoma"/>
            <family val="2"/>
          </rPr>
          <t xml:space="preserve">
</t>
        </r>
      </text>
    </comment>
    <comment ref="I22" authorId="1" shapeId="0" xr:uid="{CE2304D4-87C7-4B18-B7F3-C75E7F374302}">
      <text>
        <r>
          <rPr>
            <b/>
            <sz val="14"/>
            <color indexed="81"/>
            <rFont val="Tahoma"/>
            <family val="2"/>
          </rPr>
          <t>Note:</t>
        </r>
        <r>
          <rPr>
            <sz val="14"/>
            <color indexed="81"/>
            <rFont val="Tahoma"/>
            <family val="2"/>
          </rPr>
          <t xml:space="preserve">
If you wish to enter your project costs under the "Complex" format, select Complex from the drop-down menu and use the link to the left to access additional worksheets which provide the opportunitiy to add significant, additional detail on project costs. Once complete, the model will roll up the detailed costs and populate this row with the resultant final project cost. </t>
        </r>
      </text>
    </comment>
    <comment ref="S22" authorId="0" shapeId="0" xr:uid="{87A0AF48-C5AC-41AD-8DDF-92209EBA7FC5}">
      <text>
        <r>
          <rPr>
            <b/>
            <sz val="14"/>
            <color indexed="81"/>
            <rFont val="Tahoma"/>
            <family val="2"/>
          </rPr>
          <t xml:space="preserve">NOTE:
</t>
        </r>
        <r>
          <rPr>
            <sz val="14"/>
            <color indexed="81"/>
            <rFont val="Tahoma"/>
            <family val="2"/>
          </rPr>
          <t xml:space="preserve">As a tax </t>
        </r>
        <r>
          <rPr>
            <u/>
            <sz val="14"/>
            <color indexed="81"/>
            <rFont val="Tahoma"/>
            <family val="2"/>
          </rPr>
          <t>credit</t>
        </r>
        <r>
          <rPr>
            <sz val="14"/>
            <color indexed="81"/>
            <rFont val="Tahoma"/>
            <family val="2"/>
          </rPr>
          <t>, the ITC is only usable by project owners with positive federal income tax liability.  
In cases where the owner's tax liability in the calendar year of the project's first commercial operation exceeds the ITC amount, the user may enter 100% in this field and assume full utilization of the ITC.
If the owner's tax liability is less than the available ITC, the user may either enter a % value less than 100% or select the "carried forward" method in the "Tax Benefits used as generated or carried forward?" cell.  
Input must be between 0% and 100%.</t>
        </r>
        <r>
          <rPr>
            <sz val="8"/>
            <color indexed="81"/>
            <rFont val="Tahoma"/>
            <family val="2"/>
          </rPr>
          <t xml:space="preserve">
</t>
        </r>
      </text>
    </comment>
    <comment ref="I23" authorId="1" shapeId="0" xr:uid="{58A8CA17-8765-4234-9E24-F8F182208B1C}">
      <text>
        <r>
          <rPr>
            <b/>
            <sz val="14"/>
            <color indexed="81"/>
            <rFont val="Tahoma"/>
            <family val="2"/>
          </rPr>
          <t>Note:</t>
        </r>
        <r>
          <rPr>
            <sz val="14"/>
            <color indexed="81"/>
            <rFont val="Tahoma"/>
            <family val="2"/>
          </rPr>
          <t xml:space="preserve">
The total system cost is a calculation, based on the level of detail selected and the assocated inputs.
</t>
        </r>
      </text>
    </comment>
    <comment ref="S23" authorId="0" shapeId="0" xr:uid="{5D15A417-BDD3-40E9-9FCA-2A6A702CF9C7}">
      <text>
        <r>
          <rPr>
            <b/>
            <sz val="14"/>
            <color indexed="81"/>
            <rFont val="Tahoma"/>
            <family val="2"/>
          </rPr>
          <t xml:space="preserve">Note:
</t>
        </r>
        <r>
          <rPr>
            <sz val="14"/>
            <color indexed="81"/>
            <rFont val="Tahoma"/>
            <family val="2"/>
          </rPr>
          <t xml:space="preserve">Calculates the dollar value of the Investment Tax Credit or Cash Grant, if applicable.
</t>
        </r>
      </text>
    </comment>
    <comment ref="I24" authorId="1" shapeId="0" xr:uid="{66178F00-28BD-4032-B0F8-CAF83CF768D7}">
      <text>
        <r>
          <rPr>
            <b/>
            <sz val="14"/>
            <color indexed="81"/>
            <rFont val="Tahoma"/>
            <family val="2"/>
          </rPr>
          <t>Note:</t>
        </r>
        <r>
          <rPr>
            <sz val="14"/>
            <color indexed="81"/>
            <rFont val="Tahoma"/>
            <family val="2"/>
          </rPr>
          <t xml:space="preserve">
Calculation based on the total system cost in the cell above and the system size reported. Typical costs (as of 2010) fall between $2,000/kW and $3,000/kW.</t>
        </r>
        <r>
          <rPr>
            <sz val="8"/>
            <color indexed="81"/>
            <rFont val="Tahoma"/>
            <family val="2"/>
          </rPr>
          <t xml:space="preserve">
</t>
        </r>
      </text>
    </comment>
    <comment ref="S24" authorId="0" shapeId="0" xr:uid="{DA70FE92-DD3E-4BCA-AA2F-6C2EDC08BBB8}">
      <text>
        <r>
          <rPr>
            <b/>
            <sz val="14"/>
            <color indexed="81"/>
            <rFont val="Tahoma"/>
            <family val="2"/>
          </rPr>
          <t xml:space="preserve">Note: </t>
        </r>
        <r>
          <rPr>
            <sz val="14"/>
            <color indexed="81"/>
            <rFont val="Tahoma"/>
            <family val="2"/>
          </rPr>
          <t xml:space="preserve">
This input cell, the "Performance Based Incentive" or "PBI" is another potential incentive available to some specific projects. The PBI would be separate from a feed-in-tariff, but acts similarly in that it is per unit of production (typically kWh) income to a project.
Some examples of PBIs include the Federal Production Tax Credit (applicable to private projects with tax appetites) and the Federal Renewable Energy Production Incentive (REPI), historically available to some public projects.
</t>
        </r>
      </text>
    </comment>
    <comment ref="I25" authorId="1" shapeId="0" xr:uid="{CF7598F8-D2AE-44DB-84AD-9F9EEE173B6C}">
      <text>
        <r>
          <rPr>
            <b/>
            <sz val="14"/>
            <color indexed="81"/>
            <rFont val="Tahoma"/>
            <family val="2"/>
          </rPr>
          <t xml:space="preserve">Note:
</t>
        </r>
        <r>
          <rPr>
            <sz val="14"/>
            <color indexed="81"/>
            <rFont val="Tahoma"/>
            <family val="2"/>
          </rPr>
          <t xml:space="preserve">This cell calculates the total of all applicable grants, excluding the payment in lieu of the Federal ITC (also known as the ITC Cash Grant, or Cash Grant), if applicable.  The ITC Cash Grant is considered separately because unlike grants issued upfront and used to offset capital costs, the ITC Cash Grant is disbursed approxiamtely 60 days after the start of commercial operations and therefore becomes an integral part of the project's financing.
Where grants are treated as taxable income, this cell calculates the after-tax impact on the total cost of the project.
  </t>
        </r>
        <r>
          <rPr>
            <sz val="8"/>
            <color indexed="81"/>
            <rFont val="Tahoma"/>
            <family val="2"/>
          </rPr>
          <t xml:space="preserve">
</t>
        </r>
      </text>
    </comment>
    <comment ref="S25" authorId="0" shapeId="0" xr:uid="{37167907-E775-4E7B-AB47-08A9CE7C2AF5}">
      <text>
        <r>
          <rPr>
            <b/>
            <sz val="14"/>
            <color indexed="81"/>
            <rFont val="Tahoma"/>
            <family val="2"/>
          </rPr>
          <t xml:space="preserve">Note: </t>
        </r>
        <r>
          <rPr>
            <sz val="14"/>
            <color indexed="81"/>
            <rFont val="Tahoma"/>
            <family val="2"/>
          </rPr>
          <t xml:space="preserve">
This cell denotes the value of the Performance Based Incentive applicable to the project's first year of commercial operation. In some cases, this value will need to be calculated external to the model if such PBI is derived from a "base year" and specified inflation index. The following cells can be used to account for inflation and the maximum term of eligibility.
Input cannot be less than zero.
</t>
        </r>
      </text>
    </comment>
    <comment ref="I26" authorId="1" shapeId="0" xr:uid="{5EA130F4-6EA8-4587-B004-4ABBB38D735A}">
      <text>
        <r>
          <rPr>
            <b/>
            <sz val="14"/>
            <color indexed="81"/>
            <rFont val="Tahoma"/>
            <family val="2"/>
          </rPr>
          <t>Note:</t>
        </r>
        <r>
          <rPr>
            <sz val="14"/>
            <color indexed="81"/>
            <rFont val="Tahoma"/>
            <family val="2"/>
          </rPr>
          <t xml:space="preserve">
Calculation of total project cost net applicable grants. 
</t>
        </r>
      </text>
    </comment>
    <comment ref="S26" authorId="0" shapeId="0" xr:uid="{48B0B4E2-122E-43F4-AF0F-68FB6B663108}">
      <text>
        <r>
          <rPr>
            <b/>
            <sz val="14"/>
            <color indexed="81"/>
            <rFont val="Tahoma"/>
            <family val="2"/>
          </rPr>
          <t>Note:</t>
        </r>
        <r>
          <rPr>
            <sz val="14"/>
            <color indexed="81"/>
            <rFont val="Tahoma"/>
            <family val="2"/>
          </rPr>
          <t xml:space="preserve">
This is the length of time that a project would be eligible for any Performance Based Incentives outlined in the cell immediately above. For example, the Federal Renewable Energy Production Incentive and Production Tax Credit incentives are available for the first 10 years of project operation.
Input cannot be less than zero.
</t>
        </r>
      </text>
    </comment>
    <comment ref="I27" authorId="1" shapeId="0" xr:uid="{8AEBCA7C-0116-437C-B359-E05663BF5DC7}">
      <text>
        <r>
          <rPr>
            <b/>
            <sz val="14"/>
            <color indexed="81"/>
            <rFont val="Tahoma"/>
            <family val="2"/>
          </rPr>
          <t xml:space="preserve">Note:
</t>
        </r>
        <r>
          <rPr>
            <sz val="14"/>
            <color indexed="81"/>
            <rFont val="Tahoma"/>
            <family val="2"/>
          </rPr>
          <t xml:space="preserve">Calculation, based on net project cost and total installed capacity. 
</t>
        </r>
      </text>
    </comment>
    <comment ref="S27" authorId="0" shapeId="0" xr:uid="{BFC258F6-2954-4FA9-8966-F995422F4D1B}">
      <text>
        <r>
          <rPr>
            <b/>
            <sz val="14"/>
            <color indexed="81"/>
            <rFont val="Tahoma"/>
            <family val="2"/>
          </rPr>
          <t xml:space="preserve">Note:
</t>
        </r>
        <r>
          <rPr>
            <sz val="14"/>
            <color indexed="81"/>
            <rFont val="Tahoma"/>
            <family val="2"/>
          </rPr>
          <t xml:space="preserve">Performance Based Incentives are often adjusted to account for inflation. For example, the Federal Production Tax Credit (PTC) is adjusted each year to account for changes in the GDP IPD index. This cell can be used as a proxy for the inflation that would apply to any PBI incentive entered above.
This input cannot be left blank.
</t>
        </r>
        <r>
          <rPr>
            <sz val="8"/>
            <color indexed="81"/>
            <rFont val="Tahoma"/>
            <family val="2"/>
          </rPr>
          <t xml:space="preserve">
</t>
        </r>
      </text>
    </comment>
    <comment ref="S28" authorId="0" shapeId="0" xr:uid="{2ED8C9C6-948B-4BD4-9C18-76946771D99F}">
      <text>
        <r>
          <rPr>
            <b/>
            <sz val="14"/>
            <color indexed="81"/>
            <rFont val="Tahoma"/>
            <family val="2"/>
          </rPr>
          <t xml:space="preserve">Note:
</t>
        </r>
        <r>
          <rPr>
            <sz val="14"/>
            <color indexed="81"/>
            <rFont val="Tahoma"/>
            <family val="2"/>
          </rPr>
          <t>In some cases, due to the nature of the requirements of some Performance Based Incentive programs, project owners are unable to maximize the full revenue stream of the incentive. For example, in the case of the Federal Production Tax Credit (PTC), the project owner may not have sufficienct tax appetite to fully utilize the tax credits. 
This input cell would allow the modeler to account for the owner's inability to fully utilize the PTC and/or the reduction of the PTC (a "haircut") due to the presence of subsidized (below market interest rate) financing.
Incentive "availability" will likely be a factor if this cell is being used to model the cash-based Renewable Energy Production Incentive (REPI).  The REPI program has historically been underfunded; available monies are allocated pro rata among eligible projects.  In this case, the value entered in this cell should reflect the user's expectation of the fraction of the face value REPI payment that will be available over the applicable incentive term.
Input must be between 0% to 100%.</t>
        </r>
      </text>
    </comment>
    <comment ref="F29" authorId="0" shapeId="0" xr:uid="{39AA2C30-C360-4E2D-9D07-75E53448DE6A}">
      <text>
        <r>
          <rPr>
            <b/>
            <sz val="8"/>
            <color indexed="81"/>
            <rFont val="Tahoma"/>
            <family val="2"/>
          </rPr>
          <t>See "unit" definitions at the bottom of this worksheet.</t>
        </r>
        <r>
          <rPr>
            <sz val="8"/>
            <color indexed="81"/>
            <rFont val="Tahoma"/>
            <family val="2"/>
          </rPr>
          <t xml:space="preserve">
</t>
        </r>
      </text>
    </comment>
    <comment ref="S29" authorId="0" shapeId="0" xr:uid="{776BA7F8-5E9A-4695-A82C-95F3BC0A0DAF}">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I30" authorId="0" shapeId="0" xr:uid="{3036BD88-8967-4410-8317-9483BC8612EA}">
      <text>
        <r>
          <rPr>
            <b/>
            <sz val="14"/>
            <color indexed="81"/>
            <rFont val="Tahoma"/>
            <family val="2"/>
          </rPr>
          <t>Note:</t>
        </r>
        <r>
          <rPr>
            <sz val="14"/>
            <color indexed="81"/>
            <rFont val="Tahoma"/>
            <family val="2"/>
          </rPr>
          <t xml:space="preserve">
Select either "Simple" or "Intermediate" O&amp;M expense detail using the drop-down menu to the right.
</t>
        </r>
        <r>
          <rPr>
            <sz val="8"/>
            <color indexed="81"/>
            <rFont val="Tahoma"/>
            <family val="2"/>
          </rPr>
          <t xml:space="preserve">
</t>
        </r>
      </text>
    </comment>
    <comment ref="I31" authorId="1" shapeId="0" xr:uid="{94A8A5F4-CCBF-424F-9FC3-2BE43161DFCF}">
      <text>
        <r>
          <rPr>
            <b/>
            <sz val="14"/>
            <color indexed="81"/>
            <rFont val="Tahoma"/>
            <family val="2"/>
          </rPr>
          <t>Note:</t>
        </r>
        <r>
          <rPr>
            <sz val="14"/>
            <color indexed="81"/>
            <rFont val="Tahoma"/>
            <family val="2"/>
          </rPr>
          <t xml:space="preserve">
If "Simple" is selected in the cell above, then this input should reflect the </t>
        </r>
        <r>
          <rPr>
            <b/>
            <u/>
            <sz val="14"/>
            <color indexed="81"/>
            <rFont val="Tahoma"/>
            <family val="2"/>
          </rPr>
          <t>total</t>
        </r>
        <r>
          <rPr>
            <sz val="14"/>
            <color indexed="81"/>
            <rFont val="Tahoma"/>
            <family val="2"/>
          </rPr>
          <t xml:space="preserve"> expected </t>
        </r>
        <r>
          <rPr>
            <b/>
            <u/>
            <sz val="14"/>
            <color indexed="81"/>
            <rFont val="Tahoma"/>
            <family val="2"/>
          </rPr>
          <t>fixed</t>
        </r>
        <r>
          <rPr>
            <sz val="14"/>
            <color indexed="81"/>
            <rFont val="Tahoma"/>
            <family val="2"/>
          </rPr>
          <t xml:space="preserve"> cost of project operations and maintenance, in $/kW-yr.  This </t>
        </r>
        <r>
          <rPr>
            <u/>
            <sz val="14"/>
            <color indexed="81"/>
            <rFont val="Tahoma"/>
            <family val="2"/>
          </rPr>
          <t>includes</t>
        </r>
        <r>
          <rPr>
            <sz val="14"/>
            <color indexed="81"/>
            <rFont val="Tahoma"/>
            <family val="2"/>
          </rPr>
          <t xml:space="preserve"> the insurance, project management, property tax (or payment in lieu thereof), land lease, and royalty expenses which would have been broken out separately in the "Intermediate" case.  Other labor and spare parts should also be included in this estimate.
If the user has obtained O&amp;M expense estimates from a third-party, it is critical to understand which costs have been included.  If the user is not certain that all of the above-listed expenses are included in the fixed cost estimate, then the "Intermediate" approach should be used and these expenses should be entered separately.
If "Intermediate" is selected, then this input should reflect  the expected annual fixed O&amp;M cost before taking into account the additional listed expenses, which are entered below. 
In all cases, fixed O&amp;M would include - among others - the ongoing cost of obtaining daily, weekly or monthly production estimates based on weather and other factors.
Input value must be greater than zero. 
</t>
        </r>
      </text>
    </comment>
    <comment ref="S31" authorId="1" shapeId="0" xr:uid="{4DB957EA-176A-47A8-A336-46E2656F9C99}">
      <text>
        <r>
          <rPr>
            <b/>
            <sz val="14"/>
            <color indexed="81"/>
            <rFont val="Tahoma"/>
            <family val="2"/>
          </rPr>
          <t xml:space="preserve">Note:
</t>
        </r>
        <r>
          <rPr>
            <sz val="14"/>
            <color indexed="81"/>
            <rFont val="Tahoma"/>
            <family val="2"/>
          </rPr>
          <t xml:space="preserve">Some renewable energy projects may be eligible for other federal grants as well, such as funding from the U.S. Department of Agriculture. This input cell can be used to capture those funding opportunities, some of which are outlined online at:
http://dsireusa.org/incentives/index.cfm?state=us&amp;re=1&amp;EE=1
*See bottom of introduction page for a list of links
Input cannot be less than zero.
</t>
        </r>
      </text>
    </comment>
    <comment ref="I32" authorId="1" shapeId="0" xr:uid="{5AF4F92B-4526-48AE-9E06-A1E1D318F1E5}">
      <text>
        <r>
          <rPr>
            <b/>
            <sz val="14"/>
            <color indexed="81"/>
            <rFont val="Tahoma"/>
            <family val="2"/>
          </rPr>
          <t>Note:</t>
        </r>
        <r>
          <rPr>
            <sz val="14"/>
            <color indexed="81"/>
            <rFont val="Tahoma"/>
            <family val="2"/>
          </rPr>
          <t xml:space="preserve">
This cell provides the user with the option of accounting for O&amp;M expenses (such as labor and spare parts) which are more easily estimated and modeled on a variable, cents per kWh basis.  
If "Simple" is selected above, then this cell should also take into account variable costs, such as royalties, </t>
        </r>
        <r>
          <rPr>
            <b/>
            <u/>
            <sz val="14"/>
            <color indexed="81"/>
            <rFont val="Tahoma"/>
            <family val="2"/>
          </rPr>
          <t>if</t>
        </r>
        <r>
          <rPr>
            <sz val="14"/>
            <color indexed="81"/>
            <rFont val="Tahoma"/>
            <family val="2"/>
          </rPr>
          <t xml:space="preserve"> such annual expenses are not already accounted for in the fixed cost input above.
Input cannot be less than zero.
</t>
        </r>
      </text>
    </comment>
    <comment ref="S32" authorId="0" shapeId="0" xr:uid="{C7107B7A-3CD4-493D-BF22-CA16107122F2}">
      <text>
        <r>
          <rPr>
            <b/>
            <sz val="14"/>
            <color indexed="81"/>
            <rFont val="Tahoma"/>
            <family val="2"/>
          </rPr>
          <t xml:space="preserve">Note:
</t>
        </r>
        <r>
          <rPr>
            <sz val="14"/>
            <color indexed="81"/>
            <rFont val="Tahoma"/>
            <family val="2"/>
          </rPr>
          <t xml:space="preserve">Select here whether federal grants (other than the section 1603 payment in lieu of the ITC/PTC) are treated as taxable income. If no, depreciation basis is reduced. 
</t>
        </r>
      </text>
    </comment>
    <comment ref="I33" authorId="0" shapeId="0" xr:uid="{C913CCBF-E7EE-4AFA-B13E-A882C353FD1B}">
      <text>
        <r>
          <rPr>
            <b/>
            <sz val="14"/>
            <color indexed="81"/>
            <rFont val="Tahoma"/>
            <family val="2"/>
          </rPr>
          <t>Note:</t>
        </r>
        <r>
          <rPr>
            <sz val="14"/>
            <color indexed="81"/>
            <rFont val="Tahoma"/>
            <family val="2"/>
          </rPr>
          <t xml:space="preserve">
This inflation rate applies to both fixed and variable O&amp;M expense, insurance, and project management costs entered above, if applicable. 
The model allows the user to specify an inflation assumption for an "initial period" and a second inflation assumption "thereafter." These inputs can be used to account for inflation which might be fixed during an initial O&amp;M service contract, but are unknown thereafter.  The final year of the "initial period" is  user-defined (e.g. final year of an O&amp;M service contract). 
The purpose of this feature is also to recognize that inflationary trends may change over time, or that some projects may not expect inflation of O&amp;M expenses for the first several years, but may expect inflation thereafter.
This inflation rate does not apply to PILOT or Royalty costs. Input cannot be less than zero.
</t>
        </r>
      </text>
    </comment>
    <comment ref="I34" authorId="0" shapeId="0" xr:uid="{C71110CE-463F-4654-B365-53D61C9D0CF2}">
      <text>
        <r>
          <rPr>
            <b/>
            <sz val="14"/>
            <color indexed="81"/>
            <rFont val="Tahoma"/>
            <family val="2"/>
          </rPr>
          <t xml:space="preserve">Note:
</t>
        </r>
        <r>
          <rPr>
            <sz val="14"/>
            <color indexed="81"/>
            <rFont val="Tahoma"/>
            <family val="2"/>
          </rPr>
          <t xml:space="preserve">This feature allows the user to assume that the rate at which expenses change over time is not constant. This cell provides the year in which the first inflation period ends.
Input cannot be less than zero.
</t>
        </r>
      </text>
    </comment>
    <comment ref="P34" authorId="0" shapeId="0" xr:uid="{EFCC59AD-A168-4B5C-A980-C0D1FFBF0B9C}">
      <text>
        <r>
          <rPr>
            <b/>
            <sz val="8"/>
            <color indexed="81"/>
            <rFont val="Tahoma"/>
            <family val="2"/>
          </rPr>
          <t>See "unit" definitions at the bottom of this worksheet.</t>
        </r>
        <r>
          <rPr>
            <sz val="8"/>
            <color indexed="81"/>
            <rFont val="Tahoma"/>
            <family val="2"/>
          </rPr>
          <t xml:space="preserve">
</t>
        </r>
      </text>
    </comment>
    <comment ref="I35" authorId="0" shapeId="0" xr:uid="{F22BDC86-6DB6-4107-9CC7-F804EF549DAC}">
      <text>
        <r>
          <rPr>
            <b/>
            <sz val="14"/>
            <color indexed="81"/>
            <rFont val="Tahoma"/>
            <family val="2"/>
          </rPr>
          <t xml:space="preserve">Note:
</t>
        </r>
        <r>
          <rPr>
            <sz val="14"/>
            <color indexed="81"/>
            <rFont val="Tahoma"/>
            <family val="2"/>
          </rPr>
          <t xml:space="preserve">This cell provides the inflation rate for the remainder of the project's useful life.
Input must be greater than zero.
</t>
        </r>
      </text>
    </comment>
    <comment ref="S35" authorId="1" shapeId="0" xr:uid="{EA3AE386-8C5C-4B10-9355-4A16014AE2A7}">
      <text>
        <r>
          <rPr>
            <b/>
            <sz val="14"/>
            <color indexed="81"/>
            <rFont val="Tahoma"/>
            <family val="2"/>
          </rPr>
          <t xml:space="preserve">Note:
</t>
        </r>
        <r>
          <rPr>
            <sz val="14"/>
            <color indexed="81"/>
            <rFont val="Tahoma"/>
            <family val="2"/>
          </rPr>
          <t>This drop-down input cell allows the user to specify whether state incentives are cost-based (e.g. an investment tax credit) or performance-based (e.g. a PTC or cash payment). If no state incentive is available or useable by the modeled project, the user will select "Neither." The magnitude and terms of these incentives are set in the cells below.
For more information, a useful resource for researching federal and state incentives online is:  
http://dsireusa.org/
*See bottom of introduction page for a list of links</t>
        </r>
      </text>
    </comment>
    <comment ref="I36" authorId="1" shapeId="0" xr:uid="{81B66BB9-8B47-4B45-A101-87CDD81D8FEF}">
      <text>
        <r>
          <rPr>
            <b/>
            <sz val="14"/>
            <color indexed="81"/>
            <rFont val="Tahoma"/>
            <family val="2"/>
          </rPr>
          <t xml:space="preserve">Note:
</t>
        </r>
        <r>
          <rPr>
            <sz val="14"/>
            <color indexed="81"/>
            <rFont val="Tahoma"/>
            <family val="2"/>
          </rPr>
          <t xml:space="preserve">Project owners, or hosts, are required to carry insurance. This input accounts for the estimated cost of insuring the modeled power generating facility.
Input cannot be less than zero.
</t>
        </r>
      </text>
    </comment>
    <comment ref="S36" authorId="0" shapeId="0" xr:uid="{93B94480-FF24-4953-B67A-24A4807229E0}">
      <text>
        <r>
          <rPr>
            <b/>
            <sz val="14"/>
            <color indexed="81"/>
            <rFont val="Tahoma"/>
            <family val="2"/>
          </rPr>
          <t xml:space="preserve">NOTE:
</t>
        </r>
        <r>
          <rPr>
            <sz val="14"/>
            <color indexed="81"/>
            <rFont val="Tahoma"/>
            <family val="2"/>
          </rPr>
          <t xml:space="preserve">The maximum potential Investment Tax Credit (ITC) benefit is assumed to be 30% of those project costs which are depreciable on the 5-year MACRS schedule.
</t>
        </r>
      </text>
    </comment>
    <comment ref="I37" authorId="0" shapeId="0" xr:uid="{AFEA31B0-84B0-4724-8FC4-305BD9A4BAD0}">
      <text>
        <r>
          <rPr>
            <b/>
            <sz val="14"/>
            <color indexed="81"/>
            <rFont val="Tahoma"/>
            <family val="2"/>
          </rPr>
          <t xml:space="preserve">Note:
</t>
        </r>
        <r>
          <rPr>
            <sz val="14"/>
            <color indexed="81"/>
            <rFont val="Tahoma"/>
            <family val="2"/>
          </rPr>
          <t xml:space="preserve">This cell calculates the resulting dollar value cost of insurance based on the input above and the project installed cost (net of financing costs).  It is provided simply as a reference for the user.
</t>
        </r>
        <r>
          <rPr>
            <sz val="8"/>
            <color indexed="81"/>
            <rFont val="Tahoma"/>
            <family val="2"/>
          </rPr>
          <t xml:space="preserve">
</t>
        </r>
      </text>
    </comment>
    <comment ref="S37" authorId="0" shapeId="0" xr:uid="{B8B77031-6389-4622-BFF0-ACD33B38F153}">
      <text>
        <r>
          <rPr>
            <b/>
            <sz val="14"/>
            <color indexed="81"/>
            <rFont val="Tahoma"/>
            <family val="2"/>
          </rPr>
          <t xml:space="preserve">NOTE:
</t>
        </r>
        <r>
          <rPr>
            <sz val="14"/>
            <color indexed="81"/>
            <rFont val="Tahoma"/>
            <family val="2"/>
          </rPr>
          <t xml:space="preserve">As a tax </t>
        </r>
        <r>
          <rPr>
            <u/>
            <sz val="14"/>
            <color indexed="81"/>
            <rFont val="Tahoma"/>
            <family val="2"/>
          </rPr>
          <t>credit</t>
        </r>
        <r>
          <rPr>
            <sz val="14"/>
            <color indexed="81"/>
            <rFont val="Tahoma"/>
            <family val="2"/>
          </rPr>
          <t>, the ITC is only usable by project owners with positive federal income tax liability.  
In cases where the owner's tax liability in the calendar year of the project's first commercial operation exceeds the ITC amount, the user may enter 100% in this field and assume full utilization of the ITC.
If the owner's tax liability is less than the available ITC, a % less than 100% must be entered in order to represent a less efficient utilization of this federal tax incentive.
Input must be betwee 0% and 100%.</t>
        </r>
      </text>
    </comment>
    <comment ref="I38" authorId="1" shapeId="0" xr:uid="{1E26A578-0A1E-45D0-B7E7-85E36B990399}">
      <text>
        <r>
          <rPr>
            <b/>
            <sz val="14"/>
            <color indexed="81"/>
            <rFont val="Tahoma"/>
            <family val="2"/>
          </rPr>
          <t>Note:</t>
        </r>
        <r>
          <rPr>
            <sz val="14"/>
            <color indexed="81"/>
            <rFont val="Tahoma"/>
            <family val="2"/>
          </rPr>
          <t xml:space="preserve">
"Project Management" accounts for the cost of staff time related to managing the project's Power Purchase Agreements, grid integration, and periodic reporting to the system operator and policymakers.  
Input cannot be less than zero.
</t>
        </r>
      </text>
    </comment>
    <comment ref="S38" authorId="0" shapeId="0" xr:uid="{09A49C4A-7D83-4F1B-ACAA-F8F05BFAD013}">
      <text>
        <r>
          <rPr>
            <b/>
            <sz val="14"/>
            <color indexed="81"/>
            <rFont val="Tahoma"/>
            <family val="2"/>
          </rPr>
          <t xml:space="preserve">Note:
</t>
        </r>
        <r>
          <rPr>
            <sz val="14"/>
            <color indexed="81"/>
            <rFont val="Tahoma"/>
            <family val="2"/>
          </rPr>
          <t>Specifies whether the available ITC is realized in a single year or over multiple years. This input will be specified by state-specific law or regulation.
A good resource on available state incentives is:  
http://dsireusa.org/
*See bottom of introduction page for a list of links
Input must be greater than 1 and less than the Project Useful Life.</t>
        </r>
      </text>
    </comment>
    <comment ref="I39" authorId="1" shapeId="0" xr:uid="{2E39F8BB-FE47-4D7E-B55C-4E8921742C48}">
      <text>
        <r>
          <rPr>
            <b/>
            <sz val="14"/>
            <color indexed="81"/>
            <rFont val="Tahoma"/>
            <family val="2"/>
          </rPr>
          <t xml:space="preserve">Note:
</t>
        </r>
        <r>
          <rPr>
            <sz val="14"/>
            <color indexed="81"/>
            <rFont val="Tahoma"/>
            <family val="2"/>
          </rPr>
          <t xml:space="preserve">"Property Tax or PILOT" accounts for costs associated with any local taxes incurred by the project. Many states offer tax exemptions for renewable energy systems; to check your local applicability, please visit: http://dsireusa.org/ 
This line can also be used to account for any PILOTs or Payment in Leiu of Taxes. Developers often negotiate a PILOT with the local community to secure a fixed, predictable payment that serves both parties appropriately. This model allows the user to input a year-one Property Tax or PILOT value along with an annual property tax adjsutment factor (see next cell down). As a result, taxes can be modeled as flat, increasing, or decreasing annually depending on the value entered in the adjustment factor cell below.
Input cannot be less than zero.
</t>
        </r>
      </text>
    </comment>
    <comment ref="S39" authorId="0" shapeId="0" xr:uid="{8C1A4DCA-C895-47E3-BF39-CFB8C598AE82}">
      <text>
        <r>
          <rPr>
            <b/>
            <sz val="14"/>
            <color indexed="81"/>
            <rFont val="Tahoma"/>
            <family val="2"/>
          </rPr>
          <t xml:space="preserve">Note:
</t>
        </r>
        <r>
          <rPr>
            <sz val="14"/>
            <color indexed="81"/>
            <rFont val="Tahoma"/>
            <family val="2"/>
          </rPr>
          <t xml:space="preserve">Calculates the dollar value of the State Investment Tax Credit, if applicable.
</t>
        </r>
      </text>
    </comment>
    <comment ref="I40" authorId="1" shapeId="0" xr:uid="{4FE0A354-065A-4FD5-87E4-F027B6EE2961}">
      <text>
        <r>
          <rPr>
            <b/>
            <sz val="14"/>
            <color indexed="81"/>
            <rFont val="Tahoma"/>
            <family val="2"/>
          </rPr>
          <t xml:space="preserve">Note:
</t>
        </r>
        <r>
          <rPr>
            <sz val="14"/>
            <color indexed="81"/>
            <rFont val="Tahoma"/>
            <family val="2"/>
          </rPr>
          <t xml:space="preserve">The Annual Property Tax Adjustment Factor allows the user to specify whether the Year One tax (or PILOT) value will remain fixed and flat, will decrease (a negative percentage value entered in this cell) or increase (a positive percentage value entered in this cell) over time.  </t>
        </r>
        <r>
          <rPr>
            <sz val="8"/>
            <color indexed="81"/>
            <rFont val="Tahoma"/>
            <family val="2"/>
          </rPr>
          <t xml:space="preserve">
</t>
        </r>
      </text>
    </comment>
    <comment ref="S40" authorId="0" shapeId="0" xr:uid="{208952BF-397A-4CCB-B5DD-FFA68A4F50FB}">
      <text>
        <r>
          <rPr>
            <b/>
            <sz val="14"/>
            <color indexed="81"/>
            <rFont val="Tahoma"/>
            <family val="2"/>
          </rPr>
          <t xml:space="preserve">Note: </t>
        </r>
        <r>
          <rPr>
            <sz val="14"/>
            <color indexed="81"/>
            <rFont val="Tahoma"/>
            <family val="2"/>
          </rPr>
          <t xml:space="preserve">
This input cell, the "Performance Based Incentive" or "PBI" is another potential incentive available to some specific projects. The PBI would be separate from a feed-in-tariff, but acts similarly in that it is per unit of production (typically kWh) income to a project.
Some examples of PBIs include the Federal Production Tax Credit (applicable to private projects with tax appetites) and the Federal Renewable Energy Production Incentive (REPI), historically available to some public projects.
</t>
        </r>
      </text>
    </comment>
    <comment ref="I41" authorId="1" shapeId="0" xr:uid="{22568DFE-E79E-4750-AC6A-4E7FB5C98611}">
      <text>
        <r>
          <rPr>
            <b/>
            <sz val="14"/>
            <color indexed="81"/>
            <rFont val="Tahoma"/>
            <family val="2"/>
          </rPr>
          <t xml:space="preserve">Note:
</t>
        </r>
        <r>
          <rPr>
            <sz val="14"/>
            <color indexed="81"/>
            <rFont val="Tahoma"/>
            <family val="2"/>
          </rPr>
          <t xml:space="preserve">The Land Lease input represents </t>
        </r>
        <r>
          <rPr>
            <b/>
            <u/>
            <sz val="14"/>
            <color indexed="81"/>
            <rFont val="Tahoma"/>
            <family val="2"/>
          </rPr>
          <t>fixed payments</t>
        </r>
        <r>
          <rPr>
            <sz val="14"/>
            <color indexed="81"/>
            <rFont val="Tahoma"/>
            <family val="2"/>
          </rPr>
          <t xml:space="preserve"> to the site host (and possibly other affected parties) for the use of the land on which the project is located.  
Variable royalty payments may be applied in addition to, or in lieu of, the land lease payment through the "Royalties" input below, if applicable.  
Input cannot be less than zero.
</t>
        </r>
      </text>
    </comment>
    <comment ref="S41" authorId="0" shapeId="0" xr:uid="{5F6CB68B-1462-4606-A612-B2E19C57E107}">
      <text>
        <r>
          <rPr>
            <b/>
            <sz val="14"/>
            <color indexed="81"/>
            <rFont val="Tahoma"/>
            <family val="2"/>
          </rPr>
          <t xml:space="preserve">Note:
</t>
        </r>
        <r>
          <rPr>
            <sz val="14"/>
            <color indexed="81"/>
            <rFont val="Tahoma"/>
            <family val="2"/>
          </rPr>
          <t xml:space="preserve">Impacts tax treatment of PBI if owner is a taxable entity.
</t>
        </r>
      </text>
    </comment>
    <comment ref="I42" authorId="1" shapeId="0" xr:uid="{7F2B4EB7-1303-4D61-9273-552C4AF1F4FA}">
      <text>
        <r>
          <rPr>
            <b/>
            <sz val="14"/>
            <color indexed="81"/>
            <rFont val="Tahoma"/>
            <family val="2"/>
          </rPr>
          <t xml:space="preserve">Note:
</t>
        </r>
        <r>
          <rPr>
            <sz val="14"/>
            <color indexed="81"/>
            <rFont val="Tahoma"/>
            <family val="2"/>
          </rPr>
          <t xml:space="preserve">The royalties input accounts for </t>
        </r>
        <r>
          <rPr>
            <b/>
            <u/>
            <sz val="14"/>
            <color indexed="81"/>
            <rFont val="Tahoma"/>
            <family val="2"/>
          </rPr>
          <t>variable</t>
        </r>
        <r>
          <rPr>
            <sz val="14"/>
            <color indexed="81"/>
            <rFont val="Tahoma"/>
            <family val="2"/>
          </rPr>
          <t xml:space="preserve"> payments to site hosts, neighbors, partners, or other parties which may have a stake in the project and which are NOT covered by the fixed "Land Lease" payment. 
Fixed payments may be applied in addition to, or in lieu of, the royalty payment through the "Land Lease" input above, if applicable.  
</t>
        </r>
        <r>
          <rPr>
            <b/>
            <sz val="14"/>
            <color indexed="81"/>
            <rFont val="Tahoma"/>
            <family val="2"/>
          </rPr>
          <t>Inflation is NOT applied to this input</t>
        </r>
        <r>
          <rPr>
            <sz val="14"/>
            <color indexed="81"/>
            <rFont val="Tahoma"/>
            <family val="2"/>
          </rPr>
          <t xml:space="preserve">. However, if tariff escalation is selected, then the assumed royalty payment will increase over time since it is calculated as a function of revenue over time.
If the modeled project's royalty payments are not the same over time, then an average annual royalty payment should be calculated externally and entered in this cell. 
This input cannot be less than zero.
</t>
        </r>
        <r>
          <rPr>
            <sz val="8"/>
            <color indexed="81"/>
            <rFont val="Tahoma"/>
            <family val="2"/>
          </rPr>
          <t xml:space="preserve">
</t>
        </r>
      </text>
    </comment>
    <comment ref="S42" authorId="0" shapeId="0" xr:uid="{8739DB2A-21E6-4B69-A12A-A12B74F14F04}">
      <text>
        <r>
          <rPr>
            <b/>
            <sz val="14"/>
            <color indexed="81"/>
            <rFont val="Tahoma"/>
            <family val="2"/>
          </rPr>
          <t xml:space="preserve">Note: </t>
        </r>
        <r>
          <rPr>
            <sz val="14"/>
            <color indexed="81"/>
            <rFont val="Tahoma"/>
            <family val="2"/>
          </rPr>
          <t xml:space="preserve">
This cell denotes the value of the Performance Based Incentive applicable to the project's first year of commercial operation. In some cases, this value will need to be calculated external to the model if such PBI is derived from a "base year" and specified inflation index. The following cells can be used to account for inflation and the maximum term of eligibility.
Input cannot be less than zero.
</t>
        </r>
      </text>
    </comment>
    <comment ref="I43" authorId="0" shapeId="0" xr:uid="{5FEE4ED5-BA5F-4D42-8CD1-5215C0CF9A28}">
      <text>
        <r>
          <rPr>
            <b/>
            <sz val="14"/>
            <color indexed="81"/>
            <rFont val="Tahoma"/>
            <family val="2"/>
          </rPr>
          <t xml:space="preserve">Note:
</t>
        </r>
        <r>
          <rPr>
            <sz val="14"/>
            <color indexed="81"/>
            <rFont val="Tahoma"/>
            <family val="2"/>
          </rPr>
          <t xml:space="preserve">This cell calculates the resulting dollar value cost of royalties paid to landowners or other stakeholders based on the input above and project revenue.  It is provided simply as a reference for the user.
</t>
        </r>
        <r>
          <rPr>
            <sz val="8"/>
            <color indexed="81"/>
            <rFont val="Tahoma"/>
            <family val="2"/>
          </rPr>
          <t xml:space="preserve">
</t>
        </r>
      </text>
    </comment>
    <comment ref="S43" authorId="0" shapeId="0" xr:uid="{E1E0FFD0-D3B0-4B3B-8074-13B668322588}">
      <text>
        <r>
          <rPr>
            <b/>
            <sz val="14"/>
            <color indexed="81"/>
            <rFont val="Tahoma"/>
            <family val="2"/>
          </rPr>
          <t>Note:</t>
        </r>
        <r>
          <rPr>
            <sz val="14"/>
            <color indexed="81"/>
            <rFont val="Tahoma"/>
            <family val="2"/>
          </rPr>
          <t xml:space="preserve">
This is the length of time that a project would be eligible for any Performance Based Incentives outlined in the cell immediately above. For example, the Federal Renewable Energy Production Incentive and Production Tax Credit incentives are available for the first 10 years of project operation.
Input cannot be less than zero.
</t>
        </r>
      </text>
    </comment>
    <comment ref="S44" authorId="0" shapeId="0" xr:uid="{04641E7A-4AD8-4831-A1EC-0742AEEC4155}">
      <text>
        <r>
          <rPr>
            <b/>
            <sz val="14"/>
            <color indexed="81"/>
            <rFont val="Tahoma"/>
            <family val="2"/>
          </rPr>
          <t xml:space="preserve">Note:
</t>
        </r>
        <r>
          <rPr>
            <sz val="14"/>
            <color indexed="81"/>
            <rFont val="Tahoma"/>
            <family val="2"/>
          </rPr>
          <t xml:space="preserve">Performance Based Incentives are often adjusted to account for inflation. For example, the Federal Production Tax Credit (PTC) is adjusted each year to account for changes in the GDP IPD index. This cell can be used as a proxy for the inflation that would apply to any PBI incentive entered above.
This input cannot be left blank.
</t>
        </r>
      </text>
    </comment>
    <comment ref="F45" authorId="0" shapeId="0" xr:uid="{3718DD51-E390-469D-962B-D1020C16D740}">
      <text>
        <r>
          <rPr>
            <b/>
            <sz val="8"/>
            <color indexed="81"/>
            <rFont val="Tahoma"/>
            <family val="2"/>
          </rPr>
          <t>See "unit" definitions at the bottom of this worksheet.</t>
        </r>
        <r>
          <rPr>
            <sz val="8"/>
            <color indexed="81"/>
            <rFont val="Tahoma"/>
            <family val="2"/>
          </rPr>
          <t xml:space="preserve">
</t>
        </r>
      </text>
    </comment>
    <comment ref="S45" authorId="0" shapeId="0" xr:uid="{D52854BF-8664-4AE1-A3F6-FFDB853C768A}">
      <text>
        <r>
          <rPr>
            <b/>
            <sz val="14"/>
            <color indexed="81"/>
            <rFont val="Tahoma"/>
            <family val="2"/>
          </rPr>
          <t xml:space="preserve">Note:
</t>
        </r>
        <r>
          <rPr>
            <sz val="14"/>
            <color indexed="81"/>
            <rFont val="Tahoma"/>
            <family val="2"/>
          </rPr>
          <t xml:space="preserve">In some cases, due to the nature of the requirements of some Performance Based Incentive programs, project owners are unable to maximize the full revenue stream of the incentive. For example, in the case of the Federal Production Tax Credit (PTC), the project owner may not have sufficienct tax appetite to fully utilize the tax credits. 
This input cell would allow the modeler to account for the owner's inability to fully utilize the PTC and/or the reduction of the PTC (a "haircut") due to the presence of subsidized (below market interest rate) financing.
Input must be between 0% and 100%.
</t>
        </r>
        <r>
          <rPr>
            <sz val="8"/>
            <color indexed="81"/>
            <rFont val="Tahoma"/>
            <family val="2"/>
          </rPr>
          <t xml:space="preserve">
</t>
        </r>
      </text>
    </comment>
    <comment ref="I46" authorId="0" shapeId="0" xr:uid="{49AA4DEF-5225-4254-80AC-D1AF81188613}">
      <text>
        <r>
          <rPr>
            <b/>
            <sz val="14"/>
            <color indexed="81"/>
            <rFont val="Tahoma"/>
            <family val="2"/>
          </rPr>
          <t xml:space="preserve">Note:
</t>
        </r>
        <r>
          <rPr>
            <sz val="14"/>
            <color indexed="81"/>
            <rFont val="Tahoma"/>
            <family val="2"/>
          </rPr>
          <t xml:space="preserve">The # of months from construction start to commercial operation. This input cannot be less than zero.
</t>
        </r>
      </text>
    </comment>
    <comment ref="S46" authorId="0" shapeId="0" xr:uid="{7C4624B8-C3D7-464C-8FA8-C30E3DB4FB28}">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I47" authorId="0" shapeId="0" xr:uid="{724E66CC-97F7-4636-BF1D-30B8C0412DC7}">
      <text>
        <r>
          <rPr>
            <b/>
            <sz val="14"/>
            <color indexed="81"/>
            <rFont val="Tahoma"/>
            <family val="2"/>
          </rPr>
          <t xml:space="preserve">Note:
</t>
        </r>
        <r>
          <rPr>
            <sz val="14"/>
            <color indexed="81"/>
            <rFont val="Tahoma"/>
            <family val="2"/>
          </rPr>
          <t xml:space="preserve">The annual interest rate on construction debt. This input cannot be less than zero.
</t>
        </r>
      </text>
    </comment>
    <comment ref="I48" authorId="0" shapeId="0" xr:uid="{5BF3390F-63B9-45E0-91A0-1BF75DBC1B0E}">
      <text>
        <r>
          <rPr>
            <b/>
            <sz val="14"/>
            <color indexed="81"/>
            <rFont val="Tahoma"/>
            <family val="2"/>
          </rPr>
          <t xml:space="preserve">Note:
</t>
        </r>
        <r>
          <rPr>
            <sz val="14"/>
            <color indexed="81"/>
            <rFont val="Tahoma"/>
            <family val="2"/>
          </rPr>
          <t xml:space="preserve">A calculated value showing the interest accrued during the construction period. Rather than requiring the user to define a detailed construction draw-down schedule, this calculation makes the simplifying assumption that the total project cost is spent in equal parts in each month of the construction period.
IDC is calculated on total project cost, assuming that any grants are collected after construction financing is repaid at time of permanent financing.
This cell is only used with the "Intermediate" and "Complex" capital cost options. The "Simple" capital cost option assumes that all project costs, including IDC, are included in the single input.
</t>
        </r>
      </text>
    </comment>
    <comment ref="S48" authorId="0" shapeId="0" xr:uid="{9138B296-CC33-4764-AD5D-65161D55B9DC}">
      <text>
        <r>
          <rPr>
            <b/>
            <sz val="14"/>
            <color indexed="81"/>
            <rFont val="Tahoma"/>
            <family val="2"/>
          </rPr>
          <t xml:space="preserve">Note:
</t>
        </r>
        <r>
          <rPr>
            <sz val="14"/>
            <color indexed="81"/>
            <rFont val="Tahoma"/>
            <family val="2"/>
          </rPr>
          <t xml:space="preserve">Include here the total dollar value of any state-specific cash grants or rebates.
Input cannot be less than zero.
</t>
        </r>
      </text>
    </comment>
    <comment ref="S49" authorId="0" shapeId="0" xr:uid="{EC78EE63-C414-4BED-BB2F-5448482959AD}">
      <text>
        <r>
          <rPr>
            <b/>
            <sz val="14"/>
            <color indexed="81"/>
            <rFont val="Tahoma"/>
            <family val="2"/>
          </rPr>
          <t xml:space="preserve">Note:
</t>
        </r>
        <r>
          <rPr>
            <sz val="14"/>
            <color indexed="81"/>
            <rFont val="Tahoma"/>
            <family val="2"/>
          </rPr>
          <t xml:space="preserve">Select here whether state grants are treated as taxable income.  If no, depreciation basis is reduced. 
</t>
        </r>
      </text>
    </comment>
    <comment ref="F50" authorId="0" shapeId="0" xr:uid="{31F3C709-501B-410F-94EA-4D2B1B173E2A}">
      <text>
        <r>
          <rPr>
            <b/>
            <sz val="8"/>
            <color indexed="81"/>
            <rFont val="Tahoma"/>
            <family val="2"/>
          </rPr>
          <t>See "unit" definitions at the bottom of this worksheet.</t>
        </r>
        <r>
          <rPr>
            <sz val="8"/>
            <color indexed="81"/>
            <rFont val="Tahoma"/>
            <family val="2"/>
          </rPr>
          <t xml:space="preserve">
</t>
        </r>
      </text>
    </comment>
    <comment ref="I51" authorId="0" shapeId="0" xr:uid="{48D55138-429C-43AF-9225-BAEE8AE0AE99}">
      <text>
        <r>
          <rPr>
            <b/>
            <sz val="14"/>
            <color indexed="81"/>
            <rFont val="Tahoma"/>
            <family val="2"/>
          </rPr>
          <t xml:space="preserve">Note:
</t>
        </r>
        <r>
          <rPr>
            <sz val="14"/>
            <color indexed="81"/>
            <rFont val="Tahoma"/>
            <family val="2"/>
          </rPr>
          <t xml:space="preserve">For ease of use and comprehension by a wide range of stakeholders, this model allows the user to define the capital structure, and relies on mortgage-style amortization of the project debt. The "% Debt" input specifies the portion of funds borrowed, as a percentage of the total "hard costs." Equity is assumed to fund the remaining hard costs PLUS all "soft costs" (e.g. transaction costs and funding of initial reserve accounts, if applicable).  This input cannot be less than zero.
Where maximum sustainable leverage is desired, the user must manually adjust the "% Debt" entry upward to the highest point </t>
        </r>
        <r>
          <rPr>
            <b/>
            <i/>
            <sz val="14"/>
            <color indexed="81"/>
            <rFont val="Tahoma"/>
            <family val="2"/>
          </rPr>
          <t>before</t>
        </r>
        <r>
          <rPr>
            <sz val="14"/>
            <color indexed="81"/>
            <rFont val="Tahoma"/>
            <family val="2"/>
          </rPr>
          <t xml:space="preserve"> the DSCRs no longer "Pass."
If a specific % Debt is desired, </t>
        </r>
        <r>
          <rPr>
            <u/>
            <sz val="14"/>
            <color indexed="81"/>
            <rFont val="Tahoma"/>
            <family val="2"/>
          </rPr>
          <t>and such % is higher than the maximum sustainable debt</t>
        </r>
        <r>
          <rPr>
            <sz val="14"/>
            <color indexed="81"/>
            <rFont val="Tahoma"/>
            <family val="2"/>
          </rPr>
          <t xml:space="preserve"> (such that it causes the DSCR to "Fail"), then the user must define the % Debt and then manually adjust the "Target After-Tax Equity IRR" upward until the DSCRs are met.  The user should </t>
        </r>
        <r>
          <rPr>
            <b/>
            <sz val="14"/>
            <color indexed="81"/>
            <rFont val="Tahoma"/>
            <family val="2"/>
          </rPr>
          <t>take note</t>
        </r>
        <r>
          <rPr>
            <sz val="14"/>
            <color indexed="81"/>
            <rFont val="Tahoma"/>
            <family val="2"/>
          </rPr>
          <t xml:space="preserve"> that when leverage becomes very high (and the corresponding equity contribution low), the "Target After-Tax Equity IRR" will need to be adjusted to levels exceeding typical commercial returns </t>
        </r>
        <r>
          <rPr>
            <u/>
            <sz val="14"/>
            <color indexed="81"/>
            <rFont val="Tahoma"/>
            <family val="2"/>
          </rPr>
          <t>in order to maintain the DSCR ratio</t>
        </r>
        <r>
          <rPr>
            <sz val="14"/>
            <color indexed="81"/>
            <rFont val="Tahoma"/>
            <family val="2"/>
          </rPr>
          <t xml:space="preserve"> on such high debt levels.  For this reason, it is not recommended that users solve for the COE associated with a % Debt that is beyond the maximum sustainable leverage.
If a project is expected to be funded either by a pool of corporate funds or back-leveraged after commercial operation, the user might elect to enter 0% in the "% Debt" cell and enter a weighted average cost of capital (WACC) in the "Target After-Tax Equity IRR" cell.
</t>
        </r>
      </text>
    </comment>
    <comment ref="I52" authorId="1" shapeId="0" xr:uid="{497F9E09-11A7-400A-A82D-AC106D7DC957}">
      <text>
        <r>
          <rPr>
            <b/>
            <sz val="14"/>
            <color indexed="81"/>
            <rFont val="Tahoma"/>
            <family val="2"/>
          </rPr>
          <t>Note:</t>
        </r>
        <r>
          <rPr>
            <sz val="14"/>
            <color indexed="81"/>
            <rFont val="Tahoma"/>
            <family val="2"/>
          </rPr>
          <t xml:space="preserve">
Debt "tenor" (also casually referred to as "term"), is the number of years in the debt repayment schedule.   
Caution: If the project will utilize debt, this value must be greater than zero but less than or equal to the total FIT contract duration.
</t>
        </r>
      </text>
    </comment>
    <comment ref="S52" authorId="0" shapeId="0" xr:uid="{1DB78F7A-5C92-44C7-BB40-B6C8528BADEE}">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53" authorId="1" shapeId="0" xr:uid="{7120AE88-A127-4B45-A4AD-6CD4B9CD5722}">
      <text>
        <r>
          <rPr>
            <b/>
            <sz val="14"/>
            <color indexed="81"/>
            <rFont val="Tahoma"/>
            <family val="2"/>
          </rPr>
          <t>Note:</t>
        </r>
        <r>
          <rPr>
            <sz val="14"/>
            <color indexed="81"/>
            <rFont val="Tahoma"/>
            <family val="2"/>
          </rPr>
          <t xml:space="preserve">
The all-in interest rate is the financing rate provided by the bank or other debt investor.
This input cannot be less than zero.
</t>
        </r>
      </text>
    </comment>
    <comment ref="S53" authorId="0" shapeId="0" xr:uid="{99C9E09C-8AC7-41CC-BD61-411B5DB65D12}">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54" authorId="0" shapeId="0" xr:uid="{A149C309-D26E-4830-97CD-D0CA6BDA6673}">
      <text>
        <r>
          <rPr>
            <b/>
            <sz val="14"/>
            <color indexed="81"/>
            <rFont val="Tahoma"/>
            <family val="2"/>
          </rPr>
          <t xml:space="preserve">Note:
</t>
        </r>
        <r>
          <rPr>
            <sz val="14"/>
            <color indexed="81"/>
            <rFont val="Tahoma"/>
            <family val="2"/>
          </rPr>
          <t xml:space="preserve">A one-time fee collected by the lender and calculated as a % of the total loan amount. This value is typically between 1% and 4%.
This input cannot be less than zero.
</t>
        </r>
      </text>
    </comment>
    <comment ref="S54" authorId="0" shapeId="0" xr:uid="{4FF93286-A713-4BEF-AE7C-811B6EF94B2C}">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55" authorId="1" shapeId="0" xr:uid="{A6795F2B-CFBD-40F6-B333-CF3037296EA1}">
      <text>
        <r>
          <rPr>
            <b/>
            <sz val="14"/>
            <color indexed="81"/>
            <rFont val="Tahoma"/>
            <family val="2"/>
          </rPr>
          <t>Note:</t>
        </r>
        <r>
          <rPr>
            <sz val="14"/>
            <color indexed="81"/>
            <rFont val="Tahoma"/>
            <family val="2"/>
          </rPr>
          <t xml:space="preserve">
The annual Debt Service Coverage Ratio is calculated by dividing the sum of the annual principal and interest payment into that year's operating cash flow. Lenders will require the DSCR to demonstrate the project's ability to easily meet its annual debt service obligation.
Average DSCRs over the life of the loan typically range from 1.2 to 1.5 for private, commercially financed projects, or from 1.1 to 1.3 for publicly owned, bond-financed projects - depending on the level of reserves, or other surety, provided. 
The annual minimum DSCR will depend on the specific terms of the loan and the probability-weighting of the production estimate, but will likely be in the range of 1.0 to 1.3. This input must be greater than 1.
</t>
        </r>
      </text>
    </comment>
    <comment ref="S55" authorId="0" shapeId="0" xr:uid="{FAB34A0C-EA78-48BB-957B-80104684A28B}">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56" authorId="0" shapeId="0" xr:uid="{1D898ECE-5231-4BD9-9E09-BC47F721B006}">
      <text>
        <r>
          <rPr>
            <b/>
            <sz val="14"/>
            <color indexed="81"/>
            <rFont val="Tahoma"/>
            <family val="2"/>
          </rPr>
          <t>Note:</t>
        </r>
        <r>
          <rPr>
            <sz val="14"/>
            <color indexed="81"/>
            <rFont val="Tahoma"/>
            <family val="2"/>
          </rPr>
          <t xml:space="preserve">
If "#N/A" appears, F9 should be pressed until the calculated COE achieves it's final value.</t>
        </r>
      </text>
    </comment>
    <comment ref="S56" authorId="0" shapeId="0" xr:uid="{2AF1C277-322A-46F5-AF47-5EA1BCF62604}">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57" authorId="1" shapeId="0" xr:uid="{EC329B67-CF98-4C5C-98CC-84C22BF32992}">
      <text>
        <r>
          <rPr>
            <b/>
            <sz val="14"/>
            <color indexed="81"/>
            <rFont val="Tahoma"/>
            <family val="2"/>
          </rPr>
          <t>Note:</t>
        </r>
        <r>
          <rPr>
            <sz val="14"/>
            <color indexed="81"/>
            <rFont val="Tahoma"/>
            <family val="2"/>
          </rPr>
          <t xml:space="preserve">
This cell checks that the debt service coverage ratio exceeds the user-defined minimum in each operating year (see note in DSCR cell for definition and rationale for DSCR). If the test "fails", the user must choose from one of several options in order to cure this deficiency (the extent to which these options are available will be specific to each project):
1. reduce the amount of project level debt, 
2. increase the feed-in tariff rate in order to generate cash flow sufficient to meet the bank's assumed coverage requirement.  In the CREST model, </t>
        </r>
        <r>
          <rPr>
            <u/>
            <sz val="14"/>
            <color indexed="81"/>
            <rFont val="Tahoma"/>
            <family val="2"/>
          </rPr>
          <t>this is done by manually increasing the "Target After-Tax Equity IRR."</t>
        </r>
        <r>
          <rPr>
            <sz val="14"/>
            <color indexed="81"/>
            <rFont val="Tahoma"/>
            <family val="2"/>
          </rPr>
          <t xml:space="preserve">
Other possible, but less likely, mechanisms include:
3. increase the loan tenor
4. decrease the interest rate</t>
        </r>
      </text>
    </comment>
    <comment ref="S57" authorId="0" shapeId="0" xr:uid="{50A63734-EE7F-4144-9A56-4F49B2A4482D}">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58" authorId="1" shapeId="0" xr:uid="{43078DB1-D266-44BA-920B-2E45E1A848B8}">
      <text>
        <r>
          <rPr>
            <b/>
            <sz val="14"/>
            <color indexed="81"/>
            <rFont val="Tahoma"/>
            <family val="2"/>
          </rPr>
          <t>Note:</t>
        </r>
        <r>
          <rPr>
            <sz val="14"/>
            <color indexed="81"/>
            <rFont val="Tahoma"/>
            <family val="2"/>
          </rPr>
          <t xml:space="preserve">
The annual Debt Service Coverage Ratio is calculated by dividing the sum of the annual principal and interest payment into that year's operating cash flow. Lenders will require the DSCR to demonstrate the project's ability to easily meet its annual debt service obligation.
</t>
        </r>
        <r>
          <rPr>
            <u/>
            <sz val="14"/>
            <color indexed="81"/>
            <rFont val="Tahoma"/>
            <family val="2"/>
          </rPr>
          <t>Average</t>
        </r>
        <r>
          <rPr>
            <sz val="14"/>
            <color indexed="81"/>
            <rFont val="Tahoma"/>
            <family val="2"/>
          </rPr>
          <t xml:space="preserve"> DSCRs over the life of the loan typically range from 1.2 to 1.5 for private, commercially financed projects, or from 1.1 to 1.3 for publicly owned, bond-financed projects - depending on the level of reserves, or other surety, provided. 
The </t>
        </r>
        <r>
          <rPr>
            <u/>
            <sz val="14"/>
            <color indexed="81"/>
            <rFont val="Tahoma"/>
            <family val="2"/>
          </rPr>
          <t>annual minimum</t>
        </r>
        <r>
          <rPr>
            <sz val="14"/>
            <color indexed="81"/>
            <rFont val="Tahoma"/>
            <family val="2"/>
          </rPr>
          <t xml:space="preserve"> DSCR will depend on the specific terms of the loan and the probability-weighting of the production estimate, but will likely be in the range of 1.0 to 1.3. This input must be greater than 1.
</t>
        </r>
      </text>
    </comment>
    <comment ref="S58" authorId="0" shapeId="0" xr:uid="{9D0BD58E-659F-4698-9A29-314C266B3CCD}">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59" authorId="0" shapeId="0" xr:uid="{EDF5D5DB-7D9B-47CF-88CA-D885A81D860D}">
      <text>
        <r>
          <rPr>
            <b/>
            <sz val="12"/>
            <color indexed="81"/>
            <rFont val="Tahoma"/>
            <family val="2"/>
          </rPr>
          <t>Note:</t>
        </r>
        <r>
          <rPr>
            <sz val="12"/>
            <color indexed="81"/>
            <rFont val="Tahoma"/>
            <family val="2"/>
          </rPr>
          <t xml:space="preserve">
If "#N/A" appears, F9 should be pressed until the calculated COE achieves it's final value.</t>
        </r>
      </text>
    </comment>
    <comment ref="S59" authorId="0" shapeId="0" xr:uid="{56006582-5FF8-4071-ACB4-54DCAEE5F940}">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60" authorId="1" shapeId="0" xr:uid="{3E307E88-205F-496A-8605-96AD3DDA926E}">
      <text>
        <r>
          <rPr>
            <b/>
            <sz val="14"/>
            <color indexed="81"/>
            <rFont val="Tahoma"/>
            <family val="2"/>
          </rPr>
          <t>Note:</t>
        </r>
        <r>
          <rPr>
            <sz val="14"/>
            <color indexed="81"/>
            <rFont val="Tahoma"/>
            <family val="2"/>
          </rPr>
          <t xml:space="preserve">
This cell checks that the average debt service coverage ratio exceeds the user-defined minimum during the period for which debt is outstanding (see note in DSCR cell for definition and rationale for DSCR). If the test "fails", the user must choose from one of several options in order to cure this deficiency (the extent to which these options are available will be specific to each project):
1. reduce the amount of project level debt, 
2. increase the feed-in tariff rate in order to generate cash flow sufficient to meet the bank's assumed coverage requirement.  In the CREST model, </t>
        </r>
        <r>
          <rPr>
            <u/>
            <sz val="14"/>
            <color indexed="81"/>
            <rFont val="Tahoma"/>
            <family val="2"/>
          </rPr>
          <t>this is done by manually increasing the "Target After-Tax Equity IRR."</t>
        </r>
        <r>
          <rPr>
            <sz val="14"/>
            <color indexed="81"/>
            <rFont val="Tahoma"/>
            <family val="2"/>
          </rPr>
          <t xml:space="preserve">
Other possible, but less likely, mechanisms include:
3. increase the loan tenor
4. decrease the interest rate</t>
        </r>
      </text>
    </comment>
    <comment ref="I61" authorId="0" shapeId="0" xr:uid="{450EFEF9-6378-4D50-8BE6-635746F6440C}">
      <text>
        <r>
          <rPr>
            <b/>
            <sz val="14"/>
            <color indexed="81"/>
            <rFont val="Tahoma"/>
            <family val="2"/>
          </rPr>
          <t xml:space="preserve">Note:
</t>
        </r>
        <r>
          <rPr>
            <sz val="14"/>
            <color indexed="81"/>
            <rFont val="Tahoma"/>
            <family val="2"/>
          </rPr>
          <t xml:space="preserve">The portion of total project cost funded from equity investors. This cell is a calculation and not an input. It is calculated as 100% minus the "% Debt" entered above.
</t>
        </r>
      </text>
    </comment>
    <comment ref="P61" authorId="0" shapeId="0" xr:uid="{C9B77E27-BABB-4332-8B6F-C4C13119365B}">
      <text>
        <r>
          <rPr>
            <b/>
            <sz val="8"/>
            <color indexed="81"/>
            <rFont val="Tahoma"/>
            <family val="2"/>
          </rPr>
          <t>See "unit" definitions at the bottom of this worksheet.</t>
        </r>
        <r>
          <rPr>
            <sz val="8"/>
            <color indexed="81"/>
            <rFont val="Tahoma"/>
            <family val="2"/>
          </rPr>
          <t xml:space="preserve">
</t>
        </r>
      </text>
    </comment>
    <comment ref="I62" authorId="1" shapeId="0" xr:uid="{F876AEAF-C663-42A8-8165-B798EA0664A0}">
      <text>
        <r>
          <rPr>
            <b/>
            <sz val="14"/>
            <color indexed="81"/>
            <rFont val="Tahoma"/>
            <family val="2"/>
          </rPr>
          <t>Note:</t>
        </r>
        <r>
          <rPr>
            <sz val="14"/>
            <color indexed="81"/>
            <rFont val="Tahoma"/>
            <family val="2"/>
          </rPr>
          <t xml:space="preserve">
The target after-tax equity IRR is the equity investor's cost of capital -- or "discount rate" -- and is the minimum rate of return that the project owner will seek to attain in order to justify the project compared to alternative investments.  
The user should be explicit in his or her assumption regarding the term over which the target after-tax IRR is assumed to be realized. For example, the user could elect to align the return requirement with the tariff payment duration. In this case, the project useful life should be set equal to the tariff duration in order to calculate the COE associated with the target IRR over that period of time. 
In a second example, the user could elect to align the return requirement with the project's useful life. In this case, the user can either assume a tariff duration equal to the project life, or assume market-based revenue for the period after the tariff and before the end of the assumed project useful life.
This input cannot be less than zero.
If a project is expected to be funded either by a pool of corporate funds or back-leveraged after commercial operation, the user might elect to enter 0% in the "% Debt" cell and enter a weighted average cost of capital (WACC) in the "Target After-Tax Equity IRR" cell.
</t>
        </r>
      </text>
    </comment>
    <comment ref="I63" authorId="0" shapeId="0" xr:uid="{69A97C29-56A3-4786-87C8-5E0DBE0D46EA}">
      <text>
        <r>
          <rPr>
            <b/>
            <sz val="14"/>
            <color indexed="81"/>
            <rFont val="Tahoma"/>
            <family val="2"/>
          </rPr>
          <t xml:space="preserve">Note:
</t>
        </r>
        <r>
          <rPr>
            <sz val="14"/>
            <color indexed="81"/>
            <rFont val="Tahoma"/>
            <family val="2"/>
          </rPr>
          <t xml:space="preserve">The weighted average cost of capital combines the after-tax cost of both equity and debt in proportion to their use, and is calculated here for reference.
</t>
        </r>
      </text>
    </comment>
    <comment ref="S63" authorId="1" shapeId="0" xr:uid="{EC29CEAF-250D-450E-A366-DB269135CAA4}">
      <text>
        <r>
          <rPr>
            <b/>
            <sz val="14"/>
            <color indexed="81"/>
            <rFont val="Tahoma"/>
            <family val="2"/>
          </rPr>
          <t xml:space="preserve">Note:
</t>
        </r>
        <r>
          <rPr>
            <sz val="14"/>
            <color indexed="81"/>
            <rFont val="Tahoma"/>
            <family val="2"/>
          </rPr>
          <t xml:space="preserve">In order to ensure that project owners have sufficient funds to decommission and remove equipment at the end of a project's life, many owners choose to create and fund a reserve account throughout the course of project. 
This input cell allows the modeler to choose whether to pay for project removal by creating and funding a reserve account over the project life by selecting "Operations" or to assume that a project's removal will be funded by selling the equipment, by selecting "Salvage".
</t>
        </r>
      </text>
    </comment>
    <comment ref="I64" authorId="0" shapeId="0" xr:uid="{4E23E20D-A649-4C3F-84FC-A875848E5831}">
      <text>
        <r>
          <rPr>
            <b/>
            <sz val="14"/>
            <color indexed="81"/>
            <rFont val="Tahoma"/>
            <family val="2"/>
          </rPr>
          <t xml:space="preserve">Note:
</t>
        </r>
        <r>
          <rPr>
            <sz val="14"/>
            <color indexed="81"/>
            <rFont val="Tahoma"/>
            <family val="2"/>
          </rPr>
          <t>This cell represents the costs of both equity and debt due diligence (if applicable) and other transaction costs.
Input cannot be less than zero.</t>
        </r>
      </text>
    </comment>
    <comment ref="S64" authorId="0" shapeId="0" xr:uid="{1806A50A-9D3D-4F79-B0C6-2756EA12822F}">
      <text>
        <r>
          <rPr>
            <b/>
            <sz val="14"/>
            <color indexed="81"/>
            <rFont val="Tahoma"/>
            <family val="2"/>
          </rPr>
          <t>Note:</t>
        </r>
        <r>
          <rPr>
            <sz val="14"/>
            <color indexed="81"/>
            <rFont val="Tahoma"/>
            <family val="2"/>
          </rPr>
          <t xml:space="preserve">
This input cell allows the user to assume the creation of a reserve account. The value entered here will be accounted for in the project's cash flow, and would be funded evenly over the number of years available between the project's commercial operation and the end of its useful life.
Input cannot be less than zero.
</t>
        </r>
      </text>
    </comment>
    <comment ref="P66" authorId="0" shapeId="0" xr:uid="{834812FF-F295-4085-8D5C-E53C53FCD77E}">
      <text>
        <r>
          <rPr>
            <b/>
            <sz val="8"/>
            <color indexed="81"/>
            <rFont val="Tahoma"/>
            <family val="2"/>
          </rPr>
          <t>See "unit" definitions at the bottom of this worksheet.</t>
        </r>
        <r>
          <rPr>
            <sz val="8"/>
            <color indexed="81"/>
            <rFont val="Tahoma"/>
            <family val="2"/>
          </rPr>
          <t xml:space="preserve">
</t>
        </r>
      </text>
    </comment>
    <comment ref="I67" authorId="0" shapeId="0" xr:uid="{6813C9B0-9556-4B95-B8E3-7E4D8286E8AD}">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at the project's "Total Installed Cost."
</t>
        </r>
      </text>
    </comment>
    <comment ref="I68" authorId="0" shapeId="0" xr:uid="{09922579-860F-48FA-809A-5E201E17DF73}">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t>
        </r>
      </text>
    </comment>
    <comment ref="S68" authorId="0" shapeId="0" xr:uid="{9E68CFF7-A160-4D53-857D-CA92897E1626}">
      <text>
        <r>
          <rPr>
            <b/>
            <sz val="14"/>
            <color indexed="81"/>
            <rFont val="Tahoma"/>
            <family val="2"/>
          </rPr>
          <t>Note:</t>
        </r>
        <r>
          <rPr>
            <sz val="14"/>
            <color indexed="81"/>
            <rFont val="Tahoma"/>
            <family val="2"/>
          </rPr>
          <t xml:space="preserve">
Lenders typically require the project owner to establish a reserve account prior to the commencement of operations to ensure that loan repayments occur in full and on time even if the project has insufficient operating cash flow in a specific period due to lower than expected production, higher costs, or both. The size of the reserve account is typically equal to 6 months of debt service obligation.
Input cannot be less than zero.
</t>
        </r>
      </text>
    </comment>
    <comment ref="I69" authorId="0" shapeId="0" xr:uid="{5AB39C0B-4E70-4C55-A857-3C6B17EC80A2}">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As previously described, this value excludes the ITC Cash Grant, which must be financed prior to commercial operation.  
</t>
        </r>
      </text>
    </comment>
    <comment ref="S69" authorId="0" shapeId="0" xr:uid="{089BCDC0-9A1F-44D9-87E1-B8CA1D3E464C}">
      <text>
        <r>
          <rPr>
            <b/>
            <sz val="14"/>
            <color indexed="81"/>
            <rFont val="Tahoma"/>
            <family val="2"/>
          </rPr>
          <t>Note:</t>
        </r>
        <r>
          <rPr>
            <sz val="14"/>
            <color indexed="81"/>
            <rFont val="Tahoma"/>
            <family val="2"/>
          </rPr>
          <t xml:space="preserve">
Calculated value based on the # months of required reserve and the capital structure and associated periodic debt obligation.
</t>
        </r>
      </text>
    </comment>
    <comment ref="I70" authorId="0" shapeId="0" xr:uid="{37ECA38F-545F-4BDD-B10C-ED603FAF381F}">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t>
        </r>
      </text>
    </comment>
    <comment ref="S71" authorId="0" shapeId="0" xr:uid="{C949567A-89FB-4376-BB8E-A1534A27990F}">
      <text>
        <r>
          <rPr>
            <b/>
            <sz val="14"/>
            <color indexed="81"/>
            <rFont val="Tahoma"/>
            <family val="2"/>
          </rPr>
          <t>Note:</t>
        </r>
        <r>
          <rPr>
            <sz val="14"/>
            <color indexed="81"/>
            <rFont val="Tahoma"/>
            <family val="2"/>
          </rPr>
          <t xml:space="preserve">
Lenders typically require the project owner to establish a reserve account prior to the commencement of operations to ensure that all O&amp;M expenses can be met even if the project has insufficient operating cash flow in a specific period due to lower than expected production, higher costs, or both. The size of the reserve account is typically 3 to 6 months of O&amp;M expenses, and includes all categories of O&amp;M expenses.
Input cannot be less than zero.
</t>
        </r>
      </text>
    </comment>
    <comment ref="F72" authorId="0" shapeId="0" xr:uid="{EB4FEE39-5154-416A-AFF6-1AFF445C3FF4}">
      <text>
        <r>
          <rPr>
            <b/>
            <sz val="8"/>
            <color indexed="81"/>
            <rFont val="Tahoma"/>
            <family val="2"/>
          </rPr>
          <t>See "unit" definitions at the bottom of this worksheet.</t>
        </r>
        <r>
          <rPr>
            <sz val="8"/>
            <color indexed="81"/>
            <rFont val="Tahoma"/>
            <family val="2"/>
          </rPr>
          <t xml:space="preserve">
</t>
        </r>
      </text>
    </comment>
    <comment ref="S72" authorId="0" shapeId="0" xr:uid="{2DF801A7-3E68-477F-8322-EC0EF9C2EB5F}">
      <text>
        <r>
          <rPr>
            <b/>
            <sz val="14"/>
            <color indexed="81"/>
            <rFont val="Tahoma"/>
            <family val="2"/>
          </rPr>
          <t>Note:</t>
        </r>
        <r>
          <rPr>
            <sz val="14"/>
            <color indexed="81"/>
            <rFont val="Tahoma"/>
            <family val="2"/>
          </rPr>
          <t xml:space="preserve">
Calculated value based on the # months of required reserve and all annual operating expenses.
</t>
        </r>
      </text>
    </comment>
    <comment ref="I73" authorId="0" shapeId="0" xr:uid="{DDD35442-D247-4E3F-BC4E-71B73A3A3358}">
      <text>
        <r>
          <rPr>
            <b/>
            <sz val="14"/>
            <color indexed="81"/>
            <rFont val="Tahoma"/>
            <family val="2"/>
          </rPr>
          <t xml:space="preserve">Note:
</t>
        </r>
        <r>
          <rPr>
            <sz val="14"/>
            <color indexed="81"/>
            <rFont val="Tahoma"/>
            <family val="2"/>
          </rPr>
          <t xml:space="preserve">Defines whether the project owner is a taxable or non-taxable entity. This determines the treatment of income taxes and other tax-related items.
</t>
        </r>
      </text>
    </comment>
    <comment ref="S73" authorId="0" shapeId="0" xr:uid="{BBA77089-43CB-4EF3-8606-A5B839A73CD3}">
      <text>
        <r>
          <rPr>
            <b/>
            <sz val="14"/>
            <color indexed="81"/>
            <rFont val="Tahoma"/>
            <family val="2"/>
          </rPr>
          <t>Note:</t>
        </r>
        <r>
          <rPr>
            <sz val="14"/>
            <color indexed="81"/>
            <rFont val="Tahoma"/>
            <family val="2"/>
          </rPr>
          <t xml:space="preserve">
Unused reserves earn interest at this rate. Input cannot be less than zero.
</t>
        </r>
      </text>
    </comment>
    <comment ref="I74" authorId="0" shapeId="0" xr:uid="{CAF86AC0-EEE4-4E4E-AF1A-517A8885E6AA}">
      <text>
        <r>
          <rPr>
            <b/>
            <sz val="14"/>
            <color indexed="81"/>
            <rFont val="Tahoma"/>
            <family val="2"/>
          </rPr>
          <t xml:space="preserve">Note:
</t>
        </r>
        <r>
          <rPr>
            <sz val="14"/>
            <color indexed="81"/>
            <rFont val="Tahoma"/>
            <family val="2"/>
          </rPr>
          <t xml:space="preserve">Defines the project's federal income tax rate, if applicable.
Input cannot be less than zero.
</t>
        </r>
      </text>
    </comment>
    <comment ref="I75" authorId="0" shapeId="0" xr:uid="{149530CC-A20E-40D0-A900-A7D2A3D03F52}">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I76" authorId="0" shapeId="0" xr:uid="{8592AEF8-72B9-4A82-8850-55A7C961D47C}">
      <text>
        <r>
          <rPr>
            <b/>
            <sz val="14"/>
            <color indexed="81"/>
            <rFont val="Tahoma"/>
            <family val="2"/>
          </rPr>
          <t xml:space="preserve">Note:
</t>
        </r>
        <r>
          <rPr>
            <sz val="14"/>
            <color indexed="81"/>
            <rFont val="Tahoma"/>
            <family val="2"/>
          </rPr>
          <t xml:space="preserve">Defines the project's state income tax rate, if applicable.
Input cannot be less than zero.
</t>
        </r>
      </text>
    </comment>
    <comment ref="S76" authorId="0" shapeId="0" xr:uid="{1CB3BFDA-8C4B-4DCA-BEBD-D6FB3DE469DC}">
      <text>
        <r>
          <rPr>
            <b/>
            <sz val="14"/>
            <color indexed="81"/>
            <rFont val="Tahoma"/>
            <family val="2"/>
          </rPr>
          <t>Note:</t>
        </r>
        <r>
          <rPr>
            <sz val="14"/>
            <color indexed="81"/>
            <rFont val="Tahoma"/>
            <family val="2"/>
          </rPr>
          <t xml:space="preserve">
To qualify for Bonus Depreciation the property must have a recovery period of 20 years or less (under normal federal tax depreciation rules), and the project must commence operation in the year in which bonus depreciation is in effect and under the ownership of the entity claiming the deduction. 
For qualifying projects, the owner is entitled to deduct 50% of the adjusted basis of the property during the tax year the property is first placed in service. The remaining 50% of the adjusted basis of the property is depreciated over the ordinary MACRS depreciation schedule. The bonus depreciation rules do not override the depreciation limit applicable to projects qualifying for the federal ITC. Before calculating depreciation for such a project, including any bonus depreciation, the adjusted basis of the project must be reduced by one-half of the amount of the ITC for which the project qualifies. 
</t>
        </r>
      </text>
    </comment>
    <comment ref="I77" authorId="0" shapeId="0" xr:uid="{106BD6F6-9F1B-42C5-8769-4E9F64871F6E}">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P77" authorId="0" shapeId="0" xr:uid="{B916FEFC-9A52-49C1-9188-F12185BA06CB}">
      <text>
        <r>
          <rPr>
            <b/>
            <sz val="12"/>
            <color indexed="81"/>
            <rFont val="Tahoma"/>
            <family val="2"/>
          </rPr>
          <t>Jason Gifford:</t>
        </r>
        <r>
          <rPr>
            <sz val="12"/>
            <color indexed="81"/>
            <rFont val="Tahoma"/>
            <family val="2"/>
          </rPr>
          <t xml:space="preserve">
The Consolidated Appropriations Act, signed in December 2015, extended the "placed in service" deadline for bonus depreciation. Equipment placed in service before January 1, 2018 can qualify for 50% bonus depreciation. Equipment placed in service during 2018 can qualify for 40% bonus depreciation. And equipment placed in service during 2019 can qualify for 30% bonus depreciation. </t>
        </r>
      </text>
    </comment>
    <comment ref="S77" authorId="0" shapeId="0" xr:uid="{E4FA8610-0CDF-4D52-B219-4B15680B1E02}">
      <text>
        <r>
          <rPr>
            <b/>
            <sz val="14"/>
            <color indexed="81"/>
            <rFont val="Tahoma"/>
            <family val="2"/>
          </rPr>
          <t>Note:</t>
        </r>
        <r>
          <rPr>
            <sz val="14"/>
            <color indexed="81"/>
            <rFont val="Tahoma"/>
            <family val="2"/>
          </rPr>
          <t xml:space="preserve">
This input allows the user to define the bonus depreciation % applied in Year 1, if applicable.  Historically, federal bonus depreciation has been 50% of the eligible cost basis (after taking into account reductions in such cost basis for the ITC, if applicable).  
Input cannot be less than zero.
</t>
        </r>
      </text>
    </comment>
    <comment ref="I78" authorId="0" shapeId="0" xr:uid="{9C0490E6-8D5A-4C82-9734-1754ADBE5D3E}">
      <text>
        <r>
          <rPr>
            <b/>
            <sz val="14"/>
            <color indexed="81"/>
            <rFont val="Tahoma"/>
            <family val="2"/>
          </rPr>
          <t xml:space="preserve">Note:
</t>
        </r>
        <r>
          <rPr>
            <sz val="14"/>
            <color indexed="81"/>
            <rFont val="Tahoma"/>
            <family val="2"/>
          </rPr>
          <t xml:space="preserve">Takes into account the interaction between federal and state tax rates. This is a calculated value.
</t>
        </r>
      </text>
    </comment>
    <comment ref="I79" authorId="0" shapeId="0" xr:uid="{0F76DEBA-55B7-4C0B-8846-8C00D4B43AC3}">
      <text>
        <r>
          <rPr>
            <b/>
            <sz val="14"/>
            <color indexed="81"/>
            <rFont val="Tahoma"/>
            <family val="2"/>
          </rPr>
          <t xml:space="preserve">Note:
</t>
        </r>
        <r>
          <rPr>
            <sz val="14"/>
            <color indexed="81"/>
            <rFont val="Tahoma"/>
            <family val="2"/>
          </rPr>
          <t>Depreciation accounts for the "use" of equipment for tax purposes. The depreciation inputs are provided in the table to the right and on the Complex Capital Costs tab when this option is selected.</t>
        </r>
      </text>
    </comment>
    <comment ref="AB80" authorId="0" shapeId="0" xr:uid="{0E2C6B14-625B-450C-9110-0756B29327A9}">
      <text>
        <r>
          <rPr>
            <b/>
            <sz val="14"/>
            <color indexed="81"/>
            <rFont val="Tahoma"/>
            <family val="2"/>
          </rPr>
          <t>Note:</t>
        </r>
        <r>
          <rPr>
            <sz val="14"/>
            <color indexed="81"/>
            <rFont val="Tahoma"/>
            <family val="2"/>
          </rPr>
          <t xml:space="preserve">
When the "Simple" capital cost option is selected, the depreciation of total project costs is divided among the classifications using this row. The depreciation options associated with other levels of cost detail will be hidden.
</t>
        </r>
        <r>
          <rPr>
            <b/>
            <sz val="14"/>
            <color indexed="81"/>
            <rFont val="Tahoma"/>
            <family val="2"/>
          </rPr>
          <t xml:space="preserve">This row must sum to 100%.
</t>
        </r>
      </text>
    </comment>
    <comment ref="AB81" authorId="0" shapeId="0" xr:uid="{DB4C326F-7B08-498A-9D8C-E7C923496A89}">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82" authorId="0" shapeId="0" xr:uid="{51818FB7-D405-4397-A637-8F02349DDDA4}">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83" authorId="0" shapeId="0" xr:uid="{C4645030-A4ED-4791-81D6-26F2B31FD703}">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84" authorId="0" shapeId="0" xr:uid="{4A6411D4-B204-402C-8B2C-A89F64427EA2}">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85" authorId="0" shapeId="0" xr:uid="{524ABA95-4D01-4E50-B8E8-4FEE1DCF98E4}">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86" authorId="0" shapeId="0" xr:uid="{A42E30D3-A738-4EB6-9B55-B278A0FE7DBB}">
      <text>
        <r>
          <rPr>
            <b/>
            <sz val="14"/>
            <color indexed="81"/>
            <rFont val="Tahoma"/>
            <family val="2"/>
          </rPr>
          <t>Note:</t>
        </r>
        <r>
          <rPr>
            <sz val="14"/>
            <color indexed="81"/>
            <rFont val="Tahoma"/>
            <family val="2"/>
          </rPr>
          <t xml:space="preserve">
When the "Complex" capital cost option is selected, each line items is assigned its own depreciation classification using a drop-down menu on the Complex Capital Costs tab.
</t>
        </r>
      </text>
    </comment>
    <comment ref="C91" authorId="0" shapeId="0" xr:uid="{8C708BC8-B51B-49E8-A26D-8159C4682022}">
      <text>
        <r>
          <rPr>
            <sz val="14"/>
            <color indexed="81"/>
            <rFont val="Tahoma"/>
            <family val="2"/>
          </rPr>
          <t xml:space="preserve">The "Check" column evaluates whether or not values have been enterred in all required fields.  Green denotes an accepted entry in a required field or a calculation for which the minimum required precedents have been satisfied.  Red denotes the absence of an entry in a required field, or a calculation for which the minimum required precendents have NOT been satisfied.
</t>
        </r>
        <r>
          <rPr>
            <b/>
            <sz val="14"/>
            <color indexed="81"/>
            <rFont val="Tahoma"/>
            <family val="2"/>
          </rPr>
          <t>Please note</t>
        </r>
        <r>
          <rPr>
            <sz val="14"/>
            <color indexed="81"/>
            <rFont val="Tahoma"/>
            <family val="2"/>
          </rPr>
          <t xml:space="preserve"> that while the "Check" column ensures the population of all required fields, this column does NOT validate the magnitude of such entries.  It is the model user's responsibility to provide inputs which accurately represent the project being modeled.  In some cases, a range of typical values for a specified input are provided in that input's "Notes" cell.</t>
        </r>
      </text>
    </comment>
    <comment ref="I91" authorId="0" shapeId="0" xr:uid="{0677A786-6679-466B-81C8-8726D384A7EA}">
      <text>
        <r>
          <rPr>
            <sz val="14"/>
            <color indexed="81"/>
            <rFont val="Tahoma"/>
            <family val="2"/>
          </rPr>
          <t xml:space="preserve">Each cell in the "Notes" column provides a brief description of the input in the corresponding row, its application within the model, and (in some cases) the range of values that might be expected to populate that  input cell.  It is the model user's responsibility, however, to research and validate the applicability of, and appropriate value for, each input.
</t>
        </r>
        <r>
          <rPr>
            <sz val="8"/>
            <color indexed="81"/>
            <rFont val="Tahoma"/>
            <family val="2"/>
          </rPr>
          <t xml:space="preserve">
</t>
        </r>
      </text>
    </comment>
    <comment ref="M91" authorId="0" shapeId="0" xr:uid="{8C3F6114-9B61-4144-A303-1D53C228E599}">
      <text>
        <r>
          <rPr>
            <sz val="14"/>
            <color indexed="81"/>
            <rFont val="Tahoma"/>
            <family val="2"/>
          </rPr>
          <t xml:space="preserve">The "Check" column evaluates whether or not values have been enterred in all required fields.  Green denotes an accepted entry in a required field or a calculation for which the minimum required precedents have been satisfied.  Red denotes the absence of an entry in a required field, or a calculation for which the minimum required precendents have NOT been satisfied.
</t>
        </r>
        <r>
          <rPr>
            <b/>
            <sz val="14"/>
            <color indexed="81"/>
            <rFont val="Tahoma"/>
            <family val="2"/>
          </rPr>
          <t>Please note</t>
        </r>
        <r>
          <rPr>
            <sz val="14"/>
            <color indexed="81"/>
            <rFont val="Tahoma"/>
            <family val="2"/>
          </rPr>
          <t xml:space="preserve"> that while the "Check" column ensures the population of all required fields, this column does NOT validate the magnitude of such entries.  It is the model user's responsibility to provide inputs which accurately represent the project being modeled.  In some cases, a range of typical values for a specified input are provided in that input's "Notes" cell.</t>
        </r>
      </text>
    </comment>
    <comment ref="S91" authorId="0" shapeId="0" xr:uid="{D134692C-3069-4B06-87F9-D738297E1A79}">
      <text>
        <r>
          <rPr>
            <sz val="14"/>
            <color indexed="81"/>
            <rFont val="Tahoma"/>
            <family val="2"/>
          </rPr>
          <t>Each cell in the "Notes" column provides a brief description of the input in the corresponding row, its application within the model, and (in some cases) the range of values that might be expected to populate that  input cell. It is the model user's responsibility, however, to research and validate the applicability of, and appropriate value for, each input.</t>
        </r>
        <r>
          <rPr>
            <sz val="8"/>
            <color indexed="81"/>
            <rFont val="Tahoma"/>
            <family val="2"/>
          </rPr>
          <t xml:space="preserve">
</t>
        </r>
      </text>
    </comment>
    <comment ref="F93" authorId="0" shapeId="0" xr:uid="{EC9D8B17-C3CD-4C42-BF52-3764681D8055}">
      <text>
        <r>
          <rPr>
            <b/>
            <sz val="8"/>
            <color indexed="81"/>
            <rFont val="Tahoma"/>
            <family val="2"/>
          </rPr>
          <t>See "unit" definitions at the bottom of this worksheet.</t>
        </r>
        <r>
          <rPr>
            <sz val="8"/>
            <color indexed="81"/>
            <rFont val="Tahoma"/>
            <family val="2"/>
          </rPr>
          <t xml:space="preserve">
</t>
        </r>
      </text>
    </comment>
    <comment ref="P93" authorId="0" shapeId="0" xr:uid="{618837A4-CCF3-4D77-9F63-13358D95ABDE}">
      <text>
        <r>
          <rPr>
            <b/>
            <sz val="8"/>
            <color indexed="81"/>
            <rFont val="Tahoma"/>
            <family val="2"/>
          </rPr>
          <t>See "unit" definitions at the bottom of this worksheet.</t>
        </r>
        <r>
          <rPr>
            <sz val="8"/>
            <color indexed="81"/>
            <rFont val="Tahoma"/>
            <family val="2"/>
          </rPr>
          <t xml:space="preserve">
</t>
        </r>
      </text>
    </comment>
    <comment ref="I94" authorId="1" shapeId="0" xr:uid="{E10CB14F-368F-4A80-818D-362B6BA80E35}">
      <text>
        <r>
          <rPr>
            <b/>
            <sz val="14"/>
            <color indexed="81"/>
            <rFont val="Tahoma"/>
            <family val="2"/>
          </rPr>
          <t>Note:</t>
        </r>
        <r>
          <rPr>
            <sz val="14"/>
            <color indexed="81"/>
            <rFont val="Tahoma"/>
            <family val="2"/>
          </rPr>
          <t xml:space="preserve">
This is the aggregate nameplate rating for the entire generating facility.
Input must be greater than zero.
</t>
        </r>
      </text>
    </comment>
    <comment ref="S94" authorId="1" shapeId="0" xr:uid="{7978556F-63BC-48C2-8300-DED40F5C9131}">
      <text>
        <r>
          <rPr>
            <b/>
            <sz val="14"/>
            <color indexed="81"/>
            <rFont val="Tahoma"/>
            <family val="2"/>
          </rPr>
          <t xml:space="preserve">Note:
</t>
        </r>
        <r>
          <rPr>
            <sz val="14"/>
            <color indexed="81"/>
            <rFont val="Tahoma"/>
            <family val="2"/>
          </rPr>
          <t xml:space="preserve">The FIT contract length is the number of years for which the rate specified by this model is available. This term is established by policymakers and must be less than or equal to the project's useful life.  
The contract duration is also different than the debt tenor (if applicable), which is specified in the Permanent Financing section below.
</t>
        </r>
      </text>
    </comment>
    <comment ref="I95" authorId="1" shapeId="0" xr:uid="{06CE7A98-DB4F-4C45-B424-A365092E77E2}">
      <text>
        <r>
          <rPr>
            <b/>
            <sz val="14"/>
            <color indexed="81"/>
            <rFont val="Tahoma"/>
            <family val="2"/>
          </rPr>
          <t>Note:</t>
        </r>
        <r>
          <rPr>
            <sz val="14"/>
            <color indexed="81"/>
            <rFont val="Tahoma"/>
            <family val="2"/>
          </rPr>
          <t xml:space="preserve">
Capacity Factor is the % representation of the actual production vs. the theoretical maximum annual production of an energy project. This model requires the input of a </t>
        </r>
        <r>
          <rPr>
            <b/>
            <sz val="14"/>
            <color indexed="81"/>
            <rFont val="Tahoma"/>
            <family val="2"/>
          </rPr>
          <t>Net Capacity Factor</t>
        </r>
        <r>
          <rPr>
            <sz val="14"/>
            <color indexed="81"/>
            <rFont val="Tahoma"/>
            <family val="2"/>
          </rPr>
          <t xml:space="preserve">, meaning that the estimate of actual energy production should take into account all electricity losses (including those incurred between the generating facility and the contract delivery point), scheduled and unscheduled maintenance, forced outages, wake effects, icing, and any other factors that could reduce production.
Wind projects typically have a capacity factor between 25% and 40% depending on region and site-specific topography. 
Input must be between 0% and 100%.
</t>
        </r>
      </text>
    </comment>
    <comment ref="S95" authorId="1" shapeId="0" xr:uid="{20DA29EE-C331-4EA0-86D9-CAF8934A4290}">
      <text>
        <r>
          <rPr>
            <b/>
            <sz val="14"/>
            <color indexed="81"/>
            <rFont val="Tahoma"/>
            <family val="2"/>
          </rPr>
          <t xml:space="preserve">Note:
</t>
        </r>
        <r>
          <rPr>
            <sz val="14"/>
            <color indexed="81"/>
            <rFont val="Tahoma"/>
            <family val="2"/>
          </rPr>
          <t xml:space="preserve">This is the portion (%) of the tariff which is subject to annual escalation.  
Program administrators may determine that some or all of the tariff rate should be escalated to reflect the uncertainty associated with the future cost of owning and operating an electricity generating facility. This input is separate from the inflation assumed to apply to certain O&amp;M expenses, which is provided as an input in the O&amp;M section below.
Input must be between 0% and 100%.
</t>
        </r>
      </text>
    </comment>
    <comment ref="I96" authorId="1" shapeId="0" xr:uid="{54E3472D-74BB-46DB-AD67-09E43799223A}">
      <text>
        <r>
          <rPr>
            <b/>
            <sz val="14"/>
            <color indexed="81"/>
            <rFont val="Tahoma"/>
            <family val="2"/>
          </rPr>
          <t>Note:</t>
        </r>
        <r>
          <rPr>
            <sz val="14"/>
            <color indexed="81"/>
            <rFont val="Tahoma"/>
            <family val="2"/>
          </rPr>
          <t xml:space="preserve">
This is a calculation, based on the system size and capacity factor provided above. 
</t>
        </r>
      </text>
    </comment>
    <comment ref="S96" authorId="1" shapeId="0" xr:uid="{A569727B-0F52-43D7-8B68-92B4B5E0A82D}">
      <text>
        <r>
          <rPr>
            <b/>
            <sz val="14"/>
            <color indexed="81"/>
            <rFont val="Tahoma"/>
            <family val="2"/>
          </rPr>
          <t xml:space="preserve">Note:
</t>
        </r>
        <r>
          <rPr>
            <sz val="14"/>
            <color indexed="81"/>
            <rFont val="Tahoma"/>
            <family val="2"/>
          </rPr>
          <t xml:space="preserve">To calculate a </t>
        </r>
        <r>
          <rPr>
            <b/>
            <sz val="14"/>
            <color indexed="81"/>
            <rFont val="Tahoma"/>
            <family val="2"/>
          </rPr>
          <t>nominal levelized tariff rate</t>
        </r>
        <r>
          <rPr>
            <sz val="14"/>
            <color indexed="81"/>
            <rFont val="Tahoma"/>
            <family val="2"/>
          </rPr>
          <t xml:space="preserve">, the "feed-in tariff escalation rate" field should be </t>
        </r>
        <r>
          <rPr>
            <b/>
            <sz val="14"/>
            <color indexed="81"/>
            <rFont val="Tahoma"/>
            <family val="2"/>
          </rPr>
          <t>set to zero</t>
        </r>
        <r>
          <rPr>
            <sz val="14"/>
            <color indexed="81"/>
            <rFont val="Tahoma"/>
            <family val="2"/>
          </rPr>
          <t>.</t>
        </r>
        <r>
          <rPr>
            <b/>
            <sz val="14"/>
            <color indexed="81"/>
            <rFont val="Tahoma"/>
            <family val="2"/>
          </rPr>
          <t xml:space="preserve">
</t>
        </r>
        <r>
          <rPr>
            <sz val="14"/>
            <color indexed="81"/>
            <rFont val="Tahoma"/>
            <family val="2"/>
          </rPr>
          <t xml:space="preserve">Where applied, tariff rate escalation is intended to serve as a risk mitigating tool, at least partially protecting the project investor from the uncertainty associated with the future cost of owning and operating the renewable energy facility. The escalation rate can be used to assume a year over year increase in all, or a portion, of the per unit payment provided to eligible generators. This concept is separate from inflationary adjustments to future operating cost assumptions -- which are input below.
This rate is applied annually.  Note that in this model, calendar years and tariff years are aligned.
</t>
        </r>
        <r>
          <rPr>
            <b/>
            <sz val="14"/>
            <color indexed="81"/>
            <rFont val="Tahoma"/>
            <family val="2"/>
          </rPr>
          <t>Caution:</t>
        </r>
        <r>
          <rPr>
            <sz val="14"/>
            <color indexed="81"/>
            <rFont val="Tahoma"/>
            <family val="2"/>
          </rPr>
          <t xml:space="preserve"> A value must be entered into this cell in order for the model to function properly. The input can be positive or negative (if the FIT value decreases over time), and a typical value may fall between 0% and 5%.  
</t>
        </r>
      </text>
    </comment>
    <comment ref="I97" authorId="1" shapeId="0" xr:uid="{BFA8C57B-07E2-43A3-B3FF-3DF7315EF523}">
      <text>
        <r>
          <rPr>
            <b/>
            <sz val="14"/>
            <color indexed="81"/>
            <rFont val="Tahoma"/>
            <family val="2"/>
          </rPr>
          <t>Note:</t>
        </r>
        <r>
          <rPr>
            <sz val="14"/>
            <color indexed="81"/>
            <rFont val="Tahoma"/>
            <family val="2"/>
          </rPr>
          <t xml:space="preserve">
The natural aging of the mechanical components of a wind turbine generator may lead to a drop in turbine availability (or efficiency), and therefore production, over time.  
This input allows the user to model the potential for such degradation, which may be between 0% and 2% per year.
</t>
        </r>
        <r>
          <rPr>
            <b/>
            <sz val="14"/>
            <color indexed="81"/>
            <rFont val="Tahoma"/>
            <family val="2"/>
          </rPr>
          <t>If the modeled "Net Capacity Factor" is intented to take long-term average availability into account, then the user may wish to enter 0% in the Annual Production Degradation field.</t>
        </r>
        <r>
          <rPr>
            <sz val="14"/>
            <color indexed="81"/>
            <rFont val="Tahoma"/>
            <family val="2"/>
          </rPr>
          <t xml:space="preserve">
Input must be =&gt; 0%.
</t>
        </r>
      </text>
    </comment>
    <comment ref="I98" authorId="1" shapeId="0" xr:uid="{9CA48B64-C95D-4503-835D-007EFB384756}">
      <text>
        <r>
          <rPr>
            <b/>
            <sz val="14"/>
            <color indexed="81"/>
            <rFont val="Tahoma"/>
            <family val="2"/>
          </rPr>
          <t xml:space="preserve">Note:
</t>
        </r>
        <r>
          <rPr>
            <sz val="14"/>
            <color indexed="81"/>
            <rFont val="Tahoma"/>
            <family val="2"/>
          </rPr>
          <t xml:space="preserve">The Project Useful Life is the number of years that the project is expected to be fully operational, reliably delivering electricity to the grid, and generating revenue. This concept is different from the FIT Contract Length, which is administratively determined by policymakers. These two values may be the same if a FIT contract is offered for the project's entire expected useful life. This approach is likely to generate the lowest tariff rate, while successfully attracting investors to renewable energy projects.  
The CREST model is built for a maximum Project Useful Life of 30 years.
Input must be greater than 0 and less than or equal to 30.
</t>
        </r>
      </text>
    </comment>
    <comment ref="S98" authorId="1" shapeId="0" xr:uid="{35FF41A8-D04E-4369-974A-F8087BFAAB89}">
      <text>
        <r>
          <rPr>
            <b/>
            <sz val="14"/>
            <color indexed="81"/>
            <rFont val="Tahoma"/>
            <family val="2"/>
          </rPr>
          <t xml:space="preserve">Note:
</t>
        </r>
        <r>
          <rPr>
            <sz val="14"/>
            <color indexed="81"/>
            <rFont val="Tahoma"/>
            <family val="2"/>
          </rPr>
          <t>If the designated "FIT Contract Length" is less than the defined "Project Useful Life", then this grouping of inputs is used to calculate the project's market-based revenue during the period from FIT contract expiration to the end of the project's life.</t>
        </r>
        <r>
          <rPr>
            <b/>
            <sz val="14"/>
            <color indexed="81"/>
            <rFont val="Tahoma"/>
            <family val="2"/>
          </rPr>
          <t xml:space="preserve">
</t>
        </r>
        <r>
          <rPr>
            <sz val="14"/>
            <color indexed="81"/>
            <rFont val="Tahoma"/>
            <family val="2"/>
          </rPr>
          <t xml:space="preserve">
</t>
        </r>
      </text>
    </comment>
    <comment ref="S99" authorId="1" shapeId="0" xr:uid="{5F6816FD-5D6E-49C7-BB6F-C90AD7E1F578}">
      <text>
        <r>
          <rPr>
            <b/>
            <sz val="14"/>
            <color indexed="81"/>
            <rFont val="Tahoma"/>
            <family val="2"/>
          </rPr>
          <t xml:space="preserve">Note:
</t>
        </r>
        <r>
          <rPr>
            <sz val="14"/>
            <color indexed="81"/>
            <rFont val="Tahoma"/>
            <family val="2"/>
          </rPr>
          <t>Selecting "Year One" forecasts the total market value of production based on an estimate of that value in the project's first year of commercial operation and a user-defined escalation rate.  
Selecting "Year-by-Year" enables the user to enter unique annual values for the period after the FIT expires and before the end of the project's useful life.</t>
        </r>
        <r>
          <rPr>
            <b/>
            <sz val="14"/>
            <color indexed="81"/>
            <rFont val="Tahoma"/>
            <family val="2"/>
          </rPr>
          <t xml:space="preserve">
</t>
        </r>
        <r>
          <rPr>
            <sz val="14"/>
            <color indexed="81"/>
            <rFont val="Tahoma"/>
            <family val="2"/>
          </rPr>
          <t xml:space="preserve">
</t>
        </r>
      </text>
    </comment>
    <comment ref="F100" authorId="0" shapeId="0" xr:uid="{4FE2447C-16F3-49CB-B2E4-9118061E0CF1}">
      <text>
        <r>
          <rPr>
            <b/>
            <sz val="8"/>
            <color indexed="81"/>
            <rFont val="Tahoma"/>
            <family val="2"/>
          </rPr>
          <t>See "unit" definitions at the bottom of this worksheet.</t>
        </r>
        <r>
          <rPr>
            <sz val="8"/>
            <color indexed="81"/>
            <rFont val="Tahoma"/>
            <family val="2"/>
          </rPr>
          <t xml:space="preserve">
</t>
        </r>
      </text>
    </comment>
    <comment ref="S100" authorId="1" shapeId="0" xr:uid="{C6C4C7E7-4380-4CC6-ACA1-41A8ADA86458}">
      <text>
        <r>
          <rPr>
            <b/>
            <sz val="14"/>
            <color indexed="81"/>
            <rFont val="Tahoma"/>
            <family val="2"/>
          </rPr>
          <t xml:space="preserve">Note:
</t>
        </r>
        <r>
          <rPr>
            <sz val="14"/>
            <color indexed="81"/>
            <rFont val="Tahoma"/>
            <family val="2"/>
          </rPr>
          <t xml:space="preserve">This is the </t>
        </r>
        <r>
          <rPr>
            <b/>
            <sz val="14"/>
            <color indexed="81"/>
            <rFont val="Tahoma"/>
            <family val="2"/>
          </rPr>
          <t>combined</t>
        </r>
        <r>
          <rPr>
            <sz val="14"/>
            <color indexed="81"/>
            <rFont val="Tahoma"/>
            <family val="2"/>
          </rPr>
          <t xml:space="preserve"> (or "bundled") market value of energy + capacity + Renewable Energy Credtis (RECs) in the same year in which the project's first enters commercial operation.
This input must be greater than zero.
</t>
        </r>
      </text>
    </comment>
    <comment ref="I101" authorId="1" shapeId="0" xr:uid="{CF461116-99A2-4A03-92E0-36212AB51555}">
      <text>
        <r>
          <rPr>
            <b/>
            <sz val="14"/>
            <color indexed="81"/>
            <rFont val="Tahoma"/>
            <family val="2"/>
          </rPr>
          <t>Note:</t>
        </r>
        <r>
          <rPr>
            <sz val="14"/>
            <color indexed="81"/>
            <rFont val="Tahoma"/>
            <family val="2"/>
          </rPr>
          <t xml:space="preserve">
This model alllows the user to input system cost at 1 of 3 levels of detail: "simple", "intermediate" or "complex." Simple offers a single input in $/kW, Intermediate offers five cost subcategories in total dollars, and Complex offers line-by-line project costing with user-defined categories and costs per line-item.  
Select your preferred method and use the cells below to enter your cost information. If you choose the "Complex" option, you will need to follow the link below to the "Complex Capital Costs" tab.</t>
        </r>
      </text>
    </comment>
    <comment ref="S101" authorId="1" shapeId="0" xr:uid="{F37C9FED-FCA4-4E25-AB5B-B3E62A6F020E}">
      <text>
        <r>
          <rPr>
            <b/>
            <sz val="14"/>
            <color indexed="81"/>
            <rFont val="Tahoma"/>
            <family val="2"/>
          </rPr>
          <t xml:space="preserve">Note:
</t>
        </r>
        <r>
          <rPr>
            <sz val="14"/>
            <color indexed="81"/>
            <rFont val="Tahoma"/>
            <family val="2"/>
          </rPr>
          <t xml:space="preserve">When the "Year One" forecast methodology is selected, this is the user-defined escalation rate at which the market value of production is expected to change.
Input must be greater than zero.
</t>
        </r>
      </text>
    </comment>
    <comment ref="I102" authorId="1" shapeId="0" xr:uid="{EDCEE138-7E36-4612-B42F-DDD9687A95E0}">
      <text>
        <r>
          <rPr>
            <b/>
            <sz val="14"/>
            <color indexed="81"/>
            <rFont val="Tahoma"/>
            <family val="2"/>
          </rPr>
          <t>Note:</t>
        </r>
        <r>
          <rPr>
            <sz val="14"/>
            <color indexed="81"/>
            <rFont val="Tahoma"/>
            <family val="2"/>
          </rPr>
          <t xml:space="preserve">
When "Simple" is selected in the Cost Level of Detail cell, this "Total Installed Cost" row represents the total expected all-in project cost, which should include all hardware, balance of plant, interconnection, design, construction, permitting, development (including developer fee), interest during construction and financing costs. This figure should not account for any tax incentives, grants, or other cash incentives, each of which will be addressed elsewhere in the model. This figure should, however, reflect any applicable sales tax or exemptions thereof.
Input must be greater than zero.
</t>
        </r>
      </text>
    </comment>
    <comment ref="S102" authorId="1" shapeId="0" xr:uid="{69D24A65-E53E-4A93-8EC1-D20FBC05DAD8}">
      <text>
        <r>
          <rPr>
            <b/>
            <sz val="14"/>
            <color indexed="81"/>
            <rFont val="Tahoma"/>
            <family val="2"/>
          </rPr>
          <t xml:space="preserve">Note:
</t>
        </r>
        <r>
          <rPr>
            <sz val="14"/>
            <color indexed="81"/>
            <rFont val="Tahoma"/>
            <family val="2"/>
          </rPr>
          <t xml:space="preserve">When "Year-by-Year" market value of production forecast is selected, this link brings the user to another worksheet on which unique annual values may be entered.
</t>
        </r>
      </text>
    </comment>
    <comment ref="I103" authorId="1" shapeId="0" xr:uid="{40817102-247C-4B16-9678-232DB016A7B6}">
      <text>
        <r>
          <rPr>
            <b/>
            <sz val="14"/>
            <color indexed="81"/>
            <rFont val="Tahoma"/>
            <family val="2"/>
          </rPr>
          <t>Note:</t>
        </r>
        <r>
          <rPr>
            <sz val="14"/>
            <color indexed="81"/>
            <rFont val="Tahoma"/>
            <family val="2"/>
          </rPr>
          <t xml:space="preserve">
"Generation Equipment" should include hardware such as the generator, blades and tower.  
Caution: the model assumes that if "Intermediate" is selected as the level of detail section, the "Generation Equipment" row must have a value greater than zero. 
</t>
        </r>
      </text>
    </comment>
    <comment ref="I104" authorId="1" shapeId="0" xr:uid="{027535BB-71E8-420A-B2F8-6DEFD2FD93CD}">
      <text>
        <r>
          <rPr>
            <b/>
            <sz val="14"/>
            <color indexed="81"/>
            <rFont val="Tahoma"/>
            <family val="2"/>
          </rPr>
          <t>Note:</t>
        </r>
        <r>
          <rPr>
            <sz val="14"/>
            <color indexed="81"/>
            <rFont val="Tahoma"/>
            <family val="2"/>
          </rPr>
          <t xml:space="preserve">
Balance of Plant (also known as Balance of System) represents all infrastructure, site prep and labor supporting the installation of the generation equipment. BOP costs include foundations, mounting devices, other hardware, and labor not already accounted for in the "Generation Equipment" row.
Input cannot be less than zero.
</t>
        </r>
      </text>
    </comment>
    <comment ref="P104" authorId="0" shapeId="0" xr:uid="{2B34C63C-3641-4414-B623-82E46AEE1E3D}">
      <text>
        <r>
          <rPr>
            <b/>
            <sz val="8"/>
            <color indexed="81"/>
            <rFont val="Tahoma"/>
            <family val="2"/>
          </rPr>
          <t>See "unit" definitions at the bottom of this worksheet.</t>
        </r>
        <r>
          <rPr>
            <sz val="8"/>
            <color indexed="81"/>
            <rFont val="Tahoma"/>
            <family val="2"/>
          </rPr>
          <t xml:space="preserve">
</t>
        </r>
      </text>
    </comment>
    <comment ref="I105" authorId="1" shapeId="0" xr:uid="{1AF50122-3D24-44D1-976B-34EC2FAF3C81}">
      <text>
        <r>
          <rPr>
            <b/>
            <sz val="14"/>
            <color indexed="81"/>
            <rFont val="Tahoma"/>
            <family val="2"/>
          </rPr>
          <t>Note:</t>
        </r>
        <r>
          <rPr>
            <sz val="14"/>
            <color indexed="81"/>
            <rFont val="Tahoma"/>
            <family val="2"/>
          </rPr>
          <t xml:space="preserve">
The "Interconnection" row should account for all project costs relating to connecting to the grid, such as the construction of transmission lines, permitting costs with the utility, and start-up costs. This category will also include the cost of a new substation, if necessary.
Regulators wishing to explore the potential that interconnection costs may be recovered from ratepayers separately can elect to enter zeros in this cost category whenever "Intermediate" or "Complex" is selected.
Input cannot be less than zero.
</t>
        </r>
      </text>
    </comment>
    <comment ref="S105" authorId="0" shapeId="0" xr:uid="{044950C3-E858-4F96-BD88-2A3318669650}">
      <text>
        <r>
          <rPr>
            <b/>
            <sz val="14"/>
            <color indexed="81"/>
            <rFont val="Tahoma"/>
            <family val="2"/>
          </rPr>
          <t xml:space="preserve">Note:
</t>
        </r>
        <r>
          <rPr>
            <sz val="14"/>
            <color indexed="81"/>
            <rFont val="Tahoma"/>
            <family val="2"/>
          </rPr>
          <t>This drop-down input cell allows the user to specify whether federal incentives are cost-based (e.g. an investment tax credit) or performance-based (e.g. a PTC). The magnitude and terms of these incentives are set in the cells below.
For more information, a useful resource for researching federal and state incentives online is:  
http://dsireusa.org/
*See bottom of introduction page for a list of links</t>
        </r>
      </text>
    </comment>
    <comment ref="E106" authorId="0" shapeId="0" xr:uid="{2931F78F-E853-434B-9AF8-44546D48773A}">
      <text>
        <r>
          <rPr>
            <b/>
            <sz val="14"/>
            <color indexed="81"/>
            <rFont val="Tahoma"/>
            <family val="2"/>
          </rPr>
          <t>Jason Gifford:</t>
        </r>
        <r>
          <rPr>
            <sz val="14"/>
            <color indexed="81"/>
            <rFont val="Tahoma"/>
            <family val="2"/>
          </rPr>
          <t xml:space="preserve">
Converted to "admin cost" for community remote DG</t>
        </r>
      </text>
    </comment>
    <comment ref="I106" authorId="1" shapeId="0" xr:uid="{5842892B-DDF4-4E69-A057-AC69D02485AE}">
      <text>
        <r>
          <rPr>
            <b/>
            <sz val="14"/>
            <color indexed="81"/>
            <rFont val="Tahoma"/>
            <family val="2"/>
          </rPr>
          <t>Note:</t>
        </r>
        <r>
          <rPr>
            <sz val="8"/>
            <color indexed="81"/>
            <rFont val="Tahoma"/>
            <family val="2"/>
          </rPr>
          <t xml:space="preserve">
</t>
        </r>
        <r>
          <rPr>
            <sz val="14"/>
            <color indexed="81"/>
            <rFont val="Tahoma"/>
            <family val="2"/>
          </rPr>
          <t xml:space="preserve">The "Development Costs" row should include all costs relating to project management, studies, engineering, permitting, contingencies, success fees, and other soft costs not accounted for elsewhere in the "Intermediate" cost breakdown. 
Input cannot be less than zero.
</t>
        </r>
      </text>
    </comment>
    <comment ref="S106" authorId="1" shapeId="0" xr:uid="{A90E4985-2BD4-43D4-864B-6C58C459E77A}">
      <text>
        <r>
          <rPr>
            <b/>
            <sz val="14"/>
            <color indexed="81"/>
            <rFont val="Tahoma"/>
            <family val="2"/>
          </rPr>
          <t xml:space="preserve">Note:
</t>
        </r>
        <r>
          <rPr>
            <sz val="14"/>
            <color indexed="81"/>
            <rFont val="Tahoma"/>
            <family val="2"/>
          </rPr>
          <t>Some renewable energy projects may be eligible to take advantagee of Federal incentives such as the Investment Tax Credit or a Treasury Grant. Information on eligibility for funding opportunities such as these is available online at:
http://dsireusa.org/incentives/incentive.cfm?Incentive_Code=US02F&amp;re=1&amp;ee=1
*See bottom of introduction page for a list of links</t>
        </r>
        <r>
          <rPr>
            <b/>
            <sz val="14"/>
            <color indexed="81"/>
            <rFont val="Tahoma"/>
            <family val="2"/>
          </rPr>
          <t xml:space="preserve">
</t>
        </r>
        <r>
          <rPr>
            <sz val="14"/>
            <color indexed="81"/>
            <rFont val="Tahoma"/>
            <family val="2"/>
          </rPr>
          <t xml:space="preserve">
</t>
        </r>
      </text>
    </comment>
    <comment ref="I107" authorId="1" shapeId="0" xr:uid="{70F48E4A-124F-4347-BE9C-4743CBB79787}">
      <text>
        <r>
          <rPr>
            <b/>
            <sz val="14"/>
            <color indexed="81"/>
            <rFont val="Tahoma"/>
            <family val="2"/>
          </rPr>
          <t>Note:</t>
        </r>
        <r>
          <rPr>
            <sz val="14"/>
            <color indexed="81"/>
            <rFont val="Tahoma"/>
            <family val="2"/>
          </rPr>
          <t xml:space="preserve">
The "Reserves &amp; Financing Costs" row accounts for all costs relating to financing, such as lender fees, closing costs, legal fees, interest during construction, due diligence costs, and any other relevant, financing relating costs. The model calculates this field by aggregating G22 through G25, G51, G54, G63, G66, Q57 and Q60.
</t>
        </r>
      </text>
    </comment>
    <comment ref="S107" authorId="0" shapeId="0" xr:uid="{8FCDF950-F143-4B55-A1CD-7CECA219B966}">
      <text>
        <r>
          <rPr>
            <b/>
            <sz val="14"/>
            <color indexed="81"/>
            <rFont val="Tahoma"/>
            <family val="2"/>
          </rPr>
          <t xml:space="preserve">NOTE:
</t>
        </r>
        <r>
          <rPr>
            <sz val="14"/>
            <color indexed="81"/>
            <rFont val="Tahoma"/>
            <family val="2"/>
          </rPr>
          <t xml:space="preserve">The maximum potential Investment Tax Credit (ITC) benefit is assumed to be 30% of those project costs which are depreciable on the 5-year MACRS schedule.  This 'eligible costs' assumption is purposefully simplified for this analysis.  Project costs depreciated on other bases may also be eligible for the ITC.  Developers should consult with tax counsel for project-specific depreciation and ITC treatment of each project cost.
</t>
        </r>
        <r>
          <rPr>
            <sz val="8"/>
            <color indexed="81"/>
            <rFont val="Tahoma"/>
            <family val="2"/>
          </rPr>
          <t xml:space="preserve">
</t>
        </r>
      </text>
    </comment>
    <comment ref="I108" authorId="1" shapeId="0" xr:uid="{B2B87BB4-F6F7-454F-8E1F-E2D1C4AAABCC}">
      <text>
        <r>
          <rPr>
            <b/>
            <sz val="14"/>
            <color indexed="81"/>
            <rFont val="Tahoma"/>
            <family val="2"/>
          </rPr>
          <t>Note:</t>
        </r>
        <r>
          <rPr>
            <sz val="14"/>
            <color indexed="81"/>
            <rFont val="Tahoma"/>
            <family val="2"/>
          </rPr>
          <t xml:space="preserve">
If you wish to enter your project costs under the "Complex" format, select Complex from the drop-down menu and use the link to the left to access additional worksheets which provide the opportunitiy to add significant, additional detail on project costs. Once complete, the model will roll up the detailed costs and populate this row with the resultant final project cost. </t>
        </r>
      </text>
    </comment>
    <comment ref="S108" authorId="0" shapeId="0" xr:uid="{1D9F4CFA-10C1-4EB6-BDA6-A2E09BF2DC1C}">
      <text>
        <r>
          <rPr>
            <b/>
            <sz val="14"/>
            <color indexed="81"/>
            <rFont val="Tahoma"/>
            <family val="2"/>
          </rPr>
          <t xml:space="preserve">NOTE:
</t>
        </r>
        <r>
          <rPr>
            <sz val="14"/>
            <color indexed="81"/>
            <rFont val="Tahoma"/>
            <family val="2"/>
          </rPr>
          <t xml:space="preserve">As a tax </t>
        </r>
        <r>
          <rPr>
            <u/>
            <sz val="14"/>
            <color indexed="81"/>
            <rFont val="Tahoma"/>
            <family val="2"/>
          </rPr>
          <t>credit</t>
        </r>
        <r>
          <rPr>
            <sz val="14"/>
            <color indexed="81"/>
            <rFont val="Tahoma"/>
            <family val="2"/>
          </rPr>
          <t>, the ITC is only usable by project owners with positive federal income tax liability.  
In cases where the owner's tax liability in the calendar year of the project's first commercial operation exceeds the ITC amount, the user may enter 100% in this field and assume full utilization of the ITC.
If the owner's tax liability is less than the available ITC, the user may either enter a % value less than 100% or select the "carried forward" method in the "Tax Benefits used as generated or carried forward?" cell.  
Input must be between 0% and 100%.</t>
        </r>
        <r>
          <rPr>
            <sz val="8"/>
            <color indexed="81"/>
            <rFont val="Tahoma"/>
            <family val="2"/>
          </rPr>
          <t xml:space="preserve">
</t>
        </r>
      </text>
    </comment>
    <comment ref="I109" authorId="1" shapeId="0" xr:uid="{33DFD68A-209E-43F9-9D9E-60422735F012}">
      <text>
        <r>
          <rPr>
            <b/>
            <sz val="14"/>
            <color indexed="81"/>
            <rFont val="Tahoma"/>
            <family val="2"/>
          </rPr>
          <t>Note:</t>
        </r>
        <r>
          <rPr>
            <sz val="14"/>
            <color indexed="81"/>
            <rFont val="Tahoma"/>
            <family val="2"/>
          </rPr>
          <t xml:space="preserve">
The total system cost is a calculation, based on the level of detail selected and the assocated inputs.
</t>
        </r>
      </text>
    </comment>
    <comment ref="S109" authorId="0" shapeId="0" xr:uid="{61B230A8-E509-41D9-8D3A-43F8C3FFE402}">
      <text>
        <r>
          <rPr>
            <b/>
            <sz val="14"/>
            <color indexed="81"/>
            <rFont val="Tahoma"/>
            <family val="2"/>
          </rPr>
          <t xml:space="preserve">Note:
</t>
        </r>
        <r>
          <rPr>
            <sz val="14"/>
            <color indexed="81"/>
            <rFont val="Tahoma"/>
            <family val="2"/>
          </rPr>
          <t xml:space="preserve">Calculates the dollar value of the Investment Tax Credit or Cash Grant, if applicable.
</t>
        </r>
      </text>
    </comment>
    <comment ref="I110" authorId="1" shapeId="0" xr:uid="{69821124-6FB5-440E-A644-11BE945D65D7}">
      <text>
        <r>
          <rPr>
            <b/>
            <sz val="14"/>
            <color indexed="81"/>
            <rFont val="Tahoma"/>
            <family val="2"/>
          </rPr>
          <t>Note:</t>
        </r>
        <r>
          <rPr>
            <sz val="14"/>
            <color indexed="81"/>
            <rFont val="Tahoma"/>
            <family val="2"/>
          </rPr>
          <t xml:space="preserve">
Calculation based on the total system cost in the cell above and the system size reported. Typical costs (as of 2010) fall between $2,000/kW and $3,000/kW.</t>
        </r>
        <r>
          <rPr>
            <sz val="8"/>
            <color indexed="81"/>
            <rFont val="Tahoma"/>
            <family val="2"/>
          </rPr>
          <t xml:space="preserve">
</t>
        </r>
      </text>
    </comment>
    <comment ref="S110" authorId="0" shapeId="0" xr:uid="{E91C4245-181C-4D92-B670-E4B0F9177327}">
      <text>
        <r>
          <rPr>
            <b/>
            <sz val="14"/>
            <color indexed="81"/>
            <rFont val="Tahoma"/>
            <family val="2"/>
          </rPr>
          <t xml:space="preserve">Note: </t>
        </r>
        <r>
          <rPr>
            <sz val="14"/>
            <color indexed="81"/>
            <rFont val="Tahoma"/>
            <family val="2"/>
          </rPr>
          <t xml:space="preserve">
This input cell, the "Performance Based Incentive" or "PBI" is another potential incentive available to some specific projects. The PBI would be separate from a feed-in-tariff, but acts similarly in that it is per unit of production (typically kWh) income to a project.
Some examples of PBIs include the Federal Production Tax Credit (applicable to private projects with tax appetites) and the Federal Renewable Energy Production Incentive (REPI), historically available to some public projects.
</t>
        </r>
      </text>
    </comment>
    <comment ref="I111" authorId="1" shapeId="0" xr:uid="{59D59E00-A11B-4A04-8AE9-4812CC2BABEE}">
      <text>
        <r>
          <rPr>
            <b/>
            <sz val="14"/>
            <color indexed="81"/>
            <rFont val="Tahoma"/>
            <family val="2"/>
          </rPr>
          <t xml:space="preserve">Note:
</t>
        </r>
        <r>
          <rPr>
            <sz val="14"/>
            <color indexed="81"/>
            <rFont val="Tahoma"/>
            <family val="2"/>
          </rPr>
          <t xml:space="preserve">This cell calculates the total of all applicable grants, excluding the payment in lieu of the Federal ITC (also known as the ITC Cash Grant, or Cash Grant), if applicable.  The ITC Cash Grant is considered separately because unlike grants issued upfront and used to offset capital costs, the ITC Cash Grant is disbursed approxiamtely 60 days after the start of commercial operations and therefore becomes an integral part of the project's financing.
Where grants are treated as taxable income, this cell calculates the after-tax impact on the total cost of the project.
  </t>
        </r>
        <r>
          <rPr>
            <sz val="8"/>
            <color indexed="81"/>
            <rFont val="Tahoma"/>
            <family val="2"/>
          </rPr>
          <t xml:space="preserve">
</t>
        </r>
      </text>
    </comment>
    <comment ref="S111" authorId="0" shapeId="0" xr:uid="{CDD5A8E1-6222-409C-8E7F-667B5544B159}">
      <text>
        <r>
          <rPr>
            <b/>
            <sz val="14"/>
            <color indexed="81"/>
            <rFont val="Tahoma"/>
            <family val="2"/>
          </rPr>
          <t xml:space="preserve">Note: </t>
        </r>
        <r>
          <rPr>
            <sz val="14"/>
            <color indexed="81"/>
            <rFont val="Tahoma"/>
            <family val="2"/>
          </rPr>
          <t xml:space="preserve">
This cell denotes the value of the Performance Based Incentive applicable to the project's first year of commercial operation. In some cases, this value will need to be calculated external to the model if such PBI is derived from a "base year" and specified inflation index. The following cells can be used to account for inflation and the maximum term of eligibility.
Input cannot be less than zero.
</t>
        </r>
      </text>
    </comment>
    <comment ref="I112" authorId="1" shapeId="0" xr:uid="{74477D89-B0A6-4E43-925C-18615F217AE6}">
      <text>
        <r>
          <rPr>
            <b/>
            <sz val="14"/>
            <color indexed="81"/>
            <rFont val="Tahoma"/>
            <family val="2"/>
          </rPr>
          <t>Note:</t>
        </r>
        <r>
          <rPr>
            <sz val="14"/>
            <color indexed="81"/>
            <rFont val="Tahoma"/>
            <family val="2"/>
          </rPr>
          <t xml:space="preserve">
Calculation of total project cost net applicable grants. 
</t>
        </r>
      </text>
    </comment>
    <comment ref="S112" authorId="0" shapeId="0" xr:uid="{C3370D58-1527-42DE-BEA5-94CCC1DA6B6D}">
      <text>
        <r>
          <rPr>
            <b/>
            <sz val="14"/>
            <color indexed="81"/>
            <rFont val="Tahoma"/>
            <family val="2"/>
          </rPr>
          <t>Note:</t>
        </r>
        <r>
          <rPr>
            <sz val="14"/>
            <color indexed="81"/>
            <rFont val="Tahoma"/>
            <family val="2"/>
          </rPr>
          <t xml:space="preserve">
This is the length of time that a project would be eligible for any Performance Based Incentives outlined in the cell immediately above. For example, the Federal Renewable Energy Production Incentive and Production Tax Credit incentives are available for the first 10 years of project operation.
Input cannot be less than zero.
</t>
        </r>
      </text>
    </comment>
    <comment ref="I113" authorId="1" shapeId="0" xr:uid="{CF3C4F49-B7BD-4BE4-8E65-1645BB524795}">
      <text>
        <r>
          <rPr>
            <b/>
            <sz val="14"/>
            <color indexed="81"/>
            <rFont val="Tahoma"/>
            <family val="2"/>
          </rPr>
          <t xml:space="preserve">Note:
</t>
        </r>
        <r>
          <rPr>
            <sz val="14"/>
            <color indexed="81"/>
            <rFont val="Tahoma"/>
            <family val="2"/>
          </rPr>
          <t xml:space="preserve">Calculation, based on net project cost and total installed capacity. 
</t>
        </r>
      </text>
    </comment>
    <comment ref="S113" authorId="0" shapeId="0" xr:uid="{E9B3D664-29EF-4053-B364-4DC6EA621AB3}">
      <text>
        <r>
          <rPr>
            <b/>
            <sz val="14"/>
            <color indexed="81"/>
            <rFont val="Tahoma"/>
            <family val="2"/>
          </rPr>
          <t xml:space="preserve">Note:
</t>
        </r>
        <r>
          <rPr>
            <sz val="14"/>
            <color indexed="81"/>
            <rFont val="Tahoma"/>
            <family val="2"/>
          </rPr>
          <t xml:space="preserve">Performance Based Incentives are often adjusted to account for inflation. For example, the Federal Production Tax Credit (PTC) is adjusted each year to account for changes in the GDP IPD index. This cell can be used as a proxy for the inflation that would apply to any PBI incentive entered above.
This input cannot be left blank.
</t>
        </r>
        <r>
          <rPr>
            <sz val="8"/>
            <color indexed="81"/>
            <rFont val="Tahoma"/>
            <family val="2"/>
          </rPr>
          <t xml:space="preserve">
</t>
        </r>
      </text>
    </comment>
    <comment ref="S114" authorId="0" shapeId="0" xr:uid="{905DAA1C-6BDE-4A36-8FEA-ACC9FE314F0D}">
      <text>
        <r>
          <rPr>
            <b/>
            <sz val="14"/>
            <color indexed="81"/>
            <rFont val="Tahoma"/>
            <family val="2"/>
          </rPr>
          <t xml:space="preserve">Note:
</t>
        </r>
        <r>
          <rPr>
            <sz val="14"/>
            <color indexed="81"/>
            <rFont val="Tahoma"/>
            <family val="2"/>
          </rPr>
          <t>In some cases, due to the nature of the requirements of some Performance Based Incentive programs, project owners are unable to maximize the full revenue stream of the incentive. For example, in the case of the Federal Production Tax Credit (PTC), the project owner may not have sufficienct tax appetite to fully utilize the tax credits. 
This input cell would allow the modeler to account for the owner's inability to fully utilize the PTC and/or the reduction of the PTC (a "haircut") due to the presence of subsidized (below market interest rate) financing.
Incentive "availability" will likely be a factor if this cell is being used to model the cash-based Renewable Energy Production Incentive (REPI).  The REPI program has historically been underfunded; available monies are allocated pro rata among eligible projects.  In this case, the value entered in this cell should reflect the user's expectation of the fraction of the face value REPI payment that will be available over the applicable incentive term.
Input must be between 0% to 100%.</t>
        </r>
      </text>
    </comment>
    <comment ref="F115" authorId="0" shapeId="0" xr:uid="{3C8A637A-E194-4FCE-A959-5935BC3B8E14}">
      <text>
        <r>
          <rPr>
            <b/>
            <sz val="8"/>
            <color indexed="81"/>
            <rFont val="Tahoma"/>
            <family val="2"/>
          </rPr>
          <t>See "unit" definitions at the bottom of this worksheet.</t>
        </r>
        <r>
          <rPr>
            <sz val="8"/>
            <color indexed="81"/>
            <rFont val="Tahoma"/>
            <family val="2"/>
          </rPr>
          <t xml:space="preserve">
</t>
        </r>
      </text>
    </comment>
    <comment ref="S115" authorId="0" shapeId="0" xr:uid="{7A8ACF81-DB3E-4214-977A-C05B9B04392D}">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I116" authorId="0" shapeId="0" xr:uid="{E8947F14-7C43-47A9-B290-54FF2786E5BF}">
      <text>
        <r>
          <rPr>
            <b/>
            <sz val="14"/>
            <color indexed="81"/>
            <rFont val="Tahoma"/>
            <family val="2"/>
          </rPr>
          <t>Note:</t>
        </r>
        <r>
          <rPr>
            <sz val="14"/>
            <color indexed="81"/>
            <rFont val="Tahoma"/>
            <family val="2"/>
          </rPr>
          <t xml:space="preserve">
Select either "Simple" or "Intermediate" O&amp;M expense detail using the drop-down menu to the right.
</t>
        </r>
        <r>
          <rPr>
            <sz val="8"/>
            <color indexed="81"/>
            <rFont val="Tahoma"/>
            <family val="2"/>
          </rPr>
          <t xml:space="preserve">
</t>
        </r>
      </text>
    </comment>
    <comment ref="I117" authorId="1" shapeId="0" xr:uid="{150573EF-679A-4427-9E8B-6A452E4CCBE1}">
      <text>
        <r>
          <rPr>
            <b/>
            <sz val="14"/>
            <color indexed="81"/>
            <rFont val="Tahoma"/>
            <family val="2"/>
          </rPr>
          <t>Note:</t>
        </r>
        <r>
          <rPr>
            <sz val="14"/>
            <color indexed="81"/>
            <rFont val="Tahoma"/>
            <family val="2"/>
          </rPr>
          <t xml:space="preserve">
If "Simple" is selected in the cell above, then this input should reflect the </t>
        </r>
        <r>
          <rPr>
            <b/>
            <u/>
            <sz val="14"/>
            <color indexed="81"/>
            <rFont val="Tahoma"/>
            <family val="2"/>
          </rPr>
          <t>total</t>
        </r>
        <r>
          <rPr>
            <sz val="14"/>
            <color indexed="81"/>
            <rFont val="Tahoma"/>
            <family val="2"/>
          </rPr>
          <t xml:space="preserve"> expected </t>
        </r>
        <r>
          <rPr>
            <b/>
            <u/>
            <sz val="14"/>
            <color indexed="81"/>
            <rFont val="Tahoma"/>
            <family val="2"/>
          </rPr>
          <t>fixed</t>
        </r>
        <r>
          <rPr>
            <sz val="14"/>
            <color indexed="81"/>
            <rFont val="Tahoma"/>
            <family val="2"/>
          </rPr>
          <t xml:space="preserve"> cost of project operations and maintenance, in $/kW-yr.  This </t>
        </r>
        <r>
          <rPr>
            <u/>
            <sz val="14"/>
            <color indexed="81"/>
            <rFont val="Tahoma"/>
            <family val="2"/>
          </rPr>
          <t>includes</t>
        </r>
        <r>
          <rPr>
            <sz val="14"/>
            <color indexed="81"/>
            <rFont val="Tahoma"/>
            <family val="2"/>
          </rPr>
          <t xml:space="preserve"> the insurance, project management, property tax (or payment in lieu thereof), land lease, and royalty expenses which would have been broken out separately in the "Intermediate" case.  Other labor and spare parts should also be included in this estimate.
If the user has obtained O&amp;M expense estimates from a third-party, it is critical to understand which costs have been included.  If the user is not certain that all of the above-listed expenses are included in the fixed cost estimate, then the "Intermediate" approach should be used and these expenses should be entered separately.
If "Intermediate" is selected, then this input should reflect  the expected annual fixed O&amp;M cost before taking into account the additional listed expenses, which are entered below. 
In all cases, fixed O&amp;M would include - among others - the ongoing cost of obtaining daily, weekly or monthly production estimates based on weather and other factors.
Input value must be greater than zero. 
</t>
        </r>
      </text>
    </comment>
    <comment ref="S117" authorId="1" shapeId="0" xr:uid="{49BBE93B-9BC7-4BDE-B263-5EABD9C336CA}">
      <text>
        <r>
          <rPr>
            <b/>
            <sz val="14"/>
            <color indexed="81"/>
            <rFont val="Tahoma"/>
            <family val="2"/>
          </rPr>
          <t xml:space="preserve">Note:
</t>
        </r>
        <r>
          <rPr>
            <sz val="14"/>
            <color indexed="81"/>
            <rFont val="Tahoma"/>
            <family val="2"/>
          </rPr>
          <t xml:space="preserve">Some renewable energy projects may be eligible for other federal grants as well, such as funding from the U.S. Department of Agriculture. This input cell can be used to capture those funding opportunities, some of which are outlined online at:
http://dsireusa.org/incentives/index.cfm?state=us&amp;re=1&amp;EE=1
*See bottom of introduction page for a list of links
Input cannot be less than zero.
</t>
        </r>
      </text>
    </comment>
    <comment ref="I118" authorId="1" shapeId="0" xr:uid="{10847C0E-F476-4EAE-AFB1-AFD2037B92EA}">
      <text>
        <r>
          <rPr>
            <b/>
            <sz val="14"/>
            <color indexed="81"/>
            <rFont val="Tahoma"/>
            <family val="2"/>
          </rPr>
          <t>Note:</t>
        </r>
        <r>
          <rPr>
            <sz val="14"/>
            <color indexed="81"/>
            <rFont val="Tahoma"/>
            <family val="2"/>
          </rPr>
          <t xml:space="preserve">
This cell provides the user with the option of accounting for O&amp;M expenses (such as labor and spare parts) which are more easily estimated and modeled on a variable, cents per kWh basis.  
If "Simple" is selected above, then this cell should also take into account variable costs, such as royalties, </t>
        </r>
        <r>
          <rPr>
            <b/>
            <u/>
            <sz val="14"/>
            <color indexed="81"/>
            <rFont val="Tahoma"/>
            <family val="2"/>
          </rPr>
          <t>if</t>
        </r>
        <r>
          <rPr>
            <sz val="14"/>
            <color indexed="81"/>
            <rFont val="Tahoma"/>
            <family val="2"/>
          </rPr>
          <t xml:space="preserve"> such annual expenses are not already accounted for in the fixed cost input above.
Input cannot be less than zero.
</t>
        </r>
      </text>
    </comment>
    <comment ref="S118" authorId="0" shapeId="0" xr:uid="{C3074986-7E3B-47CD-BCFA-BE7732BB52A2}">
      <text>
        <r>
          <rPr>
            <b/>
            <sz val="14"/>
            <color indexed="81"/>
            <rFont val="Tahoma"/>
            <family val="2"/>
          </rPr>
          <t xml:space="preserve">Note:
</t>
        </r>
        <r>
          <rPr>
            <sz val="14"/>
            <color indexed="81"/>
            <rFont val="Tahoma"/>
            <family val="2"/>
          </rPr>
          <t xml:space="preserve">Select here whether federal grants (other than the section 1603 payment in lieu of the ITC/PTC) are treated as taxable income. If no, depreciation basis is reduced. 
</t>
        </r>
      </text>
    </comment>
    <comment ref="I119" authorId="0" shapeId="0" xr:uid="{5ED1179C-BC53-471E-BC5F-C4D31EF0BD8C}">
      <text>
        <r>
          <rPr>
            <b/>
            <sz val="14"/>
            <color indexed="81"/>
            <rFont val="Tahoma"/>
            <family val="2"/>
          </rPr>
          <t>Note:</t>
        </r>
        <r>
          <rPr>
            <sz val="14"/>
            <color indexed="81"/>
            <rFont val="Tahoma"/>
            <family val="2"/>
          </rPr>
          <t xml:space="preserve">
This inflation rate applies to both fixed and variable O&amp;M expense, insurance, and project management costs entered above, if applicable. 
The model allows the user to specify an inflation assumption for an "initial period" and a second inflation assumption "thereafter." These inputs can be used to account for inflation which might be fixed during an initial O&amp;M service contract, but are unknown thereafter.  The final year of the "initial period" is  user-defined (e.g. final year of an O&amp;M service contract). 
The purpose of this feature is also to recognize that inflationary trends may change over time, or that some projects may not expect inflation of O&amp;M expenses for the first several years, but may expect inflation thereafter.
This inflation rate does not apply to PILOT or Royalty costs. Input cannot be less than zero.
</t>
        </r>
      </text>
    </comment>
    <comment ref="I120" authorId="0" shapeId="0" xr:uid="{BF859068-3218-411C-BDF1-26AA0165752B}">
      <text>
        <r>
          <rPr>
            <b/>
            <sz val="14"/>
            <color indexed="81"/>
            <rFont val="Tahoma"/>
            <family val="2"/>
          </rPr>
          <t xml:space="preserve">Note:
</t>
        </r>
        <r>
          <rPr>
            <sz val="14"/>
            <color indexed="81"/>
            <rFont val="Tahoma"/>
            <family val="2"/>
          </rPr>
          <t xml:space="preserve">This feature allows the user to assume that the rate at which expenses change over time is not constant. This cell provides the year in which the first inflation period ends.
Input cannot be less than zero.
</t>
        </r>
      </text>
    </comment>
    <comment ref="P120" authorId="0" shapeId="0" xr:uid="{40C5692A-B1E9-41DF-A2C6-0C33BC7B2673}">
      <text>
        <r>
          <rPr>
            <b/>
            <sz val="8"/>
            <color indexed="81"/>
            <rFont val="Tahoma"/>
            <family val="2"/>
          </rPr>
          <t>See "unit" definitions at the bottom of this worksheet.</t>
        </r>
        <r>
          <rPr>
            <sz val="8"/>
            <color indexed="81"/>
            <rFont val="Tahoma"/>
            <family val="2"/>
          </rPr>
          <t xml:space="preserve">
</t>
        </r>
      </text>
    </comment>
    <comment ref="I121" authorId="0" shapeId="0" xr:uid="{10F06244-2E39-47B6-B9FB-893275C895DD}">
      <text>
        <r>
          <rPr>
            <b/>
            <sz val="14"/>
            <color indexed="81"/>
            <rFont val="Tahoma"/>
            <family val="2"/>
          </rPr>
          <t xml:space="preserve">Note:
</t>
        </r>
        <r>
          <rPr>
            <sz val="14"/>
            <color indexed="81"/>
            <rFont val="Tahoma"/>
            <family val="2"/>
          </rPr>
          <t xml:space="preserve">This cell provides the inflation rate for the remainder of the project's useful life.
Input must be greater than zero.
</t>
        </r>
      </text>
    </comment>
    <comment ref="S121" authorId="1" shapeId="0" xr:uid="{40A8C41D-A21E-4644-B1C0-0C2A95E411D7}">
      <text>
        <r>
          <rPr>
            <b/>
            <sz val="14"/>
            <color indexed="81"/>
            <rFont val="Tahoma"/>
            <family val="2"/>
          </rPr>
          <t xml:space="preserve">Note:
</t>
        </r>
        <r>
          <rPr>
            <sz val="14"/>
            <color indexed="81"/>
            <rFont val="Tahoma"/>
            <family val="2"/>
          </rPr>
          <t>This drop-down input cell allows the user to specify whether state incentives are cost-based (e.g. an investment tax credit) or performance-based (e.g. a PTC or cash payment). If no state incentive is available or useable by the modeled project, the user will select "Neither." The magnitude and terms of these incentives are set in the cells below.
For more information, a useful resource for researching federal and state incentives online is:  
http://dsireusa.org/
*See bottom of introduction page for a list of links</t>
        </r>
      </text>
    </comment>
    <comment ref="I122" authorId="1" shapeId="0" xr:uid="{BD3BAA40-00DD-406B-93EB-2FC9CFC37C70}">
      <text>
        <r>
          <rPr>
            <b/>
            <sz val="14"/>
            <color indexed="81"/>
            <rFont val="Tahoma"/>
            <family val="2"/>
          </rPr>
          <t xml:space="preserve">Note:
</t>
        </r>
        <r>
          <rPr>
            <sz val="14"/>
            <color indexed="81"/>
            <rFont val="Tahoma"/>
            <family val="2"/>
          </rPr>
          <t xml:space="preserve">Project owners, or hosts, are required to carry insurance. This input accounts for the estimated cost of insuring the modeled power generating facility.
Input cannot be less than zero.
</t>
        </r>
      </text>
    </comment>
    <comment ref="S122" authorId="0" shapeId="0" xr:uid="{21DD66C9-F388-4FB1-AB5B-C30C7BB16A40}">
      <text>
        <r>
          <rPr>
            <b/>
            <sz val="14"/>
            <color indexed="81"/>
            <rFont val="Tahoma"/>
            <family val="2"/>
          </rPr>
          <t xml:space="preserve">NOTE:
</t>
        </r>
        <r>
          <rPr>
            <sz val="14"/>
            <color indexed="81"/>
            <rFont val="Tahoma"/>
            <family val="2"/>
          </rPr>
          <t xml:space="preserve">The maximum potential Investment Tax Credit (ITC) benefit is assumed to be 30% of those project costs which are depreciable on the 5-year MACRS schedule.
</t>
        </r>
      </text>
    </comment>
    <comment ref="I123" authorId="0" shapeId="0" xr:uid="{89C20852-7FCA-4832-9F58-5CD85E4E9511}">
      <text>
        <r>
          <rPr>
            <b/>
            <sz val="14"/>
            <color indexed="81"/>
            <rFont val="Tahoma"/>
            <family val="2"/>
          </rPr>
          <t xml:space="preserve">Note:
</t>
        </r>
        <r>
          <rPr>
            <sz val="14"/>
            <color indexed="81"/>
            <rFont val="Tahoma"/>
            <family val="2"/>
          </rPr>
          <t xml:space="preserve">This cell calculates the resulting dollar value cost of insurance based on the input above and the project installed cost (net of financing costs).  It is provided simply as a reference for the user.
</t>
        </r>
        <r>
          <rPr>
            <sz val="8"/>
            <color indexed="81"/>
            <rFont val="Tahoma"/>
            <family val="2"/>
          </rPr>
          <t xml:space="preserve">
</t>
        </r>
      </text>
    </comment>
    <comment ref="S123" authorId="0" shapeId="0" xr:uid="{E759B3F0-E8D7-4299-B5D1-959693A3B26B}">
      <text>
        <r>
          <rPr>
            <b/>
            <sz val="14"/>
            <color indexed="81"/>
            <rFont val="Tahoma"/>
            <family val="2"/>
          </rPr>
          <t xml:space="preserve">NOTE:
</t>
        </r>
        <r>
          <rPr>
            <sz val="14"/>
            <color indexed="81"/>
            <rFont val="Tahoma"/>
            <family val="2"/>
          </rPr>
          <t xml:space="preserve">As a tax </t>
        </r>
        <r>
          <rPr>
            <u/>
            <sz val="14"/>
            <color indexed="81"/>
            <rFont val="Tahoma"/>
            <family val="2"/>
          </rPr>
          <t>credit</t>
        </r>
        <r>
          <rPr>
            <sz val="14"/>
            <color indexed="81"/>
            <rFont val="Tahoma"/>
            <family val="2"/>
          </rPr>
          <t>, the ITC is only usable by project owners with positive federal income tax liability.  
In cases where the owner's tax liability in the calendar year of the project's first commercial operation exceeds the ITC amount, the user may enter 100% in this field and assume full utilization of the ITC.
If the owner's tax liability is less than the available ITC, a % less than 100% must be entered in order to represent a less efficient utilization of this federal tax incentive.
Input must be betwee 0% and 100%.</t>
        </r>
      </text>
    </comment>
    <comment ref="I124" authorId="1" shapeId="0" xr:uid="{C6C63161-BA82-4982-BB5E-1BB2A1E0AE88}">
      <text>
        <r>
          <rPr>
            <b/>
            <sz val="14"/>
            <color indexed="81"/>
            <rFont val="Tahoma"/>
            <family val="2"/>
          </rPr>
          <t>Note:</t>
        </r>
        <r>
          <rPr>
            <sz val="14"/>
            <color indexed="81"/>
            <rFont val="Tahoma"/>
            <family val="2"/>
          </rPr>
          <t xml:space="preserve">
"Project Management" accounts for the cost of staff time related to managing the project's Power Purchase Agreements, grid integration, and periodic reporting to the system operator and policymakers.  
Input cannot be less than zero.
</t>
        </r>
      </text>
    </comment>
    <comment ref="S124" authorId="0" shapeId="0" xr:uid="{E74E955C-4933-4D1B-9C74-5FEB4BEA6FCD}">
      <text>
        <r>
          <rPr>
            <b/>
            <sz val="14"/>
            <color indexed="81"/>
            <rFont val="Tahoma"/>
            <family val="2"/>
          </rPr>
          <t xml:space="preserve">Note:
</t>
        </r>
        <r>
          <rPr>
            <sz val="14"/>
            <color indexed="81"/>
            <rFont val="Tahoma"/>
            <family val="2"/>
          </rPr>
          <t>Specifies whether the available ITC is realized in a single year or over multiple years. This input will be specified by state-specific law or regulation.
A good resource on available state incentives is:  
http://dsireusa.org/
*See bottom of introduction page for a list of links
Input must be greater than 1 and less than the Project Useful Life.</t>
        </r>
      </text>
    </comment>
    <comment ref="I125" authorId="1" shapeId="0" xr:uid="{E11D78D1-4420-4944-B1CA-60EEBEFF866A}">
      <text>
        <r>
          <rPr>
            <b/>
            <sz val="14"/>
            <color indexed="81"/>
            <rFont val="Tahoma"/>
            <family val="2"/>
          </rPr>
          <t xml:space="preserve">Note:
</t>
        </r>
        <r>
          <rPr>
            <sz val="14"/>
            <color indexed="81"/>
            <rFont val="Tahoma"/>
            <family val="2"/>
          </rPr>
          <t xml:space="preserve">"Property Tax or PILOT" accounts for costs associated with any local taxes incurred by the project. Many states offer tax exemptions for renewable energy systems; to check your local applicability, please visit: http://dsireusa.org/ 
This line can also be used to account for any PILOTs or Payment in Leiu of Taxes. Developers often negotiate a PILOT with the local community to secure a fixed, predictable payment that serves both parties appropriately. This model allows the user to input a year-one Property Tax or PILOT value along with an annual property tax adjsutment factor (see next cell down). As a result, taxes can be modeled as flat, increasing, or decreasing annually depending on the value entered in the adjustment factor cell below.
Input cannot be less than zero.
</t>
        </r>
      </text>
    </comment>
    <comment ref="S125" authorId="0" shapeId="0" xr:uid="{DDD451D3-7211-40CF-ABC6-DC4894D8BB36}">
      <text>
        <r>
          <rPr>
            <b/>
            <sz val="14"/>
            <color indexed="81"/>
            <rFont val="Tahoma"/>
            <family val="2"/>
          </rPr>
          <t xml:space="preserve">Note:
</t>
        </r>
        <r>
          <rPr>
            <sz val="14"/>
            <color indexed="81"/>
            <rFont val="Tahoma"/>
            <family val="2"/>
          </rPr>
          <t xml:space="preserve">Calculates the dollar value of the State Investment Tax Credit, if applicable.
</t>
        </r>
      </text>
    </comment>
    <comment ref="I126" authorId="1" shapeId="0" xr:uid="{B0A6F0EC-F8FF-473F-B76B-2611192F99F2}">
      <text>
        <r>
          <rPr>
            <b/>
            <sz val="14"/>
            <color indexed="81"/>
            <rFont val="Tahoma"/>
            <family val="2"/>
          </rPr>
          <t xml:space="preserve">Note:
</t>
        </r>
        <r>
          <rPr>
            <sz val="14"/>
            <color indexed="81"/>
            <rFont val="Tahoma"/>
            <family val="2"/>
          </rPr>
          <t xml:space="preserve">The Annual Property Tax Adjustment Factor allows the user to specify whether the Year One tax (or PILOT) value will remain fixed and flat, will decrease (a negative percentage value entered in this cell) or increase (a positive percentage value entered in this cell) over time.  </t>
        </r>
        <r>
          <rPr>
            <sz val="8"/>
            <color indexed="81"/>
            <rFont val="Tahoma"/>
            <family val="2"/>
          </rPr>
          <t xml:space="preserve">
</t>
        </r>
      </text>
    </comment>
    <comment ref="S126" authorId="0" shapeId="0" xr:uid="{23699C8E-639D-4C40-A0FD-0AFE55E2BE57}">
      <text>
        <r>
          <rPr>
            <b/>
            <sz val="14"/>
            <color indexed="81"/>
            <rFont val="Tahoma"/>
            <family val="2"/>
          </rPr>
          <t xml:space="preserve">Note: </t>
        </r>
        <r>
          <rPr>
            <sz val="14"/>
            <color indexed="81"/>
            <rFont val="Tahoma"/>
            <family val="2"/>
          </rPr>
          <t xml:space="preserve">
This input cell, the "Performance Based Incentive" or "PBI" is another potential incentive available to some specific projects. The PBI would be separate from a feed-in-tariff, but acts similarly in that it is per unit of production (typically kWh) income to a project.
Some examples of PBIs include the Federal Production Tax Credit (applicable to private projects with tax appetites) and the Federal Renewable Energy Production Incentive (REPI), historically available to some public projects.
</t>
        </r>
      </text>
    </comment>
    <comment ref="I127" authorId="1" shapeId="0" xr:uid="{1EE11076-6732-4E93-8F47-94BD2C5DDDB2}">
      <text>
        <r>
          <rPr>
            <b/>
            <sz val="14"/>
            <color indexed="81"/>
            <rFont val="Tahoma"/>
            <family val="2"/>
          </rPr>
          <t xml:space="preserve">Note:
</t>
        </r>
        <r>
          <rPr>
            <sz val="14"/>
            <color indexed="81"/>
            <rFont val="Tahoma"/>
            <family val="2"/>
          </rPr>
          <t xml:space="preserve">The Land Lease input represents </t>
        </r>
        <r>
          <rPr>
            <b/>
            <u/>
            <sz val="14"/>
            <color indexed="81"/>
            <rFont val="Tahoma"/>
            <family val="2"/>
          </rPr>
          <t>fixed payments</t>
        </r>
        <r>
          <rPr>
            <sz val="14"/>
            <color indexed="81"/>
            <rFont val="Tahoma"/>
            <family val="2"/>
          </rPr>
          <t xml:space="preserve"> to the site host (and possibly other affected parties) for the use of the land on which the project is located.  
Variable royalty payments may be applied in addition to, or in lieu of, the land lease payment through the "Royalties" input below, if applicable.  
Input cannot be less than zero.
</t>
        </r>
      </text>
    </comment>
    <comment ref="S127" authorId="0" shapeId="0" xr:uid="{990D44FA-77C7-4924-B49F-DD1F1C6FE0EA}">
      <text>
        <r>
          <rPr>
            <b/>
            <sz val="14"/>
            <color indexed="81"/>
            <rFont val="Tahoma"/>
            <family val="2"/>
          </rPr>
          <t xml:space="preserve">Note:
</t>
        </r>
        <r>
          <rPr>
            <sz val="14"/>
            <color indexed="81"/>
            <rFont val="Tahoma"/>
            <family val="2"/>
          </rPr>
          <t xml:space="preserve">Impacts tax treatment of PBI if owner is a taxable entity.
</t>
        </r>
      </text>
    </comment>
    <comment ref="I128" authorId="1" shapeId="0" xr:uid="{845383CC-37F8-484E-90BF-9E77B7AEA707}">
      <text>
        <r>
          <rPr>
            <b/>
            <sz val="14"/>
            <color indexed="81"/>
            <rFont val="Tahoma"/>
            <family val="2"/>
          </rPr>
          <t xml:space="preserve">Note:
</t>
        </r>
        <r>
          <rPr>
            <sz val="14"/>
            <color indexed="81"/>
            <rFont val="Tahoma"/>
            <family val="2"/>
          </rPr>
          <t xml:space="preserve">The royalties input accounts for </t>
        </r>
        <r>
          <rPr>
            <b/>
            <u/>
            <sz val="14"/>
            <color indexed="81"/>
            <rFont val="Tahoma"/>
            <family val="2"/>
          </rPr>
          <t>variable</t>
        </r>
        <r>
          <rPr>
            <sz val="14"/>
            <color indexed="81"/>
            <rFont val="Tahoma"/>
            <family val="2"/>
          </rPr>
          <t xml:space="preserve"> payments to site hosts, neighbors, partners, or other parties which may have a stake in the project and which are NOT covered by the fixed "Land Lease" payment. 
Fixed payments may be applied in addition to, or in lieu of, the royalty payment through the "Land Lease" input above, if applicable.  
</t>
        </r>
        <r>
          <rPr>
            <b/>
            <sz val="14"/>
            <color indexed="81"/>
            <rFont val="Tahoma"/>
            <family val="2"/>
          </rPr>
          <t>Inflation is NOT applied to this input</t>
        </r>
        <r>
          <rPr>
            <sz val="14"/>
            <color indexed="81"/>
            <rFont val="Tahoma"/>
            <family val="2"/>
          </rPr>
          <t xml:space="preserve">. However, if tariff escalation is selected, then the assumed royalty payment will increase over time since it is calculated as a function of revenue over time.
If the modeled project's royalty payments are not the same over time, then an average annual royalty payment should be calculated externally and entered in this cell. 
This input cannot be less than zero.
</t>
        </r>
        <r>
          <rPr>
            <sz val="8"/>
            <color indexed="81"/>
            <rFont val="Tahoma"/>
            <family val="2"/>
          </rPr>
          <t xml:space="preserve">
</t>
        </r>
      </text>
    </comment>
    <comment ref="S128" authorId="0" shapeId="0" xr:uid="{858B8CCC-4596-483B-B507-9537652CECCF}">
      <text>
        <r>
          <rPr>
            <b/>
            <sz val="14"/>
            <color indexed="81"/>
            <rFont val="Tahoma"/>
            <family val="2"/>
          </rPr>
          <t xml:space="preserve">Note: </t>
        </r>
        <r>
          <rPr>
            <sz val="14"/>
            <color indexed="81"/>
            <rFont val="Tahoma"/>
            <family val="2"/>
          </rPr>
          <t xml:space="preserve">
This cell denotes the value of the Performance Based Incentive applicable to the project's first year of commercial operation. In some cases, this value will need to be calculated external to the model if such PBI is derived from a "base year" and specified inflation index. The following cells can be used to account for inflation and the maximum term of eligibility.
Input cannot be less than zero.
</t>
        </r>
      </text>
    </comment>
    <comment ref="I129" authorId="0" shapeId="0" xr:uid="{F673FFA4-F533-4344-A2D7-05CBB9B8F35E}">
      <text>
        <r>
          <rPr>
            <b/>
            <sz val="14"/>
            <color indexed="81"/>
            <rFont val="Tahoma"/>
            <family val="2"/>
          </rPr>
          <t xml:space="preserve">Note:
</t>
        </r>
        <r>
          <rPr>
            <sz val="14"/>
            <color indexed="81"/>
            <rFont val="Tahoma"/>
            <family val="2"/>
          </rPr>
          <t xml:space="preserve">This cell calculates the resulting dollar value cost of royalties paid to landowners or other stakeholders based on the input above and project revenue.  It is provided simply as a reference for the user.
</t>
        </r>
        <r>
          <rPr>
            <sz val="8"/>
            <color indexed="81"/>
            <rFont val="Tahoma"/>
            <family val="2"/>
          </rPr>
          <t xml:space="preserve">
</t>
        </r>
      </text>
    </comment>
    <comment ref="S129" authorId="0" shapeId="0" xr:uid="{EFB71E10-7077-433A-B108-C261515EEB6A}">
      <text>
        <r>
          <rPr>
            <b/>
            <sz val="14"/>
            <color indexed="81"/>
            <rFont val="Tahoma"/>
            <family val="2"/>
          </rPr>
          <t>Note:</t>
        </r>
        <r>
          <rPr>
            <sz val="14"/>
            <color indexed="81"/>
            <rFont val="Tahoma"/>
            <family val="2"/>
          </rPr>
          <t xml:space="preserve">
This is the length of time that a project would be eligible for any Performance Based Incentives outlined in the cell immediately above. For example, the Federal Renewable Energy Production Incentive and Production Tax Credit incentives are available for the first 10 years of project operation.
Input cannot be less than zero.
</t>
        </r>
      </text>
    </comment>
    <comment ref="S130" authorId="0" shapeId="0" xr:uid="{A76ABA56-406F-49DE-9325-018FD5208FA2}">
      <text>
        <r>
          <rPr>
            <b/>
            <sz val="14"/>
            <color indexed="81"/>
            <rFont val="Tahoma"/>
            <family val="2"/>
          </rPr>
          <t xml:space="preserve">Note:
</t>
        </r>
        <r>
          <rPr>
            <sz val="14"/>
            <color indexed="81"/>
            <rFont val="Tahoma"/>
            <family val="2"/>
          </rPr>
          <t xml:space="preserve">Performance Based Incentives are often adjusted to account for inflation. For example, the Federal Production Tax Credit (PTC) is adjusted each year to account for changes in the GDP IPD index. This cell can be used as a proxy for the inflation that would apply to any PBI incentive entered above.
This input cannot be left blank.
</t>
        </r>
      </text>
    </comment>
    <comment ref="F131" authorId="0" shapeId="0" xr:uid="{02502141-7D89-4931-BEB7-4D07A3FA8B77}">
      <text>
        <r>
          <rPr>
            <b/>
            <sz val="8"/>
            <color indexed="81"/>
            <rFont val="Tahoma"/>
            <family val="2"/>
          </rPr>
          <t>See "unit" definitions at the bottom of this worksheet.</t>
        </r>
        <r>
          <rPr>
            <sz val="8"/>
            <color indexed="81"/>
            <rFont val="Tahoma"/>
            <family val="2"/>
          </rPr>
          <t xml:space="preserve">
</t>
        </r>
      </text>
    </comment>
    <comment ref="S131" authorId="0" shapeId="0" xr:uid="{7A26B135-2D51-4FE2-AD30-AE515C4D9546}">
      <text>
        <r>
          <rPr>
            <b/>
            <sz val="14"/>
            <color indexed="81"/>
            <rFont val="Tahoma"/>
            <family val="2"/>
          </rPr>
          <t xml:space="preserve">Note:
</t>
        </r>
        <r>
          <rPr>
            <sz val="14"/>
            <color indexed="81"/>
            <rFont val="Tahoma"/>
            <family val="2"/>
          </rPr>
          <t xml:space="preserve">In some cases, due to the nature of the requirements of some Performance Based Incentive programs, project owners are unable to maximize the full revenue stream of the incentive. For example, in the case of the Federal Production Tax Credit (PTC), the project owner may not have sufficienct tax appetite to fully utilize the tax credits. 
This input cell would allow the modeler to account for the owner's inability to fully utilize the PTC and/or the reduction of the PTC (a "haircut") due to the presence of subsidized (below market interest rate) financing.
Input must be between 0% and 100%.
</t>
        </r>
        <r>
          <rPr>
            <sz val="8"/>
            <color indexed="81"/>
            <rFont val="Tahoma"/>
            <family val="2"/>
          </rPr>
          <t xml:space="preserve">
</t>
        </r>
      </text>
    </comment>
    <comment ref="I132" authorId="0" shapeId="0" xr:uid="{7FCEF8B0-AFE6-47FD-A608-1CE83B5916FF}">
      <text>
        <r>
          <rPr>
            <b/>
            <sz val="14"/>
            <color indexed="81"/>
            <rFont val="Tahoma"/>
            <family val="2"/>
          </rPr>
          <t xml:space="preserve">Note:
</t>
        </r>
        <r>
          <rPr>
            <sz val="14"/>
            <color indexed="81"/>
            <rFont val="Tahoma"/>
            <family val="2"/>
          </rPr>
          <t xml:space="preserve">The # of months from construction start to commercial operation. This input cannot be less than zero.
</t>
        </r>
      </text>
    </comment>
    <comment ref="S132" authorId="0" shapeId="0" xr:uid="{92E9CF49-1CFB-4369-81B5-46A025D03E34}">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I133" authorId="0" shapeId="0" xr:uid="{DE60BE44-6C66-445E-83C1-5B9FD4138E89}">
      <text>
        <r>
          <rPr>
            <b/>
            <sz val="14"/>
            <color indexed="81"/>
            <rFont val="Tahoma"/>
            <family val="2"/>
          </rPr>
          <t xml:space="preserve">Note:
</t>
        </r>
        <r>
          <rPr>
            <sz val="14"/>
            <color indexed="81"/>
            <rFont val="Tahoma"/>
            <family val="2"/>
          </rPr>
          <t xml:space="preserve">The annual interest rate on construction debt. This input cannot be less than zero.
</t>
        </r>
      </text>
    </comment>
    <comment ref="I134" authorId="0" shapeId="0" xr:uid="{28B7B399-C302-4FF2-A728-9A52FA00B312}">
      <text>
        <r>
          <rPr>
            <b/>
            <sz val="14"/>
            <color indexed="81"/>
            <rFont val="Tahoma"/>
            <family val="2"/>
          </rPr>
          <t xml:space="preserve">Note:
</t>
        </r>
        <r>
          <rPr>
            <sz val="14"/>
            <color indexed="81"/>
            <rFont val="Tahoma"/>
            <family val="2"/>
          </rPr>
          <t xml:space="preserve">A calculated value showing the interest accrued during the construction period. Rather than requiring the user to define a detailed construction draw-down schedule, this calculation makes the simplifying assumption that the total project cost is spent in equal parts in each month of the construction period.
IDC is calculated on total project cost, assuming that any grants are collected after construction financing is repaid at time of permanent financing.
This cell is only used with the "Intermediate" and "Complex" capital cost options. The "Simple" capital cost option assumes that all project costs, including IDC, are included in the single input.
</t>
        </r>
      </text>
    </comment>
    <comment ref="S134" authorId="0" shapeId="0" xr:uid="{220BAFD6-3102-4105-A6E5-1D83CD752EBC}">
      <text>
        <r>
          <rPr>
            <b/>
            <sz val="14"/>
            <color indexed="81"/>
            <rFont val="Tahoma"/>
            <family val="2"/>
          </rPr>
          <t xml:space="preserve">Note:
</t>
        </r>
        <r>
          <rPr>
            <sz val="14"/>
            <color indexed="81"/>
            <rFont val="Tahoma"/>
            <family val="2"/>
          </rPr>
          <t xml:space="preserve">Include here the total dollar value of any state-specific cash grants or rebates.
Input cannot be less than zero.
</t>
        </r>
      </text>
    </comment>
    <comment ref="S135" authorId="0" shapeId="0" xr:uid="{5762982B-1202-4727-A105-6155E41B6D9D}">
      <text>
        <r>
          <rPr>
            <b/>
            <sz val="14"/>
            <color indexed="81"/>
            <rFont val="Tahoma"/>
            <family val="2"/>
          </rPr>
          <t xml:space="preserve">Note:
</t>
        </r>
        <r>
          <rPr>
            <sz val="14"/>
            <color indexed="81"/>
            <rFont val="Tahoma"/>
            <family val="2"/>
          </rPr>
          <t xml:space="preserve">Select here whether state grants are treated as taxable income.  If no, depreciation basis is reduced. 
</t>
        </r>
      </text>
    </comment>
    <comment ref="F136" authorId="0" shapeId="0" xr:uid="{266333EF-7D4E-4F60-B030-0AF03507190E}">
      <text>
        <r>
          <rPr>
            <b/>
            <sz val="8"/>
            <color indexed="81"/>
            <rFont val="Tahoma"/>
            <family val="2"/>
          </rPr>
          <t>See "unit" definitions at the bottom of this worksheet.</t>
        </r>
        <r>
          <rPr>
            <sz val="8"/>
            <color indexed="81"/>
            <rFont val="Tahoma"/>
            <family val="2"/>
          </rPr>
          <t xml:space="preserve">
</t>
        </r>
      </text>
    </comment>
    <comment ref="I137" authorId="0" shapeId="0" xr:uid="{121766FF-D199-44B0-9CF5-DF80069BF82C}">
      <text>
        <r>
          <rPr>
            <b/>
            <sz val="14"/>
            <color indexed="81"/>
            <rFont val="Tahoma"/>
            <family val="2"/>
          </rPr>
          <t xml:space="preserve">Note:
</t>
        </r>
        <r>
          <rPr>
            <sz val="14"/>
            <color indexed="81"/>
            <rFont val="Tahoma"/>
            <family val="2"/>
          </rPr>
          <t xml:space="preserve">For ease of use and comprehension by a wide range of stakeholders, this model allows the user to define the capital structure, and relies on mortgage-style amortization of the project debt. The "% Debt" input specifies the portion of funds borrowed, as a percentage of the total "hard costs." Equity is assumed to fund the remaining hard costs PLUS all "soft costs" (e.g. transaction costs and funding of initial reserve accounts, if applicable).  This input cannot be less than zero.
Where maximum sustainable leverage is desired, the user must manually adjust the "% Debt" entry upward to the highest point </t>
        </r>
        <r>
          <rPr>
            <b/>
            <i/>
            <sz val="14"/>
            <color indexed="81"/>
            <rFont val="Tahoma"/>
            <family val="2"/>
          </rPr>
          <t>before</t>
        </r>
        <r>
          <rPr>
            <sz val="14"/>
            <color indexed="81"/>
            <rFont val="Tahoma"/>
            <family val="2"/>
          </rPr>
          <t xml:space="preserve"> the DSCRs no longer "Pass."
If a specific % Debt is desired, </t>
        </r>
        <r>
          <rPr>
            <u/>
            <sz val="14"/>
            <color indexed="81"/>
            <rFont val="Tahoma"/>
            <family val="2"/>
          </rPr>
          <t>and such % is higher than the maximum sustainable debt</t>
        </r>
        <r>
          <rPr>
            <sz val="14"/>
            <color indexed="81"/>
            <rFont val="Tahoma"/>
            <family val="2"/>
          </rPr>
          <t xml:space="preserve"> (such that it causes the DSCR to "Fail"), then the user must define the % Debt and then manually adjust the "Target After-Tax Equity IRR" upward until the DSCRs are met.  The user should </t>
        </r>
        <r>
          <rPr>
            <b/>
            <sz val="14"/>
            <color indexed="81"/>
            <rFont val="Tahoma"/>
            <family val="2"/>
          </rPr>
          <t>take note</t>
        </r>
        <r>
          <rPr>
            <sz val="14"/>
            <color indexed="81"/>
            <rFont val="Tahoma"/>
            <family val="2"/>
          </rPr>
          <t xml:space="preserve"> that when leverage becomes very high (and the corresponding equity contribution low), the "Target After-Tax Equity IRR" will need to be adjusted to levels exceeding typical commercial returns </t>
        </r>
        <r>
          <rPr>
            <u/>
            <sz val="14"/>
            <color indexed="81"/>
            <rFont val="Tahoma"/>
            <family val="2"/>
          </rPr>
          <t>in order to maintain the DSCR ratio</t>
        </r>
        <r>
          <rPr>
            <sz val="14"/>
            <color indexed="81"/>
            <rFont val="Tahoma"/>
            <family val="2"/>
          </rPr>
          <t xml:space="preserve"> on such high debt levels.  For this reason, it is not recommended that users solve for the COE associated with a % Debt that is beyond the maximum sustainable leverage.
If a project is expected to be funded either by a pool of corporate funds or back-leveraged after commercial operation, the user might elect to enter 0% in the "% Debt" cell and enter a weighted average cost of capital (WACC) in the "Target After-Tax Equity IRR" cell.
</t>
        </r>
      </text>
    </comment>
    <comment ref="I138" authorId="1" shapeId="0" xr:uid="{7D394B32-0D2A-450A-9023-7A6AC1044F53}">
      <text>
        <r>
          <rPr>
            <b/>
            <sz val="14"/>
            <color indexed="81"/>
            <rFont val="Tahoma"/>
            <family val="2"/>
          </rPr>
          <t>Note:</t>
        </r>
        <r>
          <rPr>
            <sz val="14"/>
            <color indexed="81"/>
            <rFont val="Tahoma"/>
            <family val="2"/>
          </rPr>
          <t xml:space="preserve">
Debt "tenor" (also casually referred to as "term"), is the number of years in the debt repayment schedule.   
Caution: If the project will utilize debt, this value must be greater than zero but less than or equal to the total FIT contract duration.
</t>
        </r>
      </text>
    </comment>
    <comment ref="S138" authorId="0" shapeId="0" xr:uid="{5D917D1C-6271-46E0-89BF-95807C8CC4D9}">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139" authorId="1" shapeId="0" xr:uid="{7778D4D1-D76B-4174-8FE7-E79BE88DBEC3}">
      <text>
        <r>
          <rPr>
            <b/>
            <sz val="14"/>
            <color indexed="81"/>
            <rFont val="Tahoma"/>
            <family val="2"/>
          </rPr>
          <t>Note:</t>
        </r>
        <r>
          <rPr>
            <sz val="14"/>
            <color indexed="81"/>
            <rFont val="Tahoma"/>
            <family val="2"/>
          </rPr>
          <t xml:space="preserve">
The all-in interest rate is the financing rate provided by the bank or other debt investor.
This input cannot be less than zero.
</t>
        </r>
      </text>
    </comment>
    <comment ref="S139" authorId="0" shapeId="0" xr:uid="{75357D91-7B32-4D52-A44A-1D3E0C82F291}">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140" authorId="0" shapeId="0" xr:uid="{05944B9E-5844-4CE6-BF52-C33A985CE989}">
      <text>
        <r>
          <rPr>
            <b/>
            <sz val="14"/>
            <color indexed="81"/>
            <rFont val="Tahoma"/>
            <family val="2"/>
          </rPr>
          <t xml:space="preserve">Note:
</t>
        </r>
        <r>
          <rPr>
            <sz val="14"/>
            <color indexed="81"/>
            <rFont val="Tahoma"/>
            <family val="2"/>
          </rPr>
          <t xml:space="preserve">A one-time fee collected by the lender and calculated as a % of the total loan amount. This value is typically between 1% and 4%.
This input cannot be less than zero.
</t>
        </r>
      </text>
    </comment>
    <comment ref="S140" authorId="0" shapeId="0" xr:uid="{C7FB4E92-8793-4537-8610-5FD1BDC30F67}">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141" authorId="1" shapeId="0" xr:uid="{AC1728E0-65FC-4587-AC51-76B0592A99B9}">
      <text>
        <r>
          <rPr>
            <b/>
            <sz val="14"/>
            <color indexed="81"/>
            <rFont val="Tahoma"/>
            <family val="2"/>
          </rPr>
          <t>Note:</t>
        </r>
        <r>
          <rPr>
            <sz val="14"/>
            <color indexed="81"/>
            <rFont val="Tahoma"/>
            <family val="2"/>
          </rPr>
          <t xml:space="preserve">
The annual Debt Service Coverage Ratio is calculated by dividing the sum of the annual principal and interest payment into that year's operating cash flow. Lenders will require the DSCR to demonstrate the project's ability to easily meet its annual debt service obligation.
Average DSCRs over the life of the loan typically range from 1.2 to 1.5 for private, commercially financed projects, or from 1.1 to 1.3 for publicly owned, bond-financed projects - depending on the level of reserves, or other surety, provided. 
The annual minimum DSCR will depend on the specific terms of the loan and the probability-weighting of the production estimate, but will likely be in the range of 1.0 to 1.3. This input must be greater than 1.
</t>
        </r>
      </text>
    </comment>
    <comment ref="S141" authorId="0" shapeId="0" xr:uid="{1F93659D-85FC-4656-A184-9900A1A037B8}">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142" authorId="0" shapeId="0" xr:uid="{16206EAA-544C-41A8-8994-DBFDBC1753A0}">
      <text>
        <r>
          <rPr>
            <b/>
            <sz val="14"/>
            <color indexed="81"/>
            <rFont val="Tahoma"/>
            <family val="2"/>
          </rPr>
          <t>Note:</t>
        </r>
        <r>
          <rPr>
            <sz val="14"/>
            <color indexed="81"/>
            <rFont val="Tahoma"/>
            <family val="2"/>
          </rPr>
          <t xml:space="preserve">
If "#N/A" appears, F9 should be pressed until the calculated COE achieves it's final value.</t>
        </r>
      </text>
    </comment>
    <comment ref="S142" authorId="0" shapeId="0" xr:uid="{1E567522-4B2F-4F61-BEDC-2E822103AF11}">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143" authorId="1" shapeId="0" xr:uid="{597DA698-36D8-46CE-9DD5-99EC880966B3}">
      <text>
        <r>
          <rPr>
            <b/>
            <sz val="14"/>
            <color indexed="81"/>
            <rFont val="Tahoma"/>
            <family val="2"/>
          </rPr>
          <t>Note:</t>
        </r>
        <r>
          <rPr>
            <sz val="14"/>
            <color indexed="81"/>
            <rFont val="Tahoma"/>
            <family val="2"/>
          </rPr>
          <t xml:space="preserve">
This cell checks that the debt service coverage ratio exceeds the user-defined minimum in each operating year (see note in DSCR cell for definition and rationale for DSCR). If the test "fails", the user must choose from one of several options in order to cure this deficiency (the extent to which these options are available will be specific to each project):
1. reduce the amount of project level debt, 
2. increase the feed-in tariff rate in order to generate cash flow sufficient to meet the bank's assumed coverage requirement.  In the CREST model, </t>
        </r>
        <r>
          <rPr>
            <u/>
            <sz val="14"/>
            <color indexed="81"/>
            <rFont val="Tahoma"/>
            <family val="2"/>
          </rPr>
          <t>this is done by manually increasing the "Target After-Tax Equity IRR."</t>
        </r>
        <r>
          <rPr>
            <sz val="14"/>
            <color indexed="81"/>
            <rFont val="Tahoma"/>
            <family val="2"/>
          </rPr>
          <t xml:space="preserve">
Other possible, but less likely, mechanisms include:
3. increase the loan tenor
4. decrease the interest rate</t>
        </r>
      </text>
    </comment>
    <comment ref="S143" authorId="0" shapeId="0" xr:uid="{875C7197-D6A5-427A-B2F9-2CF416FAB99A}">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144" authorId="1" shapeId="0" xr:uid="{5CF4E0B5-37DE-4AF5-9132-38052EA7B0F3}">
      <text>
        <r>
          <rPr>
            <b/>
            <sz val="14"/>
            <color indexed="81"/>
            <rFont val="Tahoma"/>
            <family val="2"/>
          </rPr>
          <t>Note:</t>
        </r>
        <r>
          <rPr>
            <sz val="14"/>
            <color indexed="81"/>
            <rFont val="Tahoma"/>
            <family val="2"/>
          </rPr>
          <t xml:space="preserve">
The annual Debt Service Coverage Ratio is calculated by dividing the sum of the annual principal and interest payment into that year's operating cash flow. Lenders will require the DSCR to demonstrate the project's ability to easily meet its annual debt service obligation.
</t>
        </r>
        <r>
          <rPr>
            <u/>
            <sz val="14"/>
            <color indexed="81"/>
            <rFont val="Tahoma"/>
            <family val="2"/>
          </rPr>
          <t>Average</t>
        </r>
        <r>
          <rPr>
            <sz val="14"/>
            <color indexed="81"/>
            <rFont val="Tahoma"/>
            <family val="2"/>
          </rPr>
          <t xml:space="preserve"> DSCRs over the life of the loan typically range from 1.2 to 1.5 for private, commercially financed projects, or from 1.1 to 1.3 for publicly owned, bond-financed projects - depending on the level of reserves, or other surety, provided. 
The </t>
        </r>
        <r>
          <rPr>
            <u/>
            <sz val="14"/>
            <color indexed="81"/>
            <rFont val="Tahoma"/>
            <family val="2"/>
          </rPr>
          <t>annual minimum</t>
        </r>
        <r>
          <rPr>
            <sz val="14"/>
            <color indexed="81"/>
            <rFont val="Tahoma"/>
            <family val="2"/>
          </rPr>
          <t xml:space="preserve"> DSCR will depend on the specific terms of the loan and the probability-weighting of the production estimate, but will likely be in the range of 1.0 to 1.3. This input must be greater than 1.
</t>
        </r>
      </text>
    </comment>
    <comment ref="S144" authorId="0" shapeId="0" xr:uid="{C48106D7-6971-4D75-984F-667C529282F5}">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145" authorId="0" shapeId="0" xr:uid="{9F98D4A0-4A18-4C77-AAC6-833469FC65EA}">
      <text>
        <r>
          <rPr>
            <b/>
            <sz val="12"/>
            <color indexed="81"/>
            <rFont val="Tahoma"/>
            <family val="2"/>
          </rPr>
          <t>Note:</t>
        </r>
        <r>
          <rPr>
            <sz val="12"/>
            <color indexed="81"/>
            <rFont val="Tahoma"/>
            <family val="2"/>
          </rPr>
          <t xml:space="preserve">
If "#N/A" appears, F9 should be pressed until the calculated COE achieves it's final value.</t>
        </r>
      </text>
    </comment>
    <comment ref="S145" authorId="0" shapeId="0" xr:uid="{79DCA10D-FB66-4C06-810D-EAF9B275129D}">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146" authorId="1" shapeId="0" xr:uid="{64845CB6-06B6-4712-9163-88CCB327ED95}">
      <text>
        <r>
          <rPr>
            <b/>
            <sz val="14"/>
            <color indexed="81"/>
            <rFont val="Tahoma"/>
            <family val="2"/>
          </rPr>
          <t>Note:</t>
        </r>
        <r>
          <rPr>
            <sz val="14"/>
            <color indexed="81"/>
            <rFont val="Tahoma"/>
            <family val="2"/>
          </rPr>
          <t xml:space="preserve">
This cell checks that the average debt service coverage ratio exceeds the user-defined minimum during the period for which debt is outstanding (see note in DSCR cell for definition and rationale for DSCR). If the test "fails", the user must choose from one of several options in order to cure this deficiency (the extent to which these options are available will be specific to each project):
1. reduce the amount of project level debt, 
2. increase the feed-in tariff rate in order to generate cash flow sufficient to meet the bank's assumed coverage requirement.  In the CREST model, </t>
        </r>
        <r>
          <rPr>
            <u/>
            <sz val="14"/>
            <color indexed="81"/>
            <rFont val="Tahoma"/>
            <family val="2"/>
          </rPr>
          <t>this is done by manually increasing the "Target After-Tax Equity IRR."</t>
        </r>
        <r>
          <rPr>
            <sz val="14"/>
            <color indexed="81"/>
            <rFont val="Tahoma"/>
            <family val="2"/>
          </rPr>
          <t xml:space="preserve">
Other possible, but less likely, mechanisms include:
3. increase the loan tenor
4. decrease the interest rate</t>
        </r>
      </text>
    </comment>
    <comment ref="I147" authorId="0" shapeId="0" xr:uid="{B67EA8A7-C605-4222-80A3-CF22C1896D3F}">
      <text>
        <r>
          <rPr>
            <b/>
            <sz val="14"/>
            <color indexed="81"/>
            <rFont val="Tahoma"/>
            <family val="2"/>
          </rPr>
          <t xml:space="preserve">Note:
</t>
        </r>
        <r>
          <rPr>
            <sz val="14"/>
            <color indexed="81"/>
            <rFont val="Tahoma"/>
            <family val="2"/>
          </rPr>
          <t xml:space="preserve">The portion of total project cost funded from equity investors. This cell is a calculation and not an input. It is calculated as 100% minus the "% Debt" entered above.
</t>
        </r>
      </text>
    </comment>
    <comment ref="P147" authorId="0" shapeId="0" xr:uid="{70CDFAD7-BBCB-4628-8160-D71DE0C23282}">
      <text>
        <r>
          <rPr>
            <b/>
            <sz val="8"/>
            <color indexed="81"/>
            <rFont val="Tahoma"/>
            <family val="2"/>
          </rPr>
          <t>See "unit" definitions at the bottom of this worksheet.</t>
        </r>
        <r>
          <rPr>
            <sz val="8"/>
            <color indexed="81"/>
            <rFont val="Tahoma"/>
            <family val="2"/>
          </rPr>
          <t xml:space="preserve">
</t>
        </r>
      </text>
    </comment>
    <comment ref="I148" authorId="1" shapeId="0" xr:uid="{E4AFA149-AA48-44CF-A624-E6A4389C78B9}">
      <text>
        <r>
          <rPr>
            <b/>
            <sz val="14"/>
            <color indexed="81"/>
            <rFont val="Tahoma"/>
            <family val="2"/>
          </rPr>
          <t>Note:</t>
        </r>
        <r>
          <rPr>
            <sz val="14"/>
            <color indexed="81"/>
            <rFont val="Tahoma"/>
            <family val="2"/>
          </rPr>
          <t xml:space="preserve">
The target after-tax equity IRR is the equity investor's cost of capital -- or "discount rate" -- and is the minimum rate of return that the project owner will seek to attain in order to justify the project compared to alternative investments.  
The user should be explicit in his or her assumption regarding the term over which the target after-tax IRR is assumed to be realized. For example, the user could elect to align the return requirement with the tariff payment duration. In this case, the project useful life should be set equal to the tariff duration in order to calculate the COE associated with the target IRR over that period of time. 
In a second example, the user could elect to align the return requirement with the project's useful life. In this case, the user can either assume a tariff duration equal to the project life, or assume market-based revenue for the period after the tariff and before the end of the assumed project useful life.
This input cannot be less than zero.
If a project is expected to be funded either by a pool of corporate funds or back-leveraged after commercial operation, the user might elect to enter 0% in the "% Debt" cell and enter a weighted average cost of capital (WACC) in the "Target After-Tax Equity IRR" cell.
</t>
        </r>
      </text>
    </comment>
    <comment ref="I149" authorId="0" shapeId="0" xr:uid="{4EB8F1A6-0AAF-4DF7-97C5-08A2E03B6949}">
      <text>
        <r>
          <rPr>
            <b/>
            <sz val="14"/>
            <color indexed="81"/>
            <rFont val="Tahoma"/>
            <family val="2"/>
          </rPr>
          <t xml:space="preserve">Note:
</t>
        </r>
        <r>
          <rPr>
            <sz val="14"/>
            <color indexed="81"/>
            <rFont val="Tahoma"/>
            <family val="2"/>
          </rPr>
          <t xml:space="preserve">The weighted average cost of capital combines the after-tax cost of both equity and debt in proportion to their use, and is calculated here for reference.
</t>
        </r>
      </text>
    </comment>
    <comment ref="S149" authorId="1" shapeId="0" xr:uid="{6DD921B9-B5A6-4A1A-8B8A-033D598219A0}">
      <text>
        <r>
          <rPr>
            <b/>
            <sz val="14"/>
            <color indexed="81"/>
            <rFont val="Tahoma"/>
            <family val="2"/>
          </rPr>
          <t xml:space="preserve">Note:
</t>
        </r>
        <r>
          <rPr>
            <sz val="14"/>
            <color indexed="81"/>
            <rFont val="Tahoma"/>
            <family val="2"/>
          </rPr>
          <t xml:space="preserve">In order to ensure that project owners have sufficient funds to decommission and remove equipment at the end of a project's life, many owners choose to create and fund a reserve account throughout the course of project. 
This input cell allows the modeler to choose whether to pay for project removal by creating and funding a reserve account over the project life by selecting "Operations" or to assume that a project's removal will be funded by selling the equipment, by selecting "Salvage".
</t>
        </r>
      </text>
    </comment>
    <comment ref="I150" authorId="0" shapeId="0" xr:uid="{85212014-8152-42C4-A1C1-21003141A987}">
      <text>
        <r>
          <rPr>
            <b/>
            <sz val="14"/>
            <color indexed="81"/>
            <rFont val="Tahoma"/>
            <family val="2"/>
          </rPr>
          <t xml:space="preserve">Note:
</t>
        </r>
        <r>
          <rPr>
            <sz val="14"/>
            <color indexed="81"/>
            <rFont val="Tahoma"/>
            <family val="2"/>
          </rPr>
          <t>This cell represents the costs of both equity and debt due diligence (if applicable) and other transaction costs.
Input cannot be less than zero.</t>
        </r>
      </text>
    </comment>
    <comment ref="S150" authorId="0" shapeId="0" xr:uid="{686E2ABE-191B-4F15-9D26-A10375ED2D32}">
      <text>
        <r>
          <rPr>
            <b/>
            <sz val="14"/>
            <color indexed="81"/>
            <rFont val="Tahoma"/>
            <family val="2"/>
          </rPr>
          <t>Note:</t>
        </r>
        <r>
          <rPr>
            <sz val="14"/>
            <color indexed="81"/>
            <rFont val="Tahoma"/>
            <family val="2"/>
          </rPr>
          <t xml:space="preserve">
This input cell allows the user to assume the creation of a reserve account. The value entered here will be accounted for in the project's cash flow, and would be funded evenly over the number of years available between the project's commercial operation and the end of its useful life.
Input cannot be less than zero.
</t>
        </r>
      </text>
    </comment>
    <comment ref="P152" authorId="0" shapeId="0" xr:uid="{2CC9DD5F-91CA-4DDC-9288-EFCC938207F0}">
      <text>
        <r>
          <rPr>
            <b/>
            <sz val="8"/>
            <color indexed="81"/>
            <rFont val="Tahoma"/>
            <family val="2"/>
          </rPr>
          <t>See "unit" definitions at the bottom of this worksheet.</t>
        </r>
        <r>
          <rPr>
            <sz val="8"/>
            <color indexed="81"/>
            <rFont val="Tahoma"/>
            <family val="2"/>
          </rPr>
          <t xml:space="preserve">
</t>
        </r>
      </text>
    </comment>
    <comment ref="I153" authorId="0" shapeId="0" xr:uid="{0A400834-D094-4965-AFC1-4D256C36BFEB}">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at the project's "Total Installed Cost."
</t>
        </r>
      </text>
    </comment>
    <comment ref="I154" authorId="0" shapeId="0" xr:uid="{9B6F7993-7137-480C-AD48-01D359B5A9AA}">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t>
        </r>
      </text>
    </comment>
    <comment ref="S154" authorId="0" shapeId="0" xr:uid="{9739019F-4CA2-49DA-B66B-7F1EDA17D91F}">
      <text>
        <r>
          <rPr>
            <b/>
            <sz val="14"/>
            <color indexed="81"/>
            <rFont val="Tahoma"/>
            <family val="2"/>
          </rPr>
          <t>Note:</t>
        </r>
        <r>
          <rPr>
            <sz val="14"/>
            <color indexed="81"/>
            <rFont val="Tahoma"/>
            <family val="2"/>
          </rPr>
          <t xml:space="preserve">
Lenders typically require the project owner to establish a reserve account prior to the commencement of operations to ensure that loan repayments occur in full and on time even if the project has insufficient operating cash flow in a specific period due to lower than expected production, higher costs, or both. The size of the reserve account is typically equal to 6 months of debt service obligation.
Input cannot be less than zero.
</t>
        </r>
      </text>
    </comment>
    <comment ref="I155" authorId="0" shapeId="0" xr:uid="{1F9FF585-B039-49E4-BCB4-D6FD16B50542}">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As previously described, this value excludes the ITC Cash Grant, which must be financed prior to commercial operation.  
</t>
        </r>
      </text>
    </comment>
    <comment ref="S155" authorId="0" shapeId="0" xr:uid="{68A352CB-45BE-4B4F-954F-CE690D59D977}">
      <text>
        <r>
          <rPr>
            <b/>
            <sz val="14"/>
            <color indexed="81"/>
            <rFont val="Tahoma"/>
            <family val="2"/>
          </rPr>
          <t>Note:</t>
        </r>
        <r>
          <rPr>
            <sz val="14"/>
            <color indexed="81"/>
            <rFont val="Tahoma"/>
            <family val="2"/>
          </rPr>
          <t xml:space="preserve">
Calculated value based on the # months of required reserve and the capital structure and associated periodic debt obligation.
</t>
        </r>
      </text>
    </comment>
    <comment ref="I156" authorId="0" shapeId="0" xr:uid="{C8C333FB-4568-4FF2-9864-978EFFF75EF0}">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t>
        </r>
      </text>
    </comment>
    <comment ref="S157" authorId="0" shapeId="0" xr:uid="{E4BDD8E8-B748-4CCD-B703-8CB76B0B329B}">
      <text>
        <r>
          <rPr>
            <b/>
            <sz val="14"/>
            <color indexed="81"/>
            <rFont val="Tahoma"/>
            <family val="2"/>
          </rPr>
          <t>Note:</t>
        </r>
        <r>
          <rPr>
            <sz val="14"/>
            <color indexed="81"/>
            <rFont val="Tahoma"/>
            <family val="2"/>
          </rPr>
          <t xml:space="preserve">
Lenders typically require the project owner to establish a reserve account prior to the commencement of operations to ensure that all O&amp;M expenses can be met even if the project has insufficient operating cash flow in a specific period due to lower than expected production, higher costs, or both. The size of the reserve account is typically 3 to 6 months of O&amp;M expenses, and includes all categories of O&amp;M expenses.
Input cannot be less than zero.
</t>
        </r>
      </text>
    </comment>
    <comment ref="F158" authorId="0" shapeId="0" xr:uid="{DA75C8D9-B466-433C-83AC-1C8A9B3366F3}">
      <text>
        <r>
          <rPr>
            <b/>
            <sz val="8"/>
            <color indexed="81"/>
            <rFont val="Tahoma"/>
            <family val="2"/>
          </rPr>
          <t>See "unit" definitions at the bottom of this worksheet.</t>
        </r>
        <r>
          <rPr>
            <sz val="8"/>
            <color indexed="81"/>
            <rFont val="Tahoma"/>
            <family val="2"/>
          </rPr>
          <t xml:space="preserve">
</t>
        </r>
      </text>
    </comment>
    <comment ref="S158" authorId="0" shapeId="0" xr:uid="{224E95F6-E72A-4E39-B6F8-E421B1CF5732}">
      <text>
        <r>
          <rPr>
            <b/>
            <sz val="14"/>
            <color indexed="81"/>
            <rFont val="Tahoma"/>
            <family val="2"/>
          </rPr>
          <t>Note:</t>
        </r>
        <r>
          <rPr>
            <sz val="14"/>
            <color indexed="81"/>
            <rFont val="Tahoma"/>
            <family val="2"/>
          </rPr>
          <t xml:space="preserve">
Calculated value based on the # months of required reserve and all annual operating expenses.
</t>
        </r>
      </text>
    </comment>
    <comment ref="I159" authorId="0" shapeId="0" xr:uid="{F00FFE03-9061-4A82-89E0-70EC53972400}">
      <text>
        <r>
          <rPr>
            <b/>
            <sz val="14"/>
            <color indexed="81"/>
            <rFont val="Tahoma"/>
            <family val="2"/>
          </rPr>
          <t xml:space="preserve">Note:
</t>
        </r>
        <r>
          <rPr>
            <sz val="14"/>
            <color indexed="81"/>
            <rFont val="Tahoma"/>
            <family val="2"/>
          </rPr>
          <t xml:space="preserve">Defines whether the project owner is a taxable or non-taxable entity. This determines the treatment of income taxes and other tax-related items.
</t>
        </r>
      </text>
    </comment>
    <comment ref="S159" authorId="0" shapeId="0" xr:uid="{4D3B1F7A-18F7-44F8-8DDF-A94DC3B4D77E}">
      <text>
        <r>
          <rPr>
            <b/>
            <sz val="14"/>
            <color indexed="81"/>
            <rFont val="Tahoma"/>
            <family val="2"/>
          </rPr>
          <t>Note:</t>
        </r>
        <r>
          <rPr>
            <sz val="14"/>
            <color indexed="81"/>
            <rFont val="Tahoma"/>
            <family val="2"/>
          </rPr>
          <t xml:space="preserve">
Unused reserves earn interest at this rate. Input cannot be less than zero.
</t>
        </r>
      </text>
    </comment>
    <comment ref="I160" authorId="0" shapeId="0" xr:uid="{51EDD497-3BD1-4124-83D9-D2D62F13C7C4}">
      <text>
        <r>
          <rPr>
            <b/>
            <sz val="14"/>
            <color indexed="81"/>
            <rFont val="Tahoma"/>
            <family val="2"/>
          </rPr>
          <t xml:space="preserve">Note:
</t>
        </r>
        <r>
          <rPr>
            <sz val="14"/>
            <color indexed="81"/>
            <rFont val="Tahoma"/>
            <family val="2"/>
          </rPr>
          <t xml:space="preserve">Defines the project's federal income tax rate, if applicable.
Input cannot be less than zero.
</t>
        </r>
      </text>
    </comment>
    <comment ref="I161" authorId="0" shapeId="0" xr:uid="{51F00B45-97B3-4C6A-A3E9-5D3A1AAFABB8}">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I162" authorId="0" shapeId="0" xr:uid="{326DE7F9-37FA-48E9-80B7-AFA608C8C9B0}">
      <text>
        <r>
          <rPr>
            <b/>
            <sz val="14"/>
            <color indexed="81"/>
            <rFont val="Tahoma"/>
            <family val="2"/>
          </rPr>
          <t xml:space="preserve">Note:
</t>
        </r>
        <r>
          <rPr>
            <sz val="14"/>
            <color indexed="81"/>
            <rFont val="Tahoma"/>
            <family val="2"/>
          </rPr>
          <t xml:space="preserve">Defines the project's state income tax rate, if applicable.
Input cannot be less than zero.
</t>
        </r>
      </text>
    </comment>
    <comment ref="S162" authorId="0" shapeId="0" xr:uid="{925C433C-F3E6-4C52-AFF1-A6D1B3F48CAD}">
      <text>
        <r>
          <rPr>
            <b/>
            <sz val="14"/>
            <color indexed="81"/>
            <rFont val="Tahoma"/>
            <family val="2"/>
          </rPr>
          <t>Note:</t>
        </r>
        <r>
          <rPr>
            <sz val="14"/>
            <color indexed="81"/>
            <rFont val="Tahoma"/>
            <family val="2"/>
          </rPr>
          <t xml:space="preserve">
To qualify for Bonus Depreciation the property must have a recovery period of 20 years or less (under normal federal tax depreciation rules), and the project must commence operation in the year in which bonus depreciation is in effect and under the ownership of the entity claiming the deduction. 
For qualifying projects, the owner is entitled to deduct 50% of the adjusted basis of the property during the tax year the property is first placed in service. The remaining 50% of the adjusted basis of the property is depreciated over the ordinary MACRS depreciation schedule. The bonus depreciation rules do not override the depreciation limit applicable to projects qualifying for the federal ITC. Before calculating depreciation for such a project, including any bonus depreciation, the adjusted basis of the project must be reduced by one-half of the amount of the ITC for which the project qualifies. 
</t>
        </r>
      </text>
    </comment>
    <comment ref="I163" authorId="0" shapeId="0" xr:uid="{B8EB88B0-4CF4-4C61-85CC-57A825246D83}">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P163" authorId="0" shapeId="0" xr:uid="{3802B73B-DD4E-495C-ABCC-3778C2EE310E}">
      <text>
        <r>
          <rPr>
            <b/>
            <sz val="12"/>
            <color indexed="81"/>
            <rFont val="Tahoma"/>
            <family val="2"/>
          </rPr>
          <t>Jason Gifford:</t>
        </r>
        <r>
          <rPr>
            <sz val="12"/>
            <color indexed="81"/>
            <rFont val="Tahoma"/>
            <family val="2"/>
          </rPr>
          <t xml:space="preserve">
The Consolidated Appropriations Act, signed in December 2015, extended the "placed in service" deadline for bonus depreciation. Equipment placed in service before January 1, 2018 can qualify for 50% bonus depreciation. Equipment placed in service during 2018 can qualify for 40% bonus depreciation. And equipment placed in service during 2019 can qualify for 30% bonus depreciation. </t>
        </r>
      </text>
    </comment>
    <comment ref="S163" authorId="0" shapeId="0" xr:uid="{884D9B1B-CB81-4D6D-A09B-08E37831B81C}">
      <text>
        <r>
          <rPr>
            <b/>
            <sz val="14"/>
            <color indexed="81"/>
            <rFont val="Tahoma"/>
            <family val="2"/>
          </rPr>
          <t>Note:</t>
        </r>
        <r>
          <rPr>
            <sz val="14"/>
            <color indexed="81"/>
            <rFont val="Tahoma"/>
            <family val="2"/>
          </rPr>
          <t xml:space="preserve">
This input allows the user to define the bonus depreciation % applied in Year 1, if applicable.  Historically, federal bonus depreciation has been 50% of the eligible cost basis (after taking into account reductions in such cost basis for the ITC, if applicable).  
Input cannot be less than zero.
</t>
        </r>
      </text>
    </comment>
    <comment ref="I164" authorId="0" shapeId="0" xr:uid="{A4A0AE99-69ED-4C76-9483-55BD4452B29D}">
      <text>
        <r>
          <rPr>
            <b/>
            <sz val="14"/>
            <color indexed="81"/>
            <rFont val="Tahoma"/>
            <family val="2"/>
          </rPr>
          <t xml:space="preserve">Note:
</t>
        </r>
        <r>
          <rPr>
            <sz val="14"/>
            <color indexed="81"/>
            <rFont val="Tahoma"/>
            <family val="2"/>
          </rPr>
          <t xml:space="preserve">Takes into account the interaction between federal and state tax rates. This is a calculated value.
</t>
        </r>
      </text>
    </comment>
    <comment ref="I165" authorId="0" shapeId="0" xr:uid="{090E7A8C-2519-4EC5-968A-FFCA4FF31E3C}">
      <text>
        <r>
          <rPr>
            <b/>
            <sz val="14"/>
            <color indexed="81"/>
            <rFont val="Tahoma"/>
            <family val="2"/>
          </rPr>
          <t xml:space="preserve">Note:
</t>
        </r>
        <r>
          <rPr>
            <sz val="14"/>
            <color indexed="81"/>
            <rFont val="Tahoma"/>
            <family val="2"/>
          </rPr>
          <t>Depreciation accounts for the "use" of equipment for tax purposes. The depreciation inputs are provided in the table to the right and on the Complex Capital Costs tab when this option is selected.</t>
        </r>
      </text>
    </comment>
    <comment ref="AB166" authorId="0" shapeId="0" xr:uid="{1A0F88E7-3FE0-434E-BDEF-D2495376A13A}">
      <text>
        <r>
          <rPr>
            <b/>
            <sz val="14"/>
            <color indexed="81"/>
            <rFont val="Tahoma"/>
            <family val="2"/>
          </rPr>
          <t>Note:</t>
        </r>
        <r>
          <rPr>
            <sz val="14"/>
            <color indexed="81"/>
            <rFont val="Tahoma"/>
            <family val="2"/>
          </rPr>
          <t xml:space="preserve">
When the "Simple" capital cost option is selected, the depreciation of total project costs is divided among the classifications using this row. The depreciation options associated with other levels of cost detail will be hidden.
</t>
        </r>
        <r>
          <rPr>
            <b/>
            <sz val="14"/>
            <color indexed="81"/>
            <rFont val="Tahoma"/>
            <family val="2"/>
          </rPr>
          <t xml:space="preserve">This row must sum to 100%.
</t>
        </r>
      </text>
    </comment>
    <comment ref="AB167" authorId="0" shapeId="0" xr:uid="{CE732E79-8221-4C43-8C77-DA8AECE627AD}">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168" authorId="0" shapeId="0" xr:uid="{861C80BD-C35E-4DE8-BF11-D5280D743BCC}">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169" authorId="0" shapeId="0" xr:uid="{883EB9C7-ACFF-47D3-9A31-0EF46AE02F4D}">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170" authorId="0" shapeId="0" xr:uid="{889AD245-476B-4957-AB65-DB4C558E8E0B}">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171" authorId="0" shapeId="0" xr:uid="{379630FC-A2C0-482C-A708-7A8A9FCD4781}">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172" authorId="0" shapeId="0" xr:uid="{FD9F8EBB-1A60-4067-9921-E2913BD6B8CE}">
      <text>
        <r>
          <rPr>
            <b/>
            <sz val="14"/>
            <color indexed="81"/>
            <rFont val="Tahoma"/>
            <family val="2"/>
          </rPr>
          <t>Note:</t>
        </r>
        <r>
          <rPr>
            <sz val="14"/>
            <color indexed="81"/>
            <rFont val="Tahoma"/>
            <family val="2"/>
          </rPr>
          <t xml:space="preserve">
When the "Complex" capital cost option is selected, each line items is assigned its own depreciation classification using a drop-down menu on the Complex Capital Costs tab.
</t>
        </r>
      </text>
    </comment>
    <comment ref="C177" authorId="0" shapeId="0" xr:uid="{BDD036D7-A02C-48A1-883B-EFA4C1417976}">
      <text>
        <r>
          <rPr>
            <sz val="14"/>
            <color indexed="81"/>
            <rFont val="Tahoma"/>
            <family val="2"/>
          </rPr>
          <t xml:space="preserve">The "Check" column evaluates whether or not values have been enterred in all required fields.  Green denotes an accepted entry in a required field or a calculation for which the minimum required precedents have been satisfied.  Red denotes the absence of an entry in a required field, or a calculation for which the minimum required precendents have NOT been satisfied.
</t>
        </r>
        <r>
          <rPr>
            <b/>
            <sz val="14"/>
            <color indexed="81"/>
            <rFont val="Tahoma"/>
            <family val="2"/>
          </rPr>
          <t>Please note</t>
        </r>
        <r>
          <rPr>
            <sz val="14"/>
            <color indexed="81"/>
            <rFont val="Tahoma"/>
            <family val="2"/>
          </rPr>
          <t xml:space="preserve"> that while the "Check" column ensures the population of all required fields, this column does NOT validate the magnitude of such entries.  It is the model user's responsibility to provide inputs which accurately represent the project being modeled.  In some cases, a range of typical values for a specified input are provided in that input's "Notes" cell.</t>
        </r>
      </text>
    </comment>
    <comment ref="I177" authorId="0" shapeId="0" xr:uid="{D84B1782-64CB-4DE2-AE28-7DC0BC022259}">
      <text>
        <r>
          <rPr>
            <sz val="14"/>
            <color indexed="81"/>
            <rFont val="Tahoma"/>
            <family val="2"/>
          </rPr>
          <t xml:space="preserve">Each cell in the "Notes" column provides a brief description of the input in the corresponding row, its application within the model, and (in some cases) the range of values that might be expected to populate that  input cell.  It is the model user's responsibility, however, to research and validate the applicability of, and appropriate value for, each input.
</t>
        </r>
        <r>
          <rPr>
            <sz val="8"/>
            <color indexed="81"/>
            <rFont val="Tahoma"/>
            <family val="2"/>
          </rPr>
          <t xml:space="preserve">
</t>
        </r>
      </text>
    </comment>
    <comment ref="M177" authorId="0" shapeId="0" xr:uid="{E64C74BF-94B8-4699-9204-DDBA92820A3E}">
      <text>
        <r>
          <rPr>
            <sz val="14"/>
            <color indexed="81"/>
            <rFont val="Tahoma"/>
            <family val="2"/>
          </rPr>
          <t xml:space="preserve">The "Check" column evaluates whether or not values have been enterred in all required fields.  Green denotes an accepted entry in a required field or a calculation for which the minimum required precedents have been satisfied.  Red denotes the absence of an entry in a required field, or a calculation for which the minimum required precendents have NOT been satisfied.
</t>
        </r>
        <r>
          <rPr>
            <b/>
            <sz val="14"/>
            <color indexed="81"/>
            <rFont val="Tahoma"/>
            <family val="2"/>
          </rPr>
          <t>Please note</t>
        </r>
        <r>
          <rPr>
            <sz val="14"/>
            <color indexed="81"/>
            <rFont val="Tahoma"/>
            <family val="2"/>
          </rPr>
          <t xml:space="preserve"> that while the "Check" column ensures the population of all required fields, this column does NOT validate the magnitude of such entries.  It is the model user's responsibility to provide inputs which accurately represent the project being modeled.  In some cases, a range of typical values for a specified input are provided in that input's "Notes" cell.</t>
        </r>
      </text>
    </comment>
    <comment ref="S177" authorId="0" shapeId="0" xr:uid="{9EC6601B-1641-4ABB-8CAB-3AE820D32518}">
      <text>
        <r>
          <rPr>
            <sz val="14"/>
            <color indexed="81"/>
            <rFont val="Tahoma"/>
            <family val="2"/>
          </rPr>
          <t>Each cell in the "Notes" column provides a brief description of the input in the corresponding row, its application within the model, and (in some cases) the range of values that might be expected to populate that  input cell. It is the model user's responsibility, however, to research and validate the applicability of, and appropriate value for, each input.</t>
        </r>
        <r>
          <rPr>
            <sz val="8"/>
            <color indexed="81"/>
            <rFont val="Tahoma"/>
            <family val="2"/>
          </rPr>
          <t xml:space="preserve">
</t>
        </r>
      </text>
    </comment>
    <comment ref="F179" authorId="0" shapeId="0" xr:uid="{4F7AC544-C787-4B76-A516-7F1675C70D7A}">
      <text>
        <r>
          <rPr>
            <b/>
            <sz val="8"/>
            <color indexed="81"/>
            <rFont val="Tahoma"/>
            <family val="2"/>
          </rPr>
          <t>See "unit" definitions at the bottom of this worksheet.</t>
        </r>
        <r>
          <rPr>
            <sz val="8"/>
            <color indexed="81"/>
            <rFont val="Tahoma"/>
            <family val="2"/>
          </rPr>
          <t xml:space="preserve">
</t>
        </r>
      </text>
    </comment>
    <comment ref="P179" authorId="0" shapeId="0" xr:uid="{E79F3700-4E2A-4891-9AB9-60E87B311688}">
      <text>
        <r>
          <rPr>
            <b/>
            <sz val="8"/>
            <color indexed="81"/>
            <rFont val="Tahoma"/>
            <family val="2"/>
          </rPr>
          <t>See "unit" definitions at the bottom of this worksheet.</t>
        </r>
        <r>
          <rPr>
            <sz val="8"/>
            <color indexed="81"/>
            <rFont val="Tahoma"/>
            <family val="2"/>
          </rPr>
          <t xml:space="preserve">
</t>
        </r>
      </text>
    </comment>
    <comment ref="I180" authorId="1" shapeId="0" xr:uid="{184CC682-4DAA-4752-BFE4-DEB6B92FC337}">
      <text>
        <r>
          <rPr>
            <b/>
            <sz val="14"/>
            <color indexed="81"/>
            <rFont val="Tahoma"/>
            <family val="2"/>
          </rPr>
          <t>Note:</t>
        </r>
        <r>
          <rPr>
            <sz val="14"/>
            <color indexed="81"/>
            <rFont val="Tahoma"/>
            <family val="2"/>
          </rPr>
          <t xml:space="preserve">
This is the aggregate nameplate rating for the entire generating facility.
Input must be greater than zero.
</t>
        </r>
      </text>
    </comment>
    <comment ref="S180" authorId="1" shapeId="0" xr:uid="{2A76C679-4F9F-4B50-8BF0-DFE88927D2BC}">
      <text>
        <r>
          <rPr>
            <b/>
            <sz val="14"/>
            <color indexed="81"/>
            <rFont val="Tahoma"/>
            <family val="2"/>
          </rPr>
          <t xml:space="preserve">Note:
</t>
        </r>
        <r>
          <rPr>
            <sz val="14"/>
            <color indexed="81"/>
            <rFont val="Tahoma"/>
            <family val="2"/>
          </rPr>
          <t xml:space="preserve">The FIT contract length is the number of years for which the rate specified by this model is available. This term is established by policymakers and must be less than or equal to the project's useful life.  
The contract duration is also different than the debt tenor (if applicable), which is specified in the Permanent Financing section below.
</t>
        </r>
      </text>
    </comment>
    <comment ref="I181" authorId="1" shapeId="0" xr:uid="{42442268-34EE-48A8-962B-88607E46F547}">
      <text>
        <r>
          <rPr>
            <b/>
            <sz val="14"/>
            <color indexed="81"/>
            <rFont val="Tahoma"/>
            <family val="2"/>
          </rPr>
          <t>Note:</t>
        </r>
        <r>
          <rPr>
            <sz val="14"/>
            <color indexed="81"/>
            <rFont val="Tahoma"/>
            <family val="2"/>
          </rPr>
          <t xml:space="preserve">
Capacity Factor is the % representation of the actual production vs. the theoretical maximum annual production of an energy project. This model requires the input of a </t>
        </r>
        <r>
          <rPr>
            <b/>
            <sz val="14"/>
            <color indexed="81"/>
            <rFont val="Tahoma"/>
            <family val="2"/>
          </rPr>
          <t>Net Capacity Factor</t>
        </r>
        <r>
          <rPr>
            <sz val="14"/>
            <color indexed="81"/>
            <rFont val="Tahoma"/>
            <family val="2"/>
          </rPr>
          <t xml:space="preserve">, meaning that the estimate of actual energy production should take into account all electricity losses (including those incurred between the generating facility and the contract delivery point), scheduled and unscheduled maintenance, forced outages, wake effects, icing, and any other factors that could reduce production.
Wind projects typically have a capacity factor between 25% and 40% depending on region and site-specific topography. 
Input must be between 0% and 100%.
</t>
        </r>
      </text>
    </comment>
    <comment ref="S181" authorId="1" shapeId="0" xr:uid="{1721F5BC-84D0-4A43-A704-7D76D85FBE1D}">
      <text>
        <r>
          <rPr>
            <b/>
            <sz val="14"/>
            <color indexed="81"/>
            <rFont val="Tahoma"/>
            <family val="2"/>
          </rPr>
          <t xml:space="preserve">Note:
</t>
        </r>
        <r>
          <rPr>
            <sz val="14"/>
            <color indexed="81"/>
            <rFont val="Tahoma"/>
            <family val="2"/>
          </rPr>
          <t xml:space="preserve">This is the portion (%) of the tariff which is subject to annual escalation.  
Program administrators may determine that some or all of the tariff rate should be escalated to reflect the uncertainty associated with the future cost of owning and operating an electricity generating facility. This input is separate from the inflation assumed to apply to certain O&amp;M expenses, which is provided as an input in the O&amp;M section below.
Input must be between 0% and 100%.
</t>
        </r>
      </text>
    </comment>
    <comment ref="I182" authorId="1" shapeId="0" xr:uid="{9978D4BD-101F-4289-9DDA-E7E3D7F74A24}">
      <text>
        <r>
          <rPr>
            <b/>
            <sz val="14"/>
            <color indexed="81"/>
            <rFont val="Tahoma"/>
            <family val="2"/>
          </rPr>
          <t>Note:</t>
        </r>
        <r>
          <rPr>
            <sz val="14"/>
            <color indexed="81"/>
            <rFont val="Tahoma"/>
            <family val="2"/>
          </rPr>
          <t xml:space="preserve">
This is a calculation, based on the system size and capacity factor provided above. 
</t>
        </r>
      </text>
    </comment>
    <comment ref="S182" authorId="1" shapeId="0" xr:uid="{8714BA83-AEC5-45BC-902C-D33FEB922897}">
      <text>
        <r>
          <rPr>
            <b/>
            <sz val="14"/>
            <color indexed="81"/>
            <rFont val="Tahoma"/>
            <family val="2"/>
          </rPr>
          <t xml:space="preserve">Note:
</t>
        </r>
        <r>
          <rPr>
            <sz val="14"/>
            <color indexed="81"/>
            <rFont val="Tahoma"/>
            <family val="2"/>
          </rPr>
          <t xml:space="preserve">To calculate a </t>
        </r>
        <r>
          <rPr>
            <b/>
            <sz val="14"/>
            <color indexed="81"/>
            <rFont val="Tahoma"/>
            <family val="2"/>
          </rPr>
          <t>nominal levelized tariff rate</t>
        </r>
        <r>
          <rPr>
            <sz val="14"/>
            <color indexed="81"/>
            <rFont val="Tahoma"/>
            <family val="2"/>
          </rPr>
          <t xml:space="preserve">, the "feed-in tariff escalation rate" field should be </t>
        </r>
        <r>
          <rPr>
            <b/>
            <sz val="14"/>
            <color indexed="81"/>
            <rFont val="Tahoma"/>
            <family val="2"/>
          </rPr>
          <t>set to zero</t>
        </r>
        <r>
          <rPr>
            <sz val="14"/>
            <color indexed="81"/>
            <rFont val="Tahoma"/>
            <family val="2"/>
          </rPr>
          <t>.</t>
        </r>
        <r>
          <rPr>
            <b/>
            <sz val="14"/>
            <color indexed="81"/>
            <rFont val="Tahoma"/>
            <family val="2"/>
          </rPr>
          <t xml:space="preserve">
</t>
        </r>
        <r>
          <rPr>
            <sz val="14"/>
            <color indexed="81"/>
            <rFont val="Tahoma"/>
            <family val="2"/>
          </rPr>
          <t xml:space="preserve">Where applied, tariff rate escalation is intended to serve as a risk mitigating tool, at least partially protecting the project investor from the uncertainty associated with the future cost of owning and operating the renewable energy facility. The escalation rate can be used to assume a year over year increase in all, or a portion, of the per unit payment provided to eligible generators. This concept is separate from inflationary adjustments to future operating cost assumptions -- which are input below.
This rate is applied annually.  Note that in this model, calendar years and tariff years are aligned.
</t>
        </r>
        <r>
          <rPr>
            <b/>
            <sz val="14"/>
            <color indexed="81"/>
            <rFont val="Tahoma"/>
            <family val="2"/>
          </rPr>
          <t>Caution:</t>
        </r>
        <r>
          <rPr>
            <sz val="14"/>
            <color indexed="81"/>
            <rFont val="Tahoma"/>
            <family val="2"/>
          </rPr>
          <t xml:space="preserve"> A value must be entered into this cell in order for the model to function properly. The input can be positive or negative (if the FIT value decreases over time), and a typical value may fall between 0% and 5%.  
</t>
        </r>
      </text>
    </comment>
    <comment ref="I183" authorId="1" shapeId="0" xr:uid="{0884EA6A-1880-41EB-9C34-35E39AF05E5B}">
      <text>
        <r>
          <rPr>
            <b/>
            <sz val="14"/>
            <color indexed="81"/>
            <rFont val="Tahoma"/>
            <family val="2"/>
          </rPr>
          <t>Note:</t>
        </r>
        <r>
          <rPr>
            <sz val="14"/>
            <color indexed="81"/>
            <rFont val="Tahoma"/>
            <family val="2"/>
          </rPr>
          <t xml:space="preserve">
The natural aging of the mechanical components of a wind turbine generator may lead to a drop in turbine availability (or efficiency), and therefore production, over time.  
This input allows the user to model the potential for such degradation, which may be between 0% and 2% per year.
</t>
        </r>
        <r>
          <rPr>
            <b/>
            <sz val="14"/>
            <color indexed="81"/>
            <rFont val="Tahoma"/>
            <family val="2"/>
          </rPr>
          <t>If the modeled "Net Capacity Factor" is intented to take long-term average availability into account, then the user may wish to enter 0% in the Annual Production Degradation field.</t>
        </r>
        <r>
          <rPr>
            <sz val="14"/>
            <color indexed="81"/>
            <rFont val="Tahoma"/>
            <family val="2"/>
          </rPr>
          <t xml:space="preserve">
Input must be =&gt; 0%.
</t>
        </r>
      </text>
    </comment>
    <comment ref="I184" authorId="1" shapeId="0" xr:uid="{B3345A98-04CF-49FB-8D62-2B0B08EFC33D}">
      <text>
        <r>
          <rPr>
            <b/>
            <sz val="14"/>
            <color indexed="81"/>
            <rFont val="Tahoma"/>
            <family val="2"/>
          </rPr>
          <t xml:space="preserve">Note:
</t>
        </r>
        <r>
          <rPr>
            <sz val="14"/>
            <color indexed="81"/>
            <rFont val="Tahoma"/>
            <family val="2"/>
          </rPr>
          <t xml:space="preserve">The Project Useful Life is the number of years that the project is expected to be fully operational, reliably delivering electricity to the grid, and generating revenue. This concept is different from the FIT Contract Length, which is administratively determined by policymakers. These two values may be the same if a FIT contract is offered for the project's entire expected useful life. This approach is likely to generate the lowest tariff rate, while successfully attracting investors to renewable energy projects.  
The CREST model is built for a maximum Project Useful Life of 30 years.
Input must be greater than 0 and less than or equal to 30.
</t>
        </r>
      </text>
    </comment>
    <comment ref="S184" authorId="1" shapeId="0" xr:uid="{1B7D0118-9E2B-4682-AD23-D7CA0CAC668D}">
      <text>
        <r>
          <rPr>
            <b/>
            <sz val="14"/>
            <color indexed="81"/>
            <rFont val="Tahoma"/>
            <family val="2"/>
          </rPr>
          <t xml:space="preserve">Note:
</t>
        </r>
        <r>
          <rPr>
            <sz val="14"/>
            <color indexed="81"/>
            <rFont val="Tahoma"/>
            <family val="2"/>
          </rPr>
          <t>If the designated "FIT Contract Length" is less than the defined "Project Useful Life", then this grouping of inputs is used to calculate the project's market-based revenue during the period from FIT contract expiration to the end of the project's life.</t>
        </r>
        <r>
          <rPr>
            <b/>
            <sz val="14"/>
            <color indexed="81"/>
            <rFont val="Tahoma"/>
            <family val="2"/>
          </rPr>
          <t xml:space="preserve">
</t>
        </r>
        <r>
          <rPr>
            <sz val="14"/>
            <color indexed="81"/>
            <rFont val="Tahoma"/>
            <family val="2"/>
          </rPr>
          <t xml:space="preserve">
</t>
        </r>
      </text>
    </comment>
    <comment ref="S185" authorId="1" shapeId="0" xr:uid="{A2A86FF3-68C4-461C-9795-6E9AC68E5007}">
      <text>
        <r>
          <rPr>
            <b/>
            <sz val="14"/>
            <color indexed="81"/>
            <rFont val="Tahoma"/>
            <family val="2"/>
          </rPr>
          <t xml:space="preserve">Note:
</t>
        </r>
        <r>
          <rPr>
            <sz val="14"/>
            <color indexed="81"/>
            <rFont val="Tahoma"/>
            <family val="2"/>
          </rPr>
          <t>Selecting "Year One" forecasts the total market value of production based on an estimate of that value in the project's first year of commercial operation and a user-defined escalation rate.  
Selecting "Year-by-Year" enables the user to enter unique annual values for the period after the FIT expires and before the end of the project's useful life.</t>
        </r>
        <r>
          <rPr>
            <b/>
            <sz val="14"/>
            <color indexed="81"/>
            <rFont val="Tahoma"/>
            <family val="2"/>
          </rPr>
          <t xml:space="preserve">
</t>
        </r>
        <r>
          <rPr>
            <sz val="14"/>
            <color indexed="81"/>
            <rFont val="Tahoma"/>
            <family val="2"/>
          </rPr>
          <t xml:space="preserve">
</t>
        </r>
      </text>
    </comment>
    <comment ref="F186" authorId="0" shapeId="0" xr:uid="{908B0949-F7C3-4039-8974-B19B183E5A80}">
      <text>
        <r>
          <rPr>
            <b/>
            <sz val="8"/>
            <color indexed="81"/>
            <rFont val="Tahoma"/>
            <family val="2"/>
          </rPr>
          <t>See "unit" definitions at the bottom of this worksheet.</t>
        </r>
        <r>
          <rPr>
            <sz val="8"/>
            <color indexed="81"/>
            <rFont val="Tahoma"/>
            <family val="2"/>
          </rPr>
          <t xml:space="preserve">
</t>
        </r>
      </text>
    </comment>
    <comment ref="S186" authorId="1" shapeId="0" xr:uid="{DC1ED5B9-4431-4134-8675-717EF93F7B49}">
      <text>
        <r>
          <rPr>
            <b/>
            <sz val="14"/>
            <color indexed="81"/>
            <rFont val="Tahoma"/>
            <family val="2"/>
          </rPr>
          <t xml:space="preserve">Note:
</t>
        </r>
        <r>
          <rPr>
            <sz val="14"/>
            <color indexed="81"/>
            <rFont val="Tahoma"/>
            <family val="2"/>
          </rPr>
          <t xml:space="preserve">This is the </t>
        </r>
        <r>
          <rPr>
            <b/>
            <sz val="14"/>
            <color indexed="81"/>
            <rFont val="Tahoma"/>
            <family val="2"/>
          </rPr>
          <t>combined</t>
        </r>
        <r>
          <rPr>
            <sz val="14"/>
            <color indexed="81"/>
            <rFont val="Tahoma"/>
            <family val="2"/>
          </rPr>
          <t xml:space="preserve"> (or "bundled") market value of energy + capacity + Renewable Energy Credtis (RECs) in the same year in which the project's first enters commercial operation.
This input must be greater than zero.
</t>
        </r>
      </text>
    </comment>
    <comment ref="I187" authorId="1" shapeId="0" xr:uid="{60273B05-6FDF-4063-8894-047250C5CD7C}">
      <text>
        <r>
          <rPr>
            <b/>
            <sz val="14"/>
            <color indexed="81"/>
            <rFont val="Tahoma"/>
            <family val="2"/>
          </rPr>
          <t>Note:</t>
        </r>
        <r>
          <rPr>
            <sz val="14"/>
            <color indexed="81"/>
            <rFont val="Tahoma"/>
            <family val="2"/>
          </rPr>
          <t xml:space="preserve">
This model alllows the user to input system cost at 1 of 3 levels of detail: "simple", "intermediate" or "complex." Simple offers a single input in $/kW, Intermediate offers five cost subcategories in total dollars, and Complex offers line-by-line project costing with user-defined categories and costs per line-item.  
Select your preferred method and use the cells below to enter your cost information. If you choose the "Complex" option, you will need to follow the link below to the "Complex Capital Costs" tab.</t>
        </r>
      </text>
    </comment>
    <comment ref="S187" authorId="1" shapeId="0" xr:uid="{C83B50DF-10DD-4BD5-98D6-F1893B68855E}">
      <text>
        <r>
          <rPr>
            <b/>
            <sz val="14"/>
            <color indexed="81"/>
            <rFont val="Tahoma"/>
            <family val="2"/>
          </rPr>
          <t xml:space="preserve">Note:
</t>
        </r>
        <r>
          <rPr>
            <sz val="14"/>
            <color indexed="81"/>
            <rFont val="Tahoma"/>
            <family val="2"/>
          </rPr>
          <t xml:space="preserve">When the "Year One" forecast methodology is selected, this is the user-defined escalation rate at which the market value of production is expected to change.
Input must be greater than zero.
</t>
        </r>
      </text>
    </comment>
    <comment ref="I188" authorId="1" shapeId="0" xr:uid="{579006FA-EAEE-4266-AB4D-29A856A2AACF}">
      <text>
        <r>
          <rPr>
            <b/>
            <sz val="14"/>
            <color indexed="81"/>
            <rFont val="Tahoma"/>
            <family val="2"/>
          </rPr>
          <t>Note:</t>
        </r>
        <r>
          <rPr>
            <sz val="14"/>
            <color indexed="81"/>
            <rFont val="Tahoma"/>
            <family val="2"/>
          </rPr>
          <t xml:space="preserve">
When "Simple" is selected in the Cost Level of Detail cell, this "Total Installed Cost" row represents the total expected all-in project cost, which should include all hardware, balance of plant, interconnection, design, construction, permitting, development (including developer fee), interest during construction and financing costs. This figure should not account for any tax incentives, grants, or other cash incentives, each of which will be addressed elsewhere in the model. This figure should, however, reflect any applicable sales tax or exemptions thereof.
Input must be greater than zero.
</t>
        </r>
      </text>
    </comment>
    <comment ref="S188" authorId="1" shapeId="0" xr:uid="{68D3D7FD-AD4E-4DAA-BA73-454AF7F0EC92}">
      <text>
        <r>
          <rPr>
            <b/>
            <sz val="14"/>
            <color indexed="81"/>
            <rFont val="Tahoma"/>
            <family val="2"/>
          </rPr>
          <t xml:space="preserve">Note:
</t>
        </r>
        <r>
          <rPr>
            <sz val="14"/>
            <color indexed="81"/>
            <rFont val="Tahoma"/>
            <family val="2"/>
          </rPr>
          <t xml:space="preserve">When "Year-by-Year" market value of production forecast is selected, this link brings the user to another worksheet on which unique annual values may be entered.
</t>
        </r>
      </text>
    </comment>
    <comment ref="I189" authorId="1" shapeId="0" xr:uid="{45A22EAD-59F1-4854-8FDC-847AA802F059}">
      <text>
        <r>
          <rPr>
            <b/>
            <sz val="14"/>
            <color indexed="81"/>
            <rFont val="Tahoma"/>
            <family val="2"/>
          </rPr>
          <t>Note:</t>
        </r>
        <r>
          <rPr>
            <sz val="14"/>
            <color indexed="81"/>
            <rFont val="Tahoma"/>
            <family val="2"/>
          </rPr>
          <t xml:space="preserve">
"Generation Equipment" should include hardware such as the generator, blades and tower.  
Caution: the model assumes that if "Intermediate" is selected as the level of detail section, the "Generation Equipment" row must have a value greater than zero. 
</t>
        </r>
      </text>
    </comment>
    <comment ref="I190" authorId="1" shapeId="0" xr:uid="{48F22855-6B58-471E-AB3C-187A4B832424}">
      <text>
        <r>
          <rPr>
            <b/>
            <sz val="14"/>
            <color indexed="81"/>
            <rFont val="Tahoma"/>
            <family val="2"/>
          </rPr>
          <t>Note:</t>
        </r>
        <r>
          <rPr>
            <sz val="14"/>
            <color indexed="81"/>
            <rFont val="Tahoma"/>
            <family val="2"/>
          </rPr>
          <t xml:space="preserve">
Balance of Plant (also known as Balance of System) represents all infrastructure, site prep and labor supporting the installation of the generation equipment. BOP costs include foundations, mounting devices, other hardware, and labor not already accounted for in the "Generation Equipment" row.
Input cannot be less than zero.
</t>
        </r>
      </text>
    </comment>
    <comment ref="P190" authorId="0" shapeId="0" xr:uid="{81153E6D-91F7-4A5A-A66E-6AB96DCE3B4D}">
      <text>
        <r>
          <rPr>
            <b/>
            <sz val="8"/>
            <color indexed="81"/>
            <rFont val="Tahoma"/>
            <family val="2"/>
          </rPr>
          <t>See "unit" definitions at the bottom of this worksheet.</t>
        </r>
        <r>
          <rPr>
            <sz val="8"/>
            <color indexed="81"/>
            <rFont val="Tahoma"/>
            <family val="2"/>
          </rPr>
          <t xml:space="preserve">
</t>
        </r>
      </text>
    </comment>
    <comment ref="I191" authorId="1" shapeId="0" xr:uid="{D369E082-2EF3-44FB-8BC9-95A1788E5020}">
      <text>
        <r>
          <rPr>
            <b/>
            <sz val="14"/>
            <color indexed="81"/>
            <rFont val="Tahoma"/>
            <family val="2"/>
          </rPr>
          <t>Note:</t>
        </r>
        <r>
          <rPr>
            <sz val="14"/>
            <color indexed="81"/>
            <rFont val="Tahoma"/>
            <family val="2"/>
          </rPr>
          <t xml:space="preserve">
The "Interconnection" row should account for all project costs relating to connecting to the grid, such as the construction of transmission lines, permitting costs with the utility, and start-up costs. This category will also include the cost of a new substation, if necessary.
Regulators wishing to explore the potential that interconnection costs may be recovered from ratepayers separately can elect to enter zeros in this cost category whenever "Intermediate" or "Complex" is selected.
Input cannot be less than zero.
</t>
        </r>
      </text>
    </comment>
    <comment ref="S191" authorId="0" shapeId="0" xr:uid="{2D2FCDC1-1C20-4B7D-A190-DBA9DFAB8936}">
      <text>
        <r>
          <rPr>
            <b/>
            <sz val="14"/>
            <color indexed="81"/>
            <rFont val="Tahoma"/>
            <family val="2"/>
          </rPr>
          <t xml:space="preserve">Note:
</t>
        </r>
        <r>
          <rPr>
            <sz val="14"/>
            <color indexed="81"/>
            <rFont val="Tahoma"/>
            <family val="2"/>
          </rPr>
          <t>This drop-down input cell allows the user to specify whether federal incentives are cost-based (e.g. an investment tax credit) or performance-based (e.g. a PTC). The magnitude and terms of these incentives are set in the cells below.
For more information, a useful resource for researching federal and state incentives online is:  
http://dsireusa.org/
*See bottom of introduction page for a list of links</t>
        </r>
      </text>
    </comment>
    <comment ref="E192" authorId="0" shapeId="0" xr:uid="{0E659723-425C-4C7F-849A-001D9120F309}">
      <text>
        <r>
          <rPr>
            <b/>
            <sz val="14"/>
            <color indexed="81"/>
            <rFont val="Tahoma"/>
            <family val="2"/>
          </rPr>
          <t>Jason Gifford:</t>
        </r>
        <r>
          <rPr>
            <sz val="14"/>
            <color indexed="81"/>
            <rFont val="Tahoma"/>
            <family val="2"/>
          </rPr>
          <t xml:space="preserve">
Converted to "admin cost" for community remote DG</t>
        </r>
      </text>
    </comment>
    <comment ref="I192" authorId="1" shapeId="0" xr:uid="{D4DB43E7-204F-42BE-9323-731A3EFDE485}">
      <text>
        <r>
          <rPr>
            <b/>
            <sz val="14"/>
            <color indexed="81"/>
            <rFont val="Tahoma"/>
            <family val="2"/>
          </rPr>
          <t>Note:</t>
        </r>
        <r>
          <rPr>
            <sz val="8"/>
            <color indexed="81"/>
            <rFont val="Tahoma"/>
            <family val="2"/>
          </rPr>
          <t xml:space="preserve">
</t>
        </r>
        <r>
          <rPr>
            <sz val="14"/>
            <color indexed="81"/>
            <rFont val="Tahoma"/>
            <family val="2"/>
          </rPr>
          <t xml:space="preserve">The "Development Costs" row should include all costs relating to project management, studies, engineering, permitting, contingencies, success fees, and other soft costs not accounted for elsewhere in the "Intermediate" cost breakdown. 
Input cannot be less than zero.
</t>
        </r>
      </text>
    </comment>
    <comment ref="S192" authorId="1" shapeId="0" xr:uid="{B79829D7-BED9-41BD-A3E5-12C21A2E5784}">
      <text>
        <r>
          <rPr>
            <b/>
            <sz val="14"/>
            <color indexed="81"/>
            <rFont val="Tahoma"/>
            <family val="2"/>
          </rPr>
          <t xml:space="preserve">Note:
</t>
        </r>
        <r>
          <rPr>
            <sz val="14"/>
            <color indexed="81"/>
            <rFont val="Tahoma"/>
            <family val="2"/>
          </rPr>
          <t>Some renewable energy projects may be eligible to take advantagee of Federal incentives such as the Investment Tax Credit or a Treasury Grant. Information on eligibility for funding opportunities such as these is available online at:
http://dsireusa.org/incentives/incentive.cfm?Incentive_Code=US02F&amp;re=1&amp;ee=1
*See bottom of introduction page for a list of links</t>
        </r>
        <r>
          <rPr>
            <b/>
            <sz val="14"/>
            <color indexed="81"/>
            <rFont val="Tahoma"/>
            <family val="2"/>
          </rPr>
          <t xml:space="preserve">
</t>
        </r>
        <r>
          <rPr>
            <sz val="14"/>
            <color indexed="81"/>
            <rFont val="Tahoma"/>
            <family val="2"/>
          </rPr>
          <t xml:space="preserve">
</t>
        </r>
      </text>
    </comment>
    <comment ref="I193" authorId="1" shapeId="0" xr:uid="{4DA6CBEF-DD4B-457D-978B-DE71814D320E}">
      <text>
        <r>
          <rPr>
            <b/>
            <sz val="14"/>
            <color indexed="81"/>
            <rFont val="Tahoma"/>
            <family val="2"/>
          </rPr>
          <t>Note:</t>
        </r>
        <r>
          <rPr>
            <sz val="14"/>
            <color indexed="81"/>
            <rFont val="Tahoma"/>
            <family val="2"/>
          </rPr>
          <t xml:space="preserve">
The "Reserves &amp; Financing Costs" row accounts for all costs relating to financing, such as lender fees, closing costs, legal fees, interest during construction, due diligence costs, and any other relevant, financing relating costs. The model calculates this field by aggregating G22 through G25, G51, G54, G63, G66, Q57 and Q60.
</t>
        </r>
      </text>
    </comment>
    <comment ref="S193" authorId="0" shapeId="0" xr:uid="{3190BC32-0895-416F-AA9F-32A52EB7E574}">
      <text>
        <r>
          <rPr>
            <b/>
            <sz val="14"/>
            <color indexed="81"/>
            <rFont val="Tahoma"/>
            <family val="2"/>
          </rPr>
          <t xml:space="preserve">NOTE:
</t>
        </r>
        <r>
          <rPr>
            <sz val="14"/>
            <color indexed="81"/>
            <rFont val="Tahoma"/>
            <family val="2"/>
          </rPr>
          <t xml:space="preserve">The maximum potential Investment Tax Credit (ITC) benefit is assumed to be 30% of those project costs which are depreciable on the 5-year MACRS schedule.  This 'eligible costs' assumption is purposefully simplified for this analysis.  Project costs depreciated on other bases may also be eligible for the ITC.  Developers should consult with tax counsel for project-specific depreciation and ITC treatment of each project cost.
</t>
        </r>
        <r>
          <rPr>
            <sz val="8"/>
            <color indexed="81"/>
            <rFont val="Tahoma"/>
            <family val="2"/>
          </rPr>
          <t xml:space="preserve">
</t>
        </r>
      </text>
    </comment>
    <comment ref="I194" authorId="1" shapeId="0" xr:uid="{7D390FDA-431F-49F9-AB83-E9020CE35F6E}">
      <text>
        <r>
          <rPr>
            <b/>
            <sz val="14"/>
            <color indexed="81"/>
            <rFont val="Tahoma"/>
            <family val="2"/>
          </rPr>
          <t>Note:</t>
        </r>
        <r>
          <rPr>
            <sz val="14"/>
            <color indexed="81"/>
            <rFont val="Tahoma"/>
            <family val="2"/>
          </rPr>
          <t xml:space="preserve">
If you wish to enter your project costs under the "Complex" format, select Complex from the drop-down menu and use the link to the left to access additional worksheets which provide the opportunitiy to add significant, additional detail on project costs. Once complete, the model will roll up the detailed costs and populate this row with the resultant final project cost. </t>
        </r>
      </text>
    </comment>
    <comment ref="S194" authorId="0" shapeId="0" xr:uid="{DF57E956-A26F-45DC-B0AE-11FD1A495601}">
      <text>
        <r>
          <rPr>
            <b/>
            <sz val="14"/>
            <color indexed="81"/>
            <rFont val="Tahoma"/>
            <family val="2"/>
          </rPr>
          <t xml:space="preserve">NOTE:
</t>
        </r>
        <r>
          <rPr>
            <sz val="14"/>
            <color indexed="81"/>
            <rFont val="Tahoma"/>
            <family val="2"/>
          </rPr>
          <t xml:space="preserve">As a tax </t>
        </r>
        <r>
          <rPr>
            <u/>
            <sz val="14"/>
            <color indexed="81"/>
            <rFont val="Tahoma"/>
            <family val="2"/>
          </rPr>
          <t>credit</t>
        </r>
        <r>
          <rPr>
            <sz val="14"/>
            <color indexed="81"/>
            <rFont val="Tahoma"/>
            <family val="2"/>
          </rPr>
          <t>, the ITC is only usable by project owners with positive federal income tax liability.  
In cases where the owner's tax liability in the calendar year of the project's first commercial operation exceeds the ITC amount, the user may enter 100% in this field and assume full utilization of the ITC.
If the owner's tax liability is less than the available ITC, the user may either enter a % value less than 100% or select the "carried forward" method in the "Tax Benefits used as generated or carried forward?" cell.  
Input must be between 0% and 100%.</t>
        </r>
        <r>
          <rPr>
            <sz val="8"/>
            <color indexed="81"/>
            <rFont val="Tahoma"/>
            <family val="2"/>
          </rPr>
          <t xml:space="preserve">
</t>
        </r>
      </text>
    </comment>
    <comment ref="I195" authorId="1" shapeId="0" xr:uid="{BB257D9D-3804-4990-A853-212E7C327119}">
      <text>
        <r>
          <rPr>
            <b/>
            <sz val="14"/>
            <color indexed="81"/>
            <rFont val="Tahoma"/>
            <family val="2"/>
          </rPr>
          <t>Note:</t>
        </r>
        <r>
          <rPr>
            <sz val="14"/>
            <color indexed="81"/>
            <rFont val="Tahoma"/>
            <family val="2"/>
          </rPr>
          <t xml:space="preserve">
The total system cost is a calculation, based on the level of detail selected and the assocated inputs.
</t>
        </r>
      </text>
    </comment>
    <comment ref="S195" authorId="0" shapeId="0" xr:uid="{758BB47A-2750-4606-AEAE-3280EA6C5E95}">
      <text>
        <r>
          <rPr>
            <b/>
            <sz val="14"/>
            <color indexed="81"/>
            <rFont val="Tahoma"/>
            <family val="2"/>
          </rPr>
          <t xml:space="preserve">Note:
</t>
        </r>
        <r>
          <rPr>
            <sz val="14"/>
            <color indexed="81"/>
            <rFont val="Tahoma"/>
            <family val="2"/>
          </rPr>
          <t xml:space="preserve">Calculates the dollar value of the Investment Tax Credit or Cash Grant, if applicable.
</t>
        </r>
      </text>
    </comment>
    <comment ref="I196" authorId="1" shapeId="0" xr:uid="{A6EC2757-6C89-44EB-8FF8-1695E3CD1812}">
      <text>
        <r>
          <rPr>
            <b/>
            <sz val="14"/>
            <color indexed="81"/>
            <rFont val="Tahoma"/>
            <family val="2"/>
          </rPr>
          <t>Note:</t>
        </r>
        <r>
          <rPr>
            <sz val="14"/>
            <color indexed="81"/>
            <rFont val="Tahoma"/>
            <family val="2"/>
          </rPr>
          <t xml:space="preserve">
Calculation based on the total system cost in the cell above and the system size reported. Typical costs (as of 2010) fall between $2,000/kW and $3,000/kW.</t>
        </r>
        <r>
          <rPr>
            <sz val="8"/>
            <color indexed="81"/>
            <rFont val="Tahoma"/>
            <family val="2"/>
          </rPr>
          <t xml:space="preserve">
</t>
        </r>
      </text>
    </comment>
    <comment ref="S196" authorId="0" shapeId="0" xr:uid="{0195F26F-7B92-43A9-9FDD-2B3081635F1A}">
      <text>
        <r>
          <rPr>
            <b/>
            <sz val="14"/>
            <color indexed="81"/>
            <rFont val="Tahoma"/>
            <family val="2"/>
          </rPr>
          <t xml:space="preserve">Note: </t>
        </r>
        <r>
          <rPr>
            <sz val="14"/>
            <color indexed="81"/>
            <rFont val="Tahoma"/>
            <family val="2"/>
          </rPr>
          <t xml:space="preserve">
This input cell, the "Performance Based Incentive" or "PBI" is another potential incentive available to some specific projects. The PBI would be separate from a feed-in-tariff, but acts similarly in that it is per unit of production (typically kWh) income to a project.
Some examples of PBIs include the Federal Production Tax Credit (applicable to private projects with tax appetites) and the Federal Renewable Energy Production Incentive (REPI), historically available to some public projects.
</t>
        </r>
      </text>
    </comment>
    <comment ref="I197" authorId="1" shapeId="0" xr:uid="{EB975107-AED6-4D89-A45D-DD3AD43FA152}">
      <text>
        <r>
          <rPr>
            <b/>
            <sz val="14"/>
            <color indexed="81"/>
            <rFont val="Tahoma"/>
            <family val="2"/>
          </rPr>
          <t xml:space="preserve">Note:
</t>
        </r>
        <r>
          <rPr>
            <sz val="14"/>
            <color indexed="81"/>
            <rFont val="Tahoma"/>
            <family val="2"/>
          </rPr>
          <t xml:space="preserve">This cell calculates the total of all applicable grants, excluding the payment in lieu of the Federal ITC (also known as the ITC Cash Grant, or Cash Grant), if applicable.  The ITC Cash Grant is considered separately because unlike grants issued upfront and used to offset capital costs, the ITC Cash Grant is disbursed approxiamtely 60 days after the start of commercial operations and therefore becomes an integral part of the project's financing.
Where grants are treated as taxable income, this cell calculates the after-tax impact on the total cost of the project.
  </t>
        </r>
        <r>
          <rPr>
            <sz val="8"/>
            <color indexed="81"/>
            <rFont val="Tahoma"/>
            <family val="2"/>
          </rPr>
          <t xml:space="preserve">
</t>
        </r>
      </text>
    </comment>
    <comment ref="S197" authorId="0" shapeId="0" xr:uid="{DCCE0586-A0D8-41D3-8DA4-25A5AFD982E8}">
      <text>
        <r>
          <rPr>
            <b/>
            <sz val="14"/>
            <color indexed="81"/>
            <rFont val="Tahoma"/>
            <family val="2"/>
          </rPr>
          <t xml:space="preserve">Note: </t>
        </r>
        <r>
          <rPr>
            <sz val="14"/>
            <color indexed="81"/>
            <rFont val="Tahoma"/>
            <family val="2"/>
          </rPr>
          <t xml:space="preserve">
This cell denotes the value of the Performance Based Incentive applicable to the project's first year of commercial operation. In some cases, this value will need to be calculated external to the model if such PBI is derived from a "base year" and specified inflation index. The following cells can be used to account for inflation and the maximum term of eligibility.
Input cannot be less than zero.
</t>
        </r>
      </text>
    </comment>
    <comment ref="I198" authorId="1" shapeId="0" xr:uid="{4BC3BDA2-3DD5-4886-9F6E-B5DE640F1618}">
      <text>
        <r>
          <rPr>
            <b/>
            <sz val="14"/>
            <color indexed="81"/>
            <rFont val="Tahoma"/>
            <family val="2"/>
          </rPr>
          <t>Note:</t>
        </r>
        <r>
          <rPr>
            <sz val="14"/>
            <color indexed="81"/>
            <rFont val="Tahoma"/>
            <family val="2"/>
          </rPr>
          <t xml:space="preserve">
Calculation of total project cost net applicable grants. 
</t>
        </r>
      </text>
    </comment>
    <comment ref="S198" authorId="0" shapeId="0" xr:uid="{15081874-5E39-4D84-9C0B-41F03C2F62E2}">
      <text>
        <r>
          <rPr>
            <b/>
            <sz val="14"/>
            <color indexed="81"/>
            <rFont val="Tahoma"/>
            <family val="2"/>
          </rPr>
          <t>Note:</t>
        </r>
        <r>
          <rPr>
            <sz val="14"/>
            <color indexed="81"/>
            <rFont val="Tahoma"/>
            <family val="2"/>
          </rPr>
          <t xml:space="preserve">
This is the length of time that a project would be eligible for any Performance Based Incentives outlined in the cell immediately above. For example, the Federal Renewable Energy Production Incentive and Production Tax Credit incentives are available for the first 10 years of project operation.
Input cannot be less than zero.
</t>
        </r>
      </text>
    </comment>
    <comment ref="I199" authorId="1" shapeId="0" xr:uid="{2E27356F-5E8A-48A6-A22E-58991ECEB450}">
      <text>
        <r>
          <rPr>
            <b/>
            <sz val="14"/>
            <color indexed="81"/>
            <rFont val="Tahoma"/>
            <family val="2"/>
          </rPr>
          <t xml:space="preserve">Note:
</t>
        </r>
        <r>
          <rPr>
            <sz val="14"/>
            <color indexed="81"/>
            <rFont val="Tahoma"/>
            <family val="2"/>
          </rPr>
          <t xml:space="preserve">Calculation, based on net project cost and total installed capacity. 
</t>
        </r>
      </text>
    </comment>
    <comment ref="S199" authorId="0" shapeId="0" xr:uid="{AF448052-86AE-4296-8D8F-FF771BBE6BB7}">
      <text>
        <r>
          <rPr>
            <b/>
            <sz val="14"/>
            <color indexed="81"/>
            <rFont val="Tahoma"/>
            <family val="2"/>
          </rPr>
          <t xml:space="preserve">Note:
</t>
        </r>
        <r>
          <rPr>
            <sz val="14"/>
            <color indexed="81"/>
            <rFont val="Tahoma"/>
            <family val="2"/>
          </rPr>
          <t xml:space="preserve">Performance Based Incentives are often adjusted to account for inflation. For example, the Federal Production Tax Credit (PTC) is adjusted each year to account for changes in the GDP IPD index. This cell can be used as a proxy for the inflation that would apply to any PBI incentive entered above.
This input cannot be left blank.
</t>
        </r>
        <r>
          <rPr>
            <sz val="8"/>
            <color indexed="81"/>
            <rFont val="Tahoma"/>
            <family val="2"/>
          </rPr>
          <t xml:space="preserve">
</t>
        </r>
      </text>
    </comment>
    <comment ref="S200" authorId="0" shapeId="0" xr:uid="{0EB4AE79-263C-41C5-979F-F6053FF56D5D}">
      <text>
        <r>
          <rPr>
            <b/>
            <sz val="14"/>
            <color indexed="81"/>
            <rFont val="Tahoma"/>
            <family val="2"/>
          </rPr>
          <t xml:space="preserve">Note:
</t>
        </r>
        <r>
          <rPr>
            <sz val="14"/>
            <color indexed="81"/>
            <rFont val="Tahoma"/>
            <family val="2"/>
          </rPr>
          <t>In some cases, due to the nature of the requirements of some Performance Based Incentive programs, project owners are unable to maximize the full revenue stream of the incentive. For example, in the case of the Federal Production Tax Credit (PTC), the project owner may not have sufficienct tax appetite to fully utilize the tax credits. 
This input cell would allow the modeler to account for the owner's inability to fully utilize the PTC and/or the reduction of the PTC (a "haircut") due to the presence of subsidized (below market interest rate) financing.
Incentive "availability" will likely be a factor if this cell is being used to model the cash-based Renewable Energy Production Incentive (REPI).  The REPI program has historically been underfunded; available monies are allocated pro rata among eligible projects.  In this case, the value entered in this cell should reflect the user's expectation of the fraction of the face value REPI payment that will be available over the applicable incentive term.
Input must be between 0% to 100%.</t>
        </r>
      </text>
    </comment>
    <comment ref="F201" authorId="0" shapeId="0" xr:uid="{9856D057-7EDC-4850-9564-8EE12B5443E2}">
      <text>
        <r>
          <rPr>
            <b/>
            <sz val="8"/>
            <color indexed="81"/>
            <rFont val="Tahoma"/>
            <family val="2"/>
          </rPr>
          <t>See "unit" definitions at the bottom of this worksheet.</t>
        </r>
        <r>
          <rPr>
            <sz val="8"/>
            <color indexed="81"/>
            <rFont val="Tahoma"/>
            <family val="2"/>
          </rPr>
          <t xml:space="preserve">
</t>
        </r>
      </text>
    </comment>
    <comment ref="S201" authorId="0" shapeId="0" xr:uid="{10E6686B-B87A-458C-B5D1-561A35CFECCF}">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I202" authorId="0" shapeId="0" xr:uid="{AD3605B6-BAC9-48CA-AC9D-198BB82E2F15}">
      <text>
        <r>
          <rPr>
            <b/>
            <sz val="14"/>
            <color indexed="81"/>
            <rFont val="Tahoma"/>
            <family val="2"/>
          </rPr>
          <t>Note:</t>
        </r>
        <r>
          <rPr>
            <sz val="14"/>
            <color indexed="81"/>
            <rFont val="Tahoma"/>
            <family val="2"/>
          </rPr>
          <t xml:space="preserve">
Select either "Simple" or "Intermediate" O&amp;M expense detail using the drop-down menu to the right.
</t>
        </r>
        <r>
          <rPr>
            <sz val="8"/>
            <color indexed="81"/>
            <rFont val="Tahoma"/>
            <family val="2"/>
          </rPr>
          <t xml:space="preserve">
</t>
        </r>
      </text>
    </comment>
    <comment ref="I203" authorId="1" shapeId="0" xr:uid="{B56F69AD-7347-43AD-921D-AF8E1770A76C}">
      <text>
        <r>
          <rPr>
            <b/>
            <sz val="14"/>
            <color indexed="81"/>
            <rFont val="Tahoma"/>
            <family val="2"/>
          </rPr>
          <t>Note:</t>
        </r>
        <r>
          <rPr>
            <sz val="14"/>
            <color indexed="81"/>
            <rFont val="Tahoma"/>
            <family val="2"/>
          </rPr>
          <t xml:space="preserve">
If "Simple" is selected in the cell above, then this input should reflect the </t>
        </r>
        <r>
          <rPr>
            <b/>
            <u/>
            <sz val="14"/>
            <color indexed="81"/>
            <rFont val="Tahoma"/>
            <family val="2"/>
          </rPr>
          <t>total</t>
        </r>
        <r>
          <rPr>
            <sz val="14"/>
            <color indexed="81"/>
            <rFont val="Tahoma"/>
            <family val="2"/>
          </rPr>
          <t xml:space="preserve"> expected </t>
        </r>
        <r>
          <rPr>
            <b/>
            <u/>
            <sz val="14"/>
            <color indexed="81"/>
            <rFont val="Tahoma"/>
            <family val="2"/>
          </rPr>
          <t>fixed</t>
        </r>
        <r>
          <rPr>
            <sz val="14"/>
            <color indexed="81"/>
            <rFont val="Tahoma"/>
            <family val="2"/>
          </rPr>
          <t xml:space="preserve"> cost of project operations and maintenance, in $/kW-yr.  This </t>
        </r>
        <r>
          <rPr>
            <u/>
            <sz val="14"/>
            <color indexed="81"/>
            <rFont val="Tahoma"/>
            <family val="2"/>
          </rPr>
          <t>includes</t>
        </r>
        <r>
          <rPr>
            <sz val="14"/>
            <color indexed="81"/>
            <rFont val="Tahoma"/>
            <family val="2"/>
          </rPr>
          <t xml:space="preserve"> the insurance, project management, property tax (or payment in lieu thereof), land lease, and royalty expenses which would have been broken out separately in the "Intermediate" case.  Other labor and spare parts should also be included in this estimate.
If the user has obtained O&amp;M expense estimates from a third-party, it is critical to understand which costs have been included.  If the user is not certain that all of the above-listed expenses are included in the fixed cost estimate, then the "Intermediate" approach should be used and these expenses should be entered separately.
If "Intermediate" is selected, then this input should reflect  the expected annual fixed O&amp;M cost before taking into account the additional listed expenses, which are entered below. 
In all cases, fixed O&amp;M would include - among others - the ongoing cost of obtaining daily, weekly or monthly production estimates based on weather and other factors.
Input value must be greater than zero. 
</t>
        </r>
      </text>
    </comment>
    <comment ref="S203" authorId="1" shapeId="0" xr:uid="{3B94DDFC-06D5-465C-862C-D47A53225F2F}">
      <text>
        <r>
          <rPr>
            <b/>
            <sz val="14"/>
            <color indexed="81"/>
            <rFont val="Tahoma"/>
            <family val="2"/>
          </rPr>
          <t xml:space="preserve">Note:
</t>
        </r>
        <r>
          <rPr>
            <sz val="14"/>
            <color indexed="81"/>
            <rFont val="Tahoma"/>
            <family val="2"/>
          </rPr>
          <t xml:space="preserve">Some renewable energy projects may be eligible for other federal grants as well, such as funding from the U.S. Department of Agriculture. This input cell can be used to capture those funding opportunities, some of which are outlined online at:
http://dsireusa.org/incentives/index.cfm?state=us&amp;re=1&amp;EE=1
*See bottom of introduction page for a list of links
Input cannot be less than zero.
</t>
        </r>
      </text>
    </comment>
    <comment ref="I204" authorId="1" shapeId="0" xr:uid="{1AEAAB6F-0D24-41E5-964C-63F1CE052646}">
      <text>
        <r>
          <rPr>
            <b/>
            <sz val="14"/>
            <color indexed="81"/>
            <rFont val="Tahoma"/>
            <family val="2"/>
          </rPr>
          <t>Note:</t>
        </r>
        <r>
          <rPr>
            <sz val="14"/>
            <color indexed="81"/>
            <rFont val="Tahoma"/>
            <family val="2"/>
          </rPr>
          <t xml:space="preserve">
This cell provides the user with the option of accounting for O&amp;M expenses (such as labor and spare parts) which are more easily estimated and modeled on a variable, cents per kWh basis.  
If "Simple" is selected above, then this cell should also take into account variable costs, such as royalties, </t>
        </r>
        <r>
          <rPr>
            <b/>
            <u/>
            <sz val="14"/>
            <color indexed="81"/>
            <rFont val="Tahoma"/>
            <family val="2"/>
          </rPr>
          <t>if</t>
        </r>
        <r>
          <rPr>
            <sz val="14"/>
            <color indexed="81"/>
            <rFont val="Tahoma"/>
            <family val="2"/>
          </rPr>
          <t xml:space="preserve"> such annual expenses are not already accounted for in the fixed cost input above.
Input cannot be less than zero.
</t>
        </r>
      </text>
    </comment>
    <comment ref="S204" authorId="0" shapeId="0" xr:uid="{3CC17416-5F11-4788-A89C-5619ED8D14D2}">
      <text>
        <r>
          <rPr>
            <b/>
            <sz val="14"/>
            <color indexed="81"/>
            <rFont val="Tahoma"/>
            <family val="2"/>
          </rPr>
          <t xml:space="preserve">Note:
</t>
        </r>
        <r>
          <rPr>
            <sz val="14"/>
            <color indexed="81"/>
            <rFont val="Tahoma"/>
            <family val="2"/>
          </rPr>
          <t xml:space="preserve">Select here whether federal grants (other than the section 1603 payment in lieu of the ITC/PTC) are treated as taxable income. If no, depreciation basis is reduced. 
</t>
        </r>
      </text>
    </comment>
    <comment ref="I205" authorId="0" shapeId="0" xr:uid="{20F39AFA-81AA-48E1-9689-2A68D40D9B4E}">
      <text>
        <r>
          <rPr>
            <b/>
            <sz val="14"/>
            <color indexed="81"/>
            <rFont val="Tahoma"/>
            <family val="2"/>
          </rPr>
          <t>Note:</t>
        </r>
        <r>
          <rPr>
            <sz val="14"/>
            <color indexed="81"/>
            <rFont val="Tahoma"/>
            <family val="2"/>
          </rPr>
          <t xml:space="preserve">
This inflation rate applies to both fixed and variable O&amp;M expense, insurance, and project management costs entered above, if applicable. 
The model allows the user to specify an inflation assumption for an "initial period" and a second inflation assumption "thereafter." These inputs can be used to account for inflation which might be fixed during an initial O&amp;M service contract, but are unknown thereafter.  The final year of the "initial period" is  user-defined (e.g. final year of an O&amp;M service contract). 
The purpose of this feature is also to recognize that inflationary trends may change over time, or that some projects may not expect inflation of O&amp;M expenses for the first several years, but may expect inflation thereafter.
This inflation rate does not apply to PILOT or Royalty costs. Input cannot be less than zero.
</t>
        </r>
      </text>
    </comment>
    <comment ref="I206" authorId="0" shapeId="0" xr:uid="{D4ED4DE2-83D5-4175-AADD-6EF185094048}">
      <text>
        <r>
          <rPr>
            <b/>
            <sz val="14"/>
            <color indexed="81"/>
            <rFont val="Tahoma"/>
            <family val="2"/>
          </rPr>
          <t xml:space="preserve">Note:
</t>
        </r>
        <r>
          <rPr>
            <sz val="14"/>
            <color indexed="81"/>
            <rFont val="Tahoma"/>
            <family val="2"/>
          </rPr>
          <t xml:space="preserve">This feature allows the user to assume that the rate at which expenses change over time is not constant. This cell provides the year in which the first inflation period ends.
Input cannot be less than zero.
</t>
        </r>
      </text>
    </comment>
    <comment ref="P206" authorId="0" shapeId="0" xr:uid="{15CE5962-36DF-482E-A0FD-5D09D40A555E}">
      <text>
        <r>
          <rPr>
            <b/>
            <sz val="8"/>
            <color indexed="81"/>
            <rFont val="Tahoma"/>
            <family val="2"/>
          </rPr>
          <t>See "unit" definitions at the bottom of this worksheet.</t>
        </r>
        <r>
          <rPr>
            <sz val="8"/>
            <color indexed="81"/>
            <rFont val="Tahoma"/>
            <family val="2"/>
          </rPr>
          <t xml:space="preserve">
</t>
        </r>
      </text>
    </comment>
    <comment ref="I207" authorId="0" shapeId="0" xr:uid="{DE19E6E3-BB3D-457F-935A-513B298FF0D4}">
      <text>
        <r>
          <rPr>
            <b/>
            <sz val="14"/>
            <color indexed="81"/>
            <rFont val="Tahoma"/>
            <family val="2"/>
          </rPr>
          <t xml:space="preserve">Note:
</t>
        </r>
        <r>
          <rPr>
            <sz val="14"/>
            <color indexed="81"/>
            <rFont val="Tahoma"/>
            <family val="2"/>
          </rPr>
          <t xml:space="preserve">This cell provides the inflation rate for the remainder of the project's useful life.
Input must be greater than zero.
</t>
        </r>
      </text>
    </comment>
    <comment ref="S207" authorId="1" shapeId="0" xr:uid="{C72FE8EF-6277-431E-8661-F9CA51864E25}">
      <text>
        <r>
          <rPr>
            <b/>
            <sz val="14"/>
            <color indexed="81"/>
            <rFont val="Tahoma"/>
            <family val="2"/>
          </rPr>
          <t xml:space="preserve">Note:
</t>
        </r>
        <r>
          <rPr>
            <sz val="14"/>
            <color indexed="81"/>
            <rFont val="Tahoma"/>
            <family val="2"/>
          </rPr>
          <t>This drop-down input cell allows the user to specify whether state incentives are cost-based (e.g. an investment tax credit) or performance-based (e.g. a PTC or cash payment). If no state incentive is available or useable by the modeled project, the user will select "Neither." The magnitude and terms of these incentives are set in the cells below.
For more information, a useful resource for researching federal and state incentives online is:  
http://dsireusa.org/
*See bottom of introduction page for a list of links</t>
        </r>
      </text>
    </comment>
    <comment ref="I208" authorId="1" shapeId="0" xr:uid="{40023989-E4A0-46BC-B040-C887FB27F46A}">
      <text>
        <r>
          <rPr>
            <b/>
            <sz val="14"/>
            <color indexed="81"/>
            <rFont val="Tahoma"/>
            <family val="2"/>
          </rPr>
          <t xml:space="preserve">Note:
</t>
        </r>
        <r>
          <rPr>
            <sz val="14"/>
            <color indexed="81"/>
            <rFont val="Tahoma"/>
            <family val="2"/>
          </rPr>
          <t xml:space="preserve">Project owners, or hosts, are required to carry insurance. This input accounts for the estimated cost of insuring the modeled power generating facility.
Input cannot be less than zero.
</t>
        </r>
      </text>
    </comment>
    <comment ref="S208" authorId="0" shapeId="0" xr:uid="{108A3EA8-F396-4081-9353-7B95CE49233A}">
      <text>
        <r>
          <rPr>
            <b/>
            <sz val="14"/>
            <color indexed="81"/>
            <rFont val="Tahoma"/>
            <family val="2"/>
          </rPr>
          <t xml:space="preserve">NOTE:
</t>
        </r>
        <r>
          <rPr>
            <sz val="14"/>
            <color indexed="81"/>
            <rFont val="Tahoma"/>
            <family val="2"/>
          </rPr>
          <t xml:space="preserve">The maximum potential Investment Tax Credit (ITC) benefit is assumed to be 30% of those project costs which are depreciable on the 5-year MACRS schedule.
</t>
        </r>
      </text>
    </comment>
    <comment ref="I209" authorId="0" shapeId="0" xr:uid="{FF24C54F-C551-4A6B-AA33-3D5063A8DF3D}">
      <text>
        <r>
          <rPr>
            <b/>
            <sz val="14"/>
            <color indexed="81"/>
            <rFont val="Tahoma"/>
            <family val="2"/>
          </rPr>
          <t xml:space="preserve">Note:
</t>
        </r>
        <r>
          <rPr>
            <sz val="14"/>
            <color indexed="81"/>
            <rFont val="Tahoma"/>
            <family val="2"/>
          </rPr>
          <t xml:space="preserve">This cell calculates the resulting dollar value cost of insurance based on the input above and the project installed cost (net of financing costs).  It is provided simply as a reference for the user.
</t>
        </r>
        <r>
          <rPr>
            <sz val="8"/>
            <color indexed="81"/>
            <rFont val="Tahoma"/>
            <family val="2"/>
          </rPr>
          <t xml:space="preserve">
</t>
        </r>
      </text>
    </comment>
    <comment ref="S209" authorId="0" shapeId="0" xr:uid="{9D4FEC86-B4F7-42E2-800A-F5D266BA9CA2}">
      <text>
        <r>
          <rPr>
            <b/>
            <sz val="14"/>
            <color indexed="81"/>
            <rFont val="Tahoma"/>
            <family val="2"/>
          </rPr>
          <t xml:space="preserve">NOTE:
</t>
        </r>
        <r>
          <rPr>
            <sz val="14"/>
            <color indexed="81"/>
            <rFont val="Tahoma"/>
            <family val="2"/>
          </rPr>
          <t xml:space="preserve">As a tax </t>
        </r>
        <r>
          <rPr>
            <u/>
            <sz val="14"/>
            <color indexed="81"/>
            <rFont val="Tahoma"/>
            <family val="2"/>
          </rPr>
          <t>credit</t>
        </r>
        <r>
          <rPr>
            <sz val="14"/>
            <color indexed="81"/>
            <rFont val="Tahoma"/>
            <family val="2"/>
          </rPr>
          <t>, the ITC is only usable by project owners with positive federal income tax liability.  
In cases where the owner's tax liability in the calendar year of the project's first commercial operation exceeds the ITC amount, the user may enter 100% in this field and assume full utilization of the ITC.
If the owner's tax liability is less than the available ITC, a % less than 100% must be entered in order to represent a less efficient utilization of this federal tax incentive.
Input must be betwee 0% and 100%.</t>
        </r>
      </text>
    </comment>
    <comment ref="I210" authorId="1" shapeId="0" xr:uid="{ED7156BE-1DD2-4034-A176-EABB09522379}">
      <text>
        <r>
          <rPr>
            <b/>
            <sz val="14"/>
            <color indexed="81"/>
            <rFont val="Tahoma"/>
            <family val="2"/>
          </rPr>
          <t>Note:</t>
        </r>
        <r>
          <rPr>
            <sz val="14"/>
            <color indexed="81"/>
            <rFont val="Tahoma"/>
            <family val="2"/>
          </rPr>
          <t xml:space="preserve">
"Project Management" accounts for the cost of staff time related to managing the project's Power Purchase Agreements, grid integration, and periodic reporting to the system operator and policymakers.  
Input cannot be less than zero.
</t>
        </r>
      </text>
    </comment>
    <comment ref="S210" authorId="0" shapeId="0" xr:uid="{95CA0E70-BD9F-43C0-9677-C780963F7076}">
      <text>
        <r>
          <rPr>
            <b/>
            <sz val="14"/>
            <color indexed="81"/>
            <rFont val="Tahoma"/>
            <family val="2"/>
          </rPr>
          <t xml:space="preserve">Note:
</t>
        </r>
        <r>
          <rPr>
            <sz val="14"/>
            <color indexed="81"/>
            <rFont val="Tahoma"/>
            <family val="2"/>
          </rPr>
          <t>Specifies whether the available ITC is realized in a single year or over multiple years. This input will be specified by state-specific law or regulation.
A good resource on available state incentives is:  
http://dsireusa.org/
*See bottom of introduction page for a list of links
Input must be greater than 1 and less than the Project Useful Life.</t>
        </r>
      </text>
    </comment>
    <comment ref="I211" authorId="1" shapeId="0" xr:uid="{772F2B19-3611-4235-B236-5DED37A68476}">
      <text>
        <r>
          <rPr>
            <b/>
            <sz val="14"/>
            <color indexed="81"/>
            <rFont val="Tahoma"/>
            <family val="2"/>
          </rPr>
          <t xml:space="preserve">Note:
</t>
        </r>
        <r>
          <rPr>
            <sz val="14"/>
            <color indexed="81"/>
            <rFont val="Tahoma"/>
            <family val="2"/>
          </rPr>
          <t xml:space="preserve">"Property Tax or PILOT" accounts for costs associated with any local taxes incurred by the project. Many states offer tax exemptions for renewable energy systems; to check your local applicability, please visit: http://dsireusa.org/ 
This line can also be used to account for any PILOTs or Payment in Leiu of Taxes. Developers often negotiate a PILOT with the local community to secure a fixed, predictable payment that serves both parties appropriately. This model allows the user to input a year-one Property Tax or PILOT value along with an annual property tax adjsutment factor (see next cell down). As a result, taxes can be modeled as flat, increasing, or decreasing annually depending on the value entered in the adjustment factor cell below.
Input cannot be less than zero.
</t>
        </r>
      </text>
    </comment>
    <comment ref="S211" authorId="0" shapeId="0" xr:uid="{74856FB1-566F-4635-A9AB-067BFFB7E45A}">
      <text>
        <r>
          <rPr>
            <b/>
            <sz val="14"/>
            <color indexed="81"/>
            <rFont val="Tahoma"/>
            <family val="2"/>
          </rPr>
          <t xml:space="preserve">Note:
</t>
        </r>
        <r>
          <rPr>
            <sz val="14"/>
            <color indexed="81"/>
            <rFont val="Tahoma"/>
            <family val="2"/>
          </rPr>
          <t xml:space="preserve">Calculates the dollar value of the State Investment Tax Credit, if applicable.
</t>
        </r>
      </text>
    </comment>
    <comment ref="I212" authorId="1" shapeId="0" xr:uid="{04B42DF3-EB91-416F-9D22-53441E120FEB}">
      <text>
        <r>
          <rPr>
            <b/>
            <sz val="14"/>
            <color indexed="81"/>
            <rFont val="Tahoma"/>
            <family val="2"/>
          </rPr>
          <t xml:space="preserve">Note:
</t>
        </r>
        <r>
          <rPr>
            <sz val="14"/>
            <color indexed="81"/>
            <rFont val="Tahoma"/>
            <family val="2"/>
          </rPr>
          <t xml:space="preserve">The Annual Property Tax Adjustment Factor allows the user to specify whether the Year One tax (or PILOT) value will remain fixed and flat, will decrease (a negative percentage value entered in this cell) or increase (a positive percentage value entered in this cell) over time.  </t>
        </r>
        <r>
          <rPr>
            <sz val="8"/>
            <color indexed="81"/>
            <rFont val="Tahoma"/>
            <family val="2"/>
          </rPr>
          <t xml:space="preserve">
</t>
        </r>
      </text>
    </comment>
    <comment ref="S212" authorId="0" shapeId="0" xr:uid="{D7EE9F01-0B5F-4E02-9E35-F9119CDCFBE2}">
      <text>
        <r>
          <rPr>
            <b/>
            <sz val="14"/>
            <color indexed="81"/>
            <rFont val="Tahoma"/>
            <family val="2"/>
          </rPr>
          <t xml:space="preserve">Note: </t>
        </r>
        <r>
          <rPr>
            <sz val="14"/>
            <color indexed="81"/>
            <rFont val="Tahoma"/>
            <family val="2"/>
          </rPr>
          <t xml:space="preserve">
This input cell, the "Performance Based Incentive" or "PBI" is another potential incentive available to some specific projects. The PBI would be separate from a feed-in-tariff, but acts similarly in that it is per unit of production (typically kWh) income to a project.
Some examples of PBIs include the Federal Production Tax Credit (applicable to private projects with tax appetites) and the Federal Renewable Energy Production Incentive (REPI), historically available to some public projects.
</t>
        </r>
      </text>
    </comment>
    <comment ref="G213" authorId="2" shapeId="0" xr:uid="{38306DD5-DE73-47F8-84B0-1ABCE1DE1AF7}">
      <text>
        <t>[Threaded comment]
Your version of Excel allows you to read this threaded comment; however, any edits to it will get removed if the file is opened in a newer version of Excel. Learn more: https://go.microsoft.com/fwlink/?linkid=870924
Comment:
    Unclear if this should be $28,000 (per the CREST model) or $30,753 (per the PPT).</t>
      </text>
    </comment>
    <comment ref="I213" authorId="1" shapeId="0" xr:uid="{32566562-A3B9-4963-A30D-488300CC389E}">
      <text>
        <r>
          <rPr>
            <b/>
            <sz val="14"/>
            <color indexed="81"/>
            <rFont val="Tahoma"/>
            <family val="2"/>
          </rPr>
          <t xml:space="preserve">Note:
</t>
        </r>
        <r>
          <rPr>
            <sz val="14"/>
            <color indexed="81"/>
            <rFont val="Tahoma"/>
            <family val="2"/>
          </rPr>
          <t xml:space="preserve">The Land Lease input represents </t>
        </r>
        <r>
          <rPr>
            <b/>
            <u/>
            <sz val="14"/>
            <color indexed="81"/>
            <rFont val="Tahoma"/>
            <family val="2"/>
          </rPr>
          <t>fixed payments</t>
        </r>
        <r>
          <rPr>
            <sz val="14"/>
            <color indexed="81"/>
            <rFont val="Tahoma"/>
            <family val="2"/>
          </rPr>
          <t xml:space="preserve"> to the site host (and possibly other affected parties) for the use of the land on which the project is located.  
Variable royalty payments may be applied in addition to, or in lieu of, the land lease payment through the "Royalties" input below, if applicable.  
Input cannot be less than zero.
</t>
        </r>
      </text>
    </comment>
    <comment ref="S213" authorId="0" shapeId="0" xr:uid="{057F3606-75A4-4375-82C9-DFC31D81B13D}">
      <text>
        <r>
          <rPr>
            <b/>
            <sz val="14"/>
            <color indexed="81"/>
            <rFont val="Tahoma"/>
            <family val="2"/>
          </rPr>
          <t xml:space="preserve">Note:
</t>
        </r>
        <r>
          <rPr>
            <sz val="14"/>
            <color indexed="81"/>
            <rFont val="Tahoma"/>
            <family val="2"/>
          </rPr>
          <t xml:space="preserve">Impacts tax treatment of PBI if owner is a taxable entity.
</t>
        </r>
      </text>
    </comment>
    <comment ref="I214" authorId="1" shapeId="0" xr:uid="{3EF49DAE-40AB-4D56-ADA8-1BD5A8629F99}">
      <text>
        <r>
          <rPr>
            <b/>
            <sz val="14"/>
            <color indexed="81"/>
            <rFont val="Tahoma"/>
            <family val="2"/>
          </rPr>
          <t xml:space="preserve">Note:
</t>
        </r>
        <r>
          <rPr>
            <sz val="14"/>
            <color indexed="81"/>
            <rFont val="Tahoma"/>
            <family val="2"/>
          </rPr>
          <t xml:space="preserve">The royalties input accounts for </t>
        </r>
        <r>
          <rPr>
            <b/>
            <u/>
            <sz val="14"/>
            <color indexed="81"/>
            <rFont val="Tahoma"/>
            <family val="2"/>
          </rPr>
          <t>variable</t>
        </r>
        <r>
          <rPr>
            <sz val="14"/>
            <color indexed="81"/>
            <rFont val="Tahoma"/>
            <family val="2"/>
          </rPr>
          <t xml:space="preserve"> payments to site hosts, neighbors, partners, or other parties which may have a stake in the project and which are NOT covered by the fixed "Land Lease" payment. 
Fixed payments may be applied in addition to, or in lieu of, the royalty payment through the "Land Lease" input above, if applicable.  
</t>
        </r>
        <r>
          <rPr>
            <b/>
            <sz val="14"/>
            <color indexed="81"/>
            <rFont val="Tahoma"/>
            <family val="2"/>
          </rPr>
          <t>Inflation is NOT applied to this input</t>
        </r>
        <r>
          <rPr>
            <sz val="14"/>
            <color indexed="81"/>
            <rFont val="Tahoma"/>
            <family val="2"/>
          </rPr>
          <t xml:space="preserve">. However, if tariff escalation is selected, then the assumed royalty payment will increase over time since it is calculated as a function of revenue over time.
If the modeled project's royalty payments are not the same over time, then an average annual royalty payment should be calculated externally and entered in this cell. 
This input cannot be less than zero.
</t>
        </r>
        <r>
          <rPr>
            <sz val="8"/>
            <color indexed="81"/>
            <rFont val="Tahoma"/>
            <family val="2"/>
          </rPr>
          <t xml:space="preserve">
</t>
        </r>
      </text>
    </comment>
    <comment ref="S214" authorId="0" shapeId="0" xr:uid="{4FFD76E7-4FEA-4A60-930D-317617837ACE}">
      <text>
        <r>
          <rPr>
            <b/>
            <sz val="14"/>
            <color indexed="81"/>
            <rFont val="Tahoma"/>
            <family val="2"/>
          </rPr>
          <t xml:space="preserve">Note: </t>
        </r>
        <r>
          <rPr>
            <sz val="14"/>
            <color indexed="81"/>
            <rFont val="Tahoma"/>
            <family val="2"/>
          </rPr>
          <t xml:space="preserve">
This cell denotes the value of the Performance Based Incentive applicable to the project's first year of commercial operation. In some cases, this value will need to be calculated external to the model if such PBI is derived from a "base year" and specified inflation index. The following cells can be used to account for inflation and the maximum term of eligibility.
Input cannot be less than zero.
</t>
        </r>
      </text>
    </comment>
    <comment ref="I215" authorId="0" shapeId="0" xr:uid="{EE829456-D85F-4496-B923-0EB624B20B66}">
      <text>
        <r>
          <rPr>
            <b/>
            <sz val="14"/>
            <color indexed="81"/>
            <rFont val="Tahoma"/>
            <family val="2"/>
          </rPr>
          <t xml:space="preserve">Note:
</t>
        </r>
        <r>
          <rPr>
            <sz val="14"/>
            <color indexed="81"/>
            <rFont val="Tahoma"/>
            <family val="2"/>
          </rPr>
          <t xml:space="preserve">This cell calculates the resulting dollar value cost of royalties paid to landowners or other stakeholders based on the input above and project revenue.  It is provided simply as a reference for the user.
</t>
        </r>
        <r>
          <rPr>
            <sz val="8"/>
            <color indexed="81"/>
            <rFont val="Tahoma"/>
            <family val="2"/>
          </rPr>
          <t xml:space="preserve">
</t>
        </r>
      </text>
    </comment>
    <comment ref="S215" authorId="0" shapeId="0" xr:uid="{F91CB602-CF55-4B09-9167-691D86572FBF}">
      <text>
        <r>
          <rPr>
            <b/>
            <sz val="14"/>
            <color indexed="81"/>
            <rFont val="Tahoma"/>
            <family val="2"/>
          </rPr>
          <t>Note:</t>
        </r>
        <r>
          <rPr>
            <sz val="14"/>
            <color indexed="81"/>
            <rFont val="Tahoma"/>
            <family val="2"/>
          </rPr>
          <t xml:space="preserve">
This is the length of time that a project would be eligible for any Performance Based Incentives outlined in the cell immediately above. For example, the Federal Renewable Energy Production Incentive and Production Tax Credit incentives are available for the first 10 years of project operation.
Input cannot be less than zero.
</t>
        </r>
      </text>
    </comment>
    <comment ref="S216" authorId="0" shapeId="0" xr:uid="{2B199E09-94BE-4CB9-8768-9BC6285399D1}">
      <text>
        <r>
          <rPr>
            <b/>
            <sz val="14"/>
            <color indexed="81"/>
            <rFont val="Tahoma"/>
            <family val="2"/>
          </rPr>
          <t xml:space="preserve">Note:
</t>
        </r>
        <r>
          <rPr>
            <sz val="14"/>
            <color indexed="81"/>
            <rFont val="Tahoma"/>
            <family val="2"/>
          </rPr>
          <t xml:space="preserve">Performance Based Incentives are often adjusted to account for inflation. For example, the Federal Production Tax Credit (PTC) is adjusted each year to account for changes in the GDP IPD index. This cell can be used as a proxy for the inflation that would apply to any PBI incentive entered above.
This input cannot be left blank.
</t>
        </r>
      </text>
    </comment>
    <comment ref="F217" authorId="0" shapeId="0" xr:uid="{FF474D35-F401-4CD1-8717-98471732439B}">
      <text>
        <r>
          <rPr>
            <b/>
            <sz val="8"/>
            <color indexed="81"/>
            <rFont val="Tahoma"/>
            <family val="2"/>
          </rPr>
          <t>See "unit" definitions at the bottom of this worksheet.</t>
        </r>
        <r>
          <rPr>
            <sz val="8"/>
            <color indexed="81"/>
            <rFont val="Tahoma"/>
            <family val="2"/>
          </rPr>
          <t xml:space="preserve">
</t>
        </r>
      </text>
    </comment>
    <comment ref="S217" authorId="0" shapeId="0" xr:uid="{952C6030-4D4C-4F42-8504-FA6733593C68}">
      <text>
        <r>
          <rPr>
            <b/>
            <sz val="14"/>
            <color indexed="81"/>
            <rFont val="Tahoma"/>
            <family val="2"/>
          </rPr>
          <t xml:space="preserve">Note:
</t>
        </r>
        <r>
          <rPr>
            <sz val="14"/>
            <color indexed="81"/>
            <rFont val="Tahoma"/>
            <family val="2"/>
          </rPr>
          <t xml:space="preserve">In some cases, due to the nature of the requirements of some Performance Based Incentive programs, project owners are unable to maximize the full revenue stream of the incentive. For example, in the case of the Federal Production Tax Credit (PTC), the project owner may not have sufficienct tax appetite to fully utilize the tax credits. 
This input cell would allow the modeler to account for the owner's inability to fully utilize the PTC and/or the reduction of the PTC (a "haircut") due to the presence of subsidized (below market interest rate) financing.
Input must be between 0% and 100%.
</t>
        </r>
        <r>
          <rPr>
            <sz val="8"/>
            <color indexed="81"/>
            <rFont val="Tahoma"/>
            <family val="2"/>
          </rPr>
          <t xml:space="preserve">
</t>
        </r>
      </text>
    </comment>
    <comment ref="I218" authorId="0" shapeId="0" xr:uid="{355ADF86-0439-44DD-93D7-F6D2A856297C}">
      <text>
        <r>
          <rPr>
            <b/>
            <sz val="14"/>
            <color indexed="81"/>
            <rFont val="Tahoma"/>
            <family val="2"/>
          </rPr>
          <t xml:space="preserve">Note:
</t>
        </r>
        <r>
          <rPr>
            <sz val="14"/>
            <color indexed="81"/>
            <rFont val="Tahoma"/>
            <family val="2"/>
          </rPr>
          <t xml:space="preserve">The # of months from construction start to commercial operation. This input cannot be less than zero.
</t>
        </r>
      </text>
    </comment>
    <comment ref="S218" authorId="0" shapeId="0" xr:uid="{AAE66639-FCAF-4003-8B57-3341299E3DF2}">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I219" authorId="0" shapeId="0" xr:uid="{CE996710-C7B0-4671-9770-B3DF54950261}">
      <text>
        <r>
          <rPr>
            <b/>
            <sz val="14"/>
            <color indexed="81"/>
            <rFont val="Tahoma"/>
            <family val="2"/>
          </rPr>
          <t xml:space="preserve">Note:
</t>
        </r>
        <r>
          <rPr>
            <sz val="14"/>
            <color indexed="81"/>
            <rFont val="Tahoma"/>
            <family val="2"/>
          </rPr>
          <t xml:space="preserve">The annual interest rate on construction debt. This input cannot be less than zero.
</t>
        </r>
      </text>
    </comment>
    <comment ref="I220" authorId="0" shapeId="0" xr:uid="{D90708CC-5683-4A56-8EDF-9DA44F9EAAC9}">
      <text>
        <r>
          <rPr>
            <b/>
            <sz val="14"/>
            <color indexed="81"/>
            <rFont val="Tahoma"/>
            <family val="2"/>
          </rPr>
          <t xml:space="preserve">Note:
</t>
        </r>
        <r>
          <rPr>
            <sz val="14"/>
            <color indexed="81"/>
            <rFont val="Tahoma"/>
            <family val="2"/>
          </rPr>
          <t xml:space="preserve">A calculated value showing the interest accrued during the construction period. Rather than requiring the user to define a detailed construction draw-down schedule, this calculation makes the simplifying assumption that the total project cost is spent in equal parts in each month of the construction period.
IDC is calculated on total project cost, assuming that any grants are collected after construction financing is repaid at time of permanent financing.
This cell is only used with the "Intermediate" and "Complex" capital cost options. The "Simple" capital cost option assumes that all project costs, including IDC, are included in the single input.
</t>
        </r>
      </text>
    </comment>
    <comment ref="S220" authorId="0" shapeId="0" xr:uid="{EFFF574C-C4B2-4F50-BDD0-3F0F630BDFE0}">
      <text>
        <r>
          <rPr>
            <b/>
            <sz val="14"/>
            <color indexed="81"/>
            <rFont val="Tahoma"/>
            <family val="2"/>
          </rPr>
          <t xml:space="preserve">Note:
</t>
        </r>
        <r>
          <rPr>
            <sz val="14"/>
            <color indexed="81"/>
            <rFont val="Tahoma"/>
            <family val="2"/>
          </rPr>
          <t xml:space="preserve">Include here the total dollar value of any state-specific cash grants or rebates.
Input cannot be less than zero.
</t>
        </r>
      </text>
    </comment>
    <comment ref="S221" authorId="0" shapeId="0" xr:uid="{359A4BCE-2950-4BCC-BE3A-5BF5F221735F}">
      <text>
        <r>
          <rPr>
            <b/>
            <sz val="14"/>
            <color indexed="81"/>
            <rFont val="Tahoma"/>
            <family val="2"/>
          </rPr>
          <t xml:space="preserve">Note:
</t>
        </r>
        <r>
          <rPr>
            <sz val="14"/>
            <color indexed="81"/>
            <rFont val="Tahoma"/>
            <family val="2"/>
          </rPr>
          <t xml:space="preserve">Select here whether state grants are treated as taxable income.  If no, depreciation basis is reduced. 
</t>
        </r>
      </text>
    </comment>
    <comment ref="F222" authorId="0" shapeId="0" xr:uid="{941CC2FD-5663-4D9E-8F47-5D66C20AAAC0}">
      <text>
        <r>
          <rPr>
            <b/>
            <sz val="8"/>
            <color indexed="81"/>
            <rFont val="Tahoma"/>
            <family val="2"/>
          </rPr>
          <t>See "unit" definitions at the bottom of this worksheet.</t>
        </r>
        <r>
          <rPr>
            <sz val="8"/>
            <color indexed="81"/>
            <rFont val="Tahoma"/>
            <family val="2"/>
          </rPr>
          <t xml:space="preserve">
</t>
        </r>
      </text>
    </comment>
    <comment ref="I223" authorId="0" shapeId="0" xr:uid="{D6AAF46B-E752-4098-8C46-ADDC508FA059}">
      <text>
        <r>
          <rPr>
            <b/>
            <sz val="14"/>
            <color indexed="81"/>
            <rFont val="Tahoma"/>
            <family val="2"/>
          </rPr>
          <t xml:space="preserve">Note:
</t>
        </r>
        <r>
          <rPr>
            <sz val="14"/>
            <color indexed="81"/>
            <rFont val="Tahoma"/>
            <family val="2"/>
          </rPr>
          <t xml:space="preserve">For ease of use and comprehension by a wide range of stakeholders, this model allows the user to define the capital structure, and relies on mortgage-style amortization of the project debt. The "% Debt" input specifies the portion of funds borrowed, as a percentage of the total "hard costs." Equity is assumed to fund the remaining hard costs PLUS all "soft costs" (e.g. transaction costs and funding of initial reserve accounts, if applicable).  This input cannot be less than zero.
Where maximum sustainable leverage is desired, the user must manually adjust the "% Debt" entry upward to the highest point </t>
        </r>
        <r>
          <rPr>
            <b/>
            <i/>
            <sz val="14"/>
            <color indexed="81"/>
            <rFont val="Tahoma"/>
            <family val="2"/>
          </rPr>
          <t>before</t>
        </r>
        <r>
          <rPr>
            <sz val="14"/>
            <color indexed="81"/>
            <rFont val="Tahoma"/>
            <family val="2"/>
          </rPr>
          <t xml:space="preserve"> the DSCRs no longer "Pass."
If a specific % Debt is desired, </t>
        </r>
        <r>
          <rPr>
            <u/>
            <sz val="14"/>
            <color indexed="81"/>
            <rFont val="Tahoma"/>
            <family val="2"/>
          </rPr>
          <t>and such % is higher than the maximum sustainable debt</t>
        </r>
        <r>
          <rPr>
            <sz val="14"/>
            <color indexed="81"/>
            <rFont val="Tahoma"/>
            <family val="2"/>
          </rPr>
          <t xml:space="preserve"> (such that it causes the DSCR to "Fail"), then the user must define the % Debt and then manually adjust the "Target After-Tax Equity IRR" upward until the DSCRs are met.  The user should </t>
        </r>
        <r>
          <rPr>
            <b/>
            <sz val="14"/>
            <color indexed="81"/>
            <rFont val="Tahoma"/>
            <family val="2"/>
          </rPr>
          <t>take note</t>
        </r>
        <r>
          <rPr>
            <sz val="14"/>
            <color indexed="81"/>
            <rFont val="Tahoma"/>
            <family val="2"/>
          </rPr>
          <t xml:space="preserve"> that when leverage becomes very high (and the corresponding equity contribution low), the "Target After-Tax Equity IRR" will need to be adjusted to levels exceeding typical commercial returns </t>
        </r>
        <r>
          <rPr>
            <u/>
            <sz val="14"/>
            <color indexed="81"/>
            <rFont val="Tahoma"/>
            <family val="2"/>
          </rPr>
          <t>in order to maintain the DSCR ratio</t>
        </r>
        <r>
          <rPr>
            <sz val="14"/>
            <color indexed="81"/>
            <rFont val="Tahoma"/>
            <family val="2"/>
          </rPr>
          <t xml:space="preserve"> on such high debt levels.  For this reason, it is not recommended that users solve for the COE associated with a % Debt that is beyond the maximum sustainable leverage.
If a project is expected to be funded either by a pool of corporate funds or back-leveraged after commercial operation, the user might elect to enter 0% in the "% Debt" cell and enter a weighted average cost of capital (WACC) in the "Target After-Tax Equity IRR" cell.
</t>
        </r>
      </text>
    </comment>
    <comment ref="I224" authorId="1" shapeId="0" xr:uid="{798406DC-8866-4762-BB10-40E586B8465D}">
      <text>
        <r>
          <rPr>
            <b/>
            <sz val="14"/>
            <color indexed="81"/>
            <rFont val="Tahoma"/>
            <family val="2"/>
          </rPr>
          <t>Note:</t>
        </r>
        <r>
          <rPr>
            <sz val="14"/>
            <color indexed="81"/>
            <rFont val="Tahoma"/>
            <family val="2"/>
          </rPr>
          <t xml:space="preserve">
Debt "tenor" (also casually referred to as "term"), is the number of years in the debt repayment schedule.   
Caution: If the project will utilize debt, this value must be greater than zero but less than or equal to the total FIT contract duration.
</t>
        </r>
      </text>
    </comment>
    <comment ref="S224" authorId="0" shapeId="0" xr:uid="{0721A81F-E23C-42DF-833A-307C96F661DB}">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225" authorId="1" shapeId="0" xr:uid="{1913C028-3867-4A74-8BFF-72B716265C9C}">
      <text>
        <r>
          <rPr>
            <b/>
            <sz val="14"/>
            <color indexed="81"/>
            <rFont val="Tahoma"/>
            <family val="2"/>
          </rPr>
          <t>Note:</t>
        </r>
        <r>
          <rPr>
            <sz val="14"/>
            <color indexed="81"/>
            <rFont val="Tahoma"/>
            <family val="2"/>
          </rPr>
          <t xml:space="preserve">
The all-in interest rate is the financing rate provided by the bank or other debt investor.
This input cannot be less than zero.
</t>
        </r>
      </text>
    </comment>
    <comment ref="S225" authorId="0" shapeId="0" xr:uid="{0150F5CD-97D4-4FC2-B91F-1BDBAC70338F}">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226" authorId="0" shapeId="0" xr:uid="{D8819249-99D3-4F8B-A9F6-3CB64B9C5C04}">
      <text>
        <r>
          <rPr>
            <b/>
            <sz val="14"/>
            <color indexed="81"/>
            <rFont val="Tahoma"/>
            <family val="2"/>
          </rPr>
          <t xml:space="preserve">Note:
</t>
        </r>
        <r>
          <rPr>
            <sz val="14"/>
            <color indexed="81"/>
            <rFont val="Tahoma"/>
            <family val="2"/>
          </rPr>
          <t xml:space="preserve">A one-time fee collected by the lender and calculated as a % of the total loan amount. This value is typically between 1% and 4%.
This input cannot be less than zero.
</t>
        </r>
      </text>
    </comment>
    <comment ref="S226" authorId="0" shapeId="0" xr:uid="{6896CAFA-CF01-43CD-8C9A-A353BE4C9F6A}">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227" authorId="1" shapeId="0" xr:uid="{1F01351E-B57F-48EE-BF66-49B0EB34C8DF}">
      <text>
        <r>
          <rPr>
            <b/>
            <sz val="14"/>
            <color indexed="81"/>
            <rFont val="Tahoma"/>
            <family val="2"/>
          </rPr>
          <t>Note:</t>
        </r>
        <r>
          <rPr>
            <sz val="14"/>
            <color indexed="81"/>
            <rFont val="Tahoma"/>
            <family val="2"/>
          </rPr>
          <t xml:space="preserve">
The annual Debt Service Coverage Ratio is calculated by dividing the sum of the annual principal and interest payment into that year's operating cash flow. Lenders will require the DSCR to demonstrate the project's ability to easily meet its annual debt service obligation.
Average DSCRs over the life of the loan typically range from 1.2 to 1.5 for private, commercially financed projects, or from 1.1 to 1.3 for publicly owned, bond-financed projects - depending on the level of reserves, or other surety, provided. 
The annual minimum DSCR will depend on the specific terms of the loan and the probability-weighting of the production estimate, but will likely be in the range of 1.0 to 1.3. This input must be greater than 1.
</t>
        </r>
      </text>
    </comment>
    <comment ref="S227" authorId="0" shapeId="0" xr:uid="{7A55D7F2-A0D6-47DF-AEA8-F8BD722314BE}">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228" authorId="0" shapeId="0" xr:uid="{4B69F3DF-E612-49DF-AC27-ADAB10E4D591}">
      <text>
        <r>
          <rPr>
            <b/>
            <sz val="14"/>
            <color indexed="81"/>
            <rFont val="Tahoma"/>
            <family val="2"/>
          </rPr>
          <t>Note:</t>
        </r>
        <r>
          <rPr>
            <sz val="14"/>
            <color indexed="81"/>
            <rFont val="Tahoma"/>
            <family val="2"/>
          </rPr>
          <t xml:space="preserve">
If "#N/A" appears, F9 should be pressed until the calculated COE achieves it's final value.</t>
        </r>
      </text>
    </comment>
    <comment ref="S228" authorId="0" shapeId="0" xr:uid="{6BEF334B-9423-4CCE-80BB-42D6D99058BD}">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229" authorId="1" shapeId="0" xr:uid="{7A26736C-1214-44E6-B2FB-74EB6C5B09C8}">
      <text>
        <r>
          <rPr>
            <b/>
            <sz val="14"/>
            <color indexed="81"/>
            <rFont val="Tahoma"/>
            <family val="2"/>
          </rPr>
          <t>Note:</t>
        </r>
        <r>
          <rPr>
            <sz val="14"/>
            <color indexed="81"/>
            <rFont val="Tahoma"/>
            <family val="2"/>
          </rPr>
          <t xml:space="preserve">
This cell checks that the debt service coverage ratio exceeds the user-defined minimum in each operating year (see note in DSCR cell for definition and rationale for DSCR). If the test "fails", the user must choose from one of several options in order to cure this deficiency (the extent to which these options are available will be specific to each project):
1. reduce the amount of project level debt, 
2. increase the feed-in tariff rate in order to generate cash flow sufficient to meet the bank's assumed coverage requirement.  In the CREST model, </t>
        </r>
        <r>
          <rPr>
            <u/>
            <sz val="14"/>
            <color indexed="81"/>
            <rFont val="Tahoma"/>
            <family val="2"/>
          </rPr>
          <t>this is done by manually increasing the "Target After-Tax Equity IRR."</t>
        </r>
        <r>
          <rPr>
            <sz val="14"/>
            <color indexed="81"/>
            <rFont val="Tahoma"/>
            <family val="2"/>
          </rPr>
          <t xml:space="preserve">
Other possible, but less likely, mechanisms include:
3. increase the loan tenor
4. decrease the interest rate</t>
        </r>
      </text>
    </comment>
    <comment ref="S229" authorId="0" shapeId="0" xr:uid="{AC186228-B875-41EB-8233-0BF9E0A4B43F}">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230" authorId="1" shapeId="0" xr:uid="{95EAA27B-A4B1-4B28-BD2C-7CB3690ECC07}">
      <text>
        <r>
          <rPr>
            <b/>
            <sz val="14"/>
            <color indexed="81"/>
            <rFont val="Tahoma"/>
            <family val="2"/>
          </rPr>
          <t>Note:</t>
        </r>
        <r>
          <rPr>
            <sz val="14"/>
            <color indexed="81"/>
            <rFont val="Tahoma"/>
            <family val="2"/>
          </rPr>
          <t xml:space="preserve">
The annual Debt Service Coverage Ratio is calculated by dividing the sum of the annual principal and interest payment into that year's operating cash flow. Lenders will require the DSCR to demonstrate the project's ability to easily meet its annual debt service obligation.
</t>
        </r>
        <r>
          <rPr>
            <u/>
            <sz val="14"/>
            <color indexed="81"/>
            <rFont val="Tahoma"/>
            <family val="2"/>
          </rPr>
          <t>Average</t>
        </r>
        <r>
          <rPr>
            <sz val="14"/>
            <color indexed="81"/>
            <rFont val="Tahoma"/>
            <family val="2"/>
          </rPr>
          <t xml:space="preserve"> DSCRs over the life of the loan typically range from 1.2 to 1.5 for private, commercially financed projects, or from 1.1 to 1.3 for publicly owned, bond-financed projects - depending on the level of reserves, or other surety, provided. 
The </t>
        </r>
        <r>
          <rPr>
            <u/>
            <sz val="14"/>
            <color indexed="81"/>
            <rFont val="Tahoma"/>
            <family val="2"/>
          </rPr>
          <t>annual minimum</t>
        </r>
        <r>
          <rPr>
            <sz val="14"/>
            <color indexed="81"/>
            <rFont val="Tahoma"/>
            <family val="2"/>
          </rPr>
          <t xml:space="preserve"> DSCR will depend on the specific terms of the loan and the probability-weighting of the production estimate, but will likely be in the range of 1.0 to 1.3. This input must be greater than 1.
</t>
        </r>
      </text>
    </comment>
    <comment ref="S230" authorId="0" shapeId="0" xr:uid="{FB6168C9-FAAE-4B98-83D2-9FC6FA792034}">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231" authorId="0" shapeId="0" xr:uid="{78F0CBFF-1096-49EB-9490-E782F6E58A11}">
      <text>
        <r>
          <rPr>
            <b/>
            <sz val="12"/>
            <color indexed="81"/>
            <rFont val="Tahoma"/>
            <family val="2"/>
          </rPr>
          <t>Note:</t>
        </r>
        <r>
          <rPr>
            <sz val="12"/>
            <color indexed="81"/>
            <rFont val="Tahoma"/>
            <family val="2"/>
          </rPr>
          <t xml:space="preserve">
If "#N/A" appears, F9 should be pressed until the calculated COE achieves it's final value.</t>
        </r>
      </text>
    </comment>
    <comment ref="S231" authorId="0" shapeId="0" xr:uid="{E4814BDA-91AE-4133-82D7-87C2B07CBFE2}">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232" authorId="1" shapeId="0" xr:uid="{B3DF0801-7AE3-4B89-B8D8-4650B08E8849}">
      <text>
        <r>
          <rPr>
            <b/>
            <sz val="14"/>
            <color indexed="81"/>
            <rFont val="Tahoma"/>
            <family val="2"/>
          </rPr>
          <t>Note:</t>
        </r>
        <r>
          <rPr>
            <sz val="14"/>
            <color indexed="81"/>
            <rFont val="Tahoma"/>
            <family val="2"/>
          </rPr>
          <t xml:space="preserve">
This cell checks that the average debt service coverage ratio exceeds the user-defined minimum during the period for which debt is outstanding (see note in DSCR cell for definition and rationale for DSCR). If the test "fails", the user must choose from one of several options in order to cure this deficiency (the extent to which these options are available will be specific to each project):
1. reduce the amount of project level debt, 
2. increase the feed-in tariff rate in order to generate cash flow sufficient to meet the bank's assumed coverage requirement.  In the CREST model, </t>
        </r>
        <r>
          <rPr>
            <u/>
            <sz val="14"/>
            <color indexed="81"/>
            <rFont val="Tahoma"/>
            <family val="2"/>
          </rPr>
          <t>this is done by manually increasing the "Target After-Tax Equity IRR."</t>
        </r>
        <r>
          <rPr>
            <sz val="14"/>
            <color indexed="81"/>
            <rFont val="Tahoma"/>
            <family val="2"/>
          </rPr>
          <t xml:space="preserve">
Other possible, but less likely, mechanisms include:
3. increase the loan tenor
4. decrease the interest rate</t>
        </r>
      </text>
    </comment>
    <comment ref="I233" authorId="0" shapeId="0" xr:uid="{6157E973-48FD-4637-845B-7D627FCAC800}">
      <text>
        <r>
          <rPr>
            <b/>
            <sz val="14"/>
            <color indexed="81"/>
            <rFont val="Tahoma"/>
            <family val="2"/>
          </rPr>
          <t xml:space="preserve">Note:
</t>
        </r>
        <r>
          <rPr>
            <sz val="14"/>
            <color indexed="81"/>
            <rFont val="Tahoma"/>
            <family val="2"/>
          </rPr>
          <t xml:space="preserve">The portion of total project cost funded from equity investors. This cell is a calculation and not an input. It is calculated as 100% minus the "% Debt" entered above.
</t>
        </r>
      </text>
    </comment>
    <comment ref="P233" authorId="0" shapeId="0" xr:uid="{201DF1CB-8ADB-4366-BE7F-E8D5C9F1C9F7}">
      <text>
        <r>
          <rPr>
            <b/>
            <sz val="8"/>
            <color indexed="81"/>
            <rFont val="Tahoma"/>
            <family val="2"/>
          </rPr>
          <t>See "unit" definitions at the bottom of this worksheet.</t>
        </r>
        <r>
          <rPr>
            <sz val="8"/>
            <color indexed="81"/>
            <rFont val="Tahoma"/>
            <family val="2"/>
          </rPr>
          <t xml:space="preserve">
</t>
        </r>
      </text>
    </comment>
    <comment ref="I234" authorId="1" shapeId="0" xr:uid="{FE12D7D4-3437-4796-9244-6D1E2EF5398B}">
      <text>
        <r>
          <rPr>
            <b/>
            <sz val="14"/>
            <color indexed="81"/>
            <rFont val="Tahoma"/>
            <family val="2"/>
          </rPr>
          <t>Note:</t>
        </r>
        <r>
          <rPr>
            <sz val="14"/>
            <color indexed="81"/>
            <rFont val="Tahoma"/>
            <family val="2"/>
          </rPr>
          <t xml:space="preserve">
The target after-tax equity IRR is the equity investor's cost of capital -- or "discount rate" -- and is the minimum rate of return that the project owner will seek to attain in order to justify the project compared to alternative investments.  
The user should be explicit in his or her assumption regarding the term over which the target after-tax IRR is assumed to be realized. For example, the user could elect to align the return requirement with the tariff payment duration. In this case, the project useful life should be set equal to the tariff duration in order to calculate the COE associated with the target IRR over that period of time. 
In a second example, the user could elect to align the return requirement with the project's useful life. In this case, the user can either assume a tariff duration equal to the project life, or assume market-based revenue for the period after the tariff and before the end of the assumed project useful life.
This input cannot be less than zero.
If a project is expected to be funded either by a pool of corporate funds or back-leveraged after commercial operation, the user might elect to enter 0% in the "% Debt" cell and enter a weighted average cost of capital (WACC) in the "Target After-Tax Equity IRR" cell.
</t>
        </r>
      </text>
    </comment>
    <comment ref="I235" authorId="0" shapeId="0" xr:uid="{CD3E2319-F966-4212-8CE4-7DDA98B7A3E4}">
      <text>
        <r>
          <rPr>
            <b/>
            <sz val="14"/>
            <color indexed="81"/>
            <rFont val="Tahoma"/>
            <family val="2"/>
          </rPr>
          <t xml:space="preserve">Note:
</t>
        </r>
        <r>
          <rPr>
            <sz val="14"/>
            <color indexed="81"/>
            <rFont val="Tahoma"/>
            <family val="2"/>
          </rPr>
          <t xml:space="preserve">The weighted average cost of capital combines the after-tax cost of both equity and debt in proportion to their use, and is calculated here for reference.
</t>
        </r>
      </text>
    </comment>
    <comment ref="S235" authorId="1" shapeId="0" xr:uid="{409B67A7-7420-4452-A139-3EC1712CC9FD}">
      <text>
        <r>
          <rPr>
            <b/>
            <sz val="14"/>
            <color indexed="81"/>
            <rFont val="Tahoma"/>
            <family val="2"/>
          </rPr>
          <t xml:space="preserve">Note:
</t>
        </r>
        <r>
          <rPr>
            <sz val="14"/>
            <color indexed="81"/>
            <rFont val="Tahoma"/>
            <family val="2"/>
          </rPr>
          <t xml:space="preserve">In order to ensure that project owners have sufficient funds to decommission and remove equipment at the end of a project's life, many owners choose to create and fund a reserve account throughout the course of project. 
This input cell allows the modeler to choose whether to pay for project removal by creating and funding a reserve account over the project life by selecting "Operations" or to assume that a project's removal will be funded by selling the equipment, by selecting "Salvage".
</t>
        </r>
      </text>
    </comment>
    <comment ref="I236" authorId="0" shapeId="0" xr:uid="{6F6C8F12-C265-4623-8B59-8D48C7846CA7}">
      <text>
        <r>
          <rPr>
            <b/>
            <sz val="14"/>
            <color indexed="81"/>
            <rFont val="Tahoma"/>
            <family val="2"/>
          </rPr>
          <t xml:space="preserve">Note:
</t>
        </r>
        <r>
          <rPr>
            <sz val="14"/>
            <color indexed="81"/>
            <rFont val="Tahoma"/>
            <family val="2"/>
          </rPr>
          <t>This cell represents the costs of both equity and debt due diligence (if applicable) and other transaction costs.
Input cannot be less than zero.</t>
        </r>
      </text>
    </comment>
    <comment ref="S236" authorId="0" shapeId="0" xr:uid="{55262EDE-FFB6-48B8-9E41-769B445DB0A8}">
      <text>
        <r>
          <rPr>
            <b/>
            <sz val="14"/>
            <color indexed="81"/>
            <rFont val="Tahoma"/>
            <family val="2"/>
          </rPr>
          <t>Note:</t>
        </r>
        <r>
          <rPr>
            <sz val="14"/>
            <color indexed="81"/>
            <rFont val="Tahoma"/>
            <family val="2"/>
          </rPr>
          <t xml:space="preserve">
This input cell allows the user to assume the creation of a reserve account. The value entered here will be accounted for in the project's cash flow, and would be funded evenly over the number of years available between the project's commercial operation and the end of its useful life.
Input cannot be less than zero.
</t>
        </r>
      </text>
    </comment>
    <comment ref="P238" authorId="0" shapeId="0" xr:uid="{A823C5B3-EA28-4578-8B80-D4FCB1DB90D5}">
      <text>
        <r>
          <rPr>
            <b/>
            <sz val="8"/>
            <color indexed="81"/>
            <rFont val="Tahoma"/>
            <family val="2"/>
          </rPr>
          <t>See "unit" definitions at the bottom of this worksheet.</t>
        </r>
        <r>
          <rPr>
            <sz val="8"/>
            <color indexed="81"/>
            <rFont val="Tahoma"/>
            <family val="2"/>
          </rPr>
          <t xml:space="preserve">
</t>
        </r>
      </text>
    </comment>
    <comment ref="I239" authorId="0" shapeId="0" xr:uid="{F7F9C113-6035-4F8F-9E34-3AC5D3ACAB04}">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at the project's "Total Installed Cost."
</t>
        </r>
      </text>
    </comment>
    <comment ref="I240" authorId="0" shapeId="0" xr:uid="{E24BA5B2-4E61-493E-A16D-3AA2A3056490}">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t>
        </r>
      </text>
    </comment>
    <comment ref="S240" authorId="0" shapeId="0" xr:uid="{5AEC457A-A571-495E-A997-2EE3C8B6AA07}">
      <text>
        <r>
          <rPr>
            <b/>
            <sz val="14"/>
            <color indexed="81"/>
            <rFont val="Tahoma"/>
            <family val="2"/>
          </rPr>
          <t>Note:</t>
        </r>
        <r>
          <rPr>
            <sz val="14"/>
            <color indexed="81"/>
            <rFont val="Tahoma"/>
            <family val="2"/>
          </rPr>
          <t xml:space="preserve">
Lenders typically require the project owner to establish a reserve account prior to the commencement of operations to ensure that loan repayments occur in full and on time even if the project has insufficient operating cash flow in a specific period due to lower than expected production, higher costs, or both. The size of the reserve account is typically equal to 6 months of debt service obligation.
Input cannot be less than zero.
</t>
        </r>
      </text>
    </comment>
    <comment ref="I241" authorId="0" shapeId="0" xr:uid="{3D8115E7-B65F-4EED-A3E2-F58E2A5E4A27}">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As previously described, this value excludes the ITC Cash Grant, which must be financed prior to commercial operation.  
</t>
        </r>
      </text>
    </comment>
    <comment ref="S241" authorId="0" shapeId="0" xr:uid="{4E1FFFF1-3316-483A-9377-4ECD05801AC1}">
      <text>
        <r>
          <rPr>
            <b/>
            <sz val="14"/>
            <color indexed="81"/>
            <rFont val="Tahoma"/>
            <family val="2"/>
          </rPr>
          <t>Note:</t>
        </r>
        <r>
          <rPr>
            <sz val="14"/>
            <color indexed="81"/>
            <rFont val="Tahoma"/>
            <family val="2"/>
          </rPr>
          <t xml:space="preserve">
Calculated value based on the # months of required reserve and the capital structure and associated periodic debt obligation.
</t>
        </r>
      </text>
    </comment>
    <comment ref="I242" authorId="0" shapeId="0" xr:uid="{1DAA7522-EF51-491D-B335-23ADD8AC4772}">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t>
        </r>
      </text>
    </comment>
    <comment ref="S243" authorId="0" shapeId="0" xr:uid="{193E2D0C-1AC5-4A98-A669-FF3BE2758043}">
      <text>
        <r>
          <rPr>
            <b/>
            <sz val="14"/>
            <color indexed="81"/>
            <rFont val="Tahoma"/>
            <family val="2"/>
          </rPr>
          <t>Note:</t>
        </r>
        <r>
          <rPr>
            <sz val="14"/>
            <color indexed="81"/>
            <rFont val="Tahoma"/>
            <family val="2"/>
          </rPr>
          <t xml:space="preserve">
Lenders typically require the project owner to establish a reserve account prior to the commencement of operations to ensure that all O&amp;M expenses can be met even if the project has insufficient operating cash flow in a specific period due to lower than expected production, higher costs, or both. The size of the reserve account is typically 3 to 6 months of O&amp;M expenses, and includes all categories of O&amp;M expenses.
Input cannot be less than zero.
</t>
        </r>
      </text>
    </comment>
    <comment ref="F244" authorId="0" shapeId="0" xr:uid="{D1D6C9DE-25C3-4E7B-BA13-A80F1B67B410}">
      <text>
        <r>
          <rPr>
            <b/>
            <sz val="8"/>
            <color indexed="81"/>
            <rFont val="Tahoma"/>
            <family val="2"/>
          </rPr>
          <t>See "unit" definitions at the bottom of this worksheet.</t>
        </r>
        <r>
          <rPr>
            <sz val="8"/>
            <color indexed="81"/>
            <rFont val="Tahoma"/>
            <family val="2"/>
          </rPr>
          <t xml:space="preserve">
</t>
        </r>
      </text>
    </comment>
    <comment ref="S244" authorId="0" shapeId="0" xr:uid="{B194F7DE-A44D-4FB7-9E3C-4502AA5D6213}">
      <text>
        <r>
          <rPr>
            <b/>
            <sz val="14"/>
            <color indexed="81"/>
            <rFont val="Tahoma"/>
            <family val="2"/>
          </rPr>
          <t>Note:</t>
        </r>
        <r>
          <rPr>
            <sz val="14"/>
            <color indexed="81"/>
            <rFont val="Tahoma"/>
            <family val="2"/>
          </rPr>
          <t xml:space="preserve">
Calculated value based on the # months of required reserve and all annual operating expenses.
</t>
        </r>
      </text>
    </comment>
    <comment ref="I245" authorId="0" shapeId="0" xr:uid="{A58C3A29-5E89-41C4-8BEB-E138CC05AD0A}">
      <text>
        <r>
          <rPr>
            <b/>
            <sz val="14"/>
            <color indexed="81"/>
            <rFont val="Tahoma"/>
            <family val="2"/>
          </rPr>
          <t xml:space="preserve">Note:
</t>
        </r>
        <r>
          <rPr>
            <sz val="14"/>
            <color indexed="81"/>
            <rFont val="Tahoma"/>
            <family val="2"/>
          </rPr>
          <t xml:space="preserve">Defines whether the project owner is a taxable or non-taxable entity. This determines the treatment of income taxes and other tax-related items.
</t>
        </r>
      </text>
    </comment>
    <comment ref="S245" authorId="0" shapeId="0" xr:uid="{14672CEB-6380-4408-A333-83ACDB3F5B96}">
      <text>
        <r>
          <rPr>
            <b/>
            <sz val="14"/>
            <color indexed="81"/>
            <rFont val="Tahoma"/>
            <family val="2"/>
          </rPr>
          <t>Note:</t>
        </r>
        <r>
          <rPr>
            <sz val="14"/>
            <color indexed="81"/>
            <rFont val="Tahoma"/>
            <family val="2"/>
          </rPr>
          <t xml:space="preserve">
Unused reserves earn interest at this rate. Input cannot be less than zero.
</t>
        </r>
      </text>
    </comment>
    <comment ref="I246" authorId="0" shapeId="0" xr:uid="{3D84BE2F-C169-4960-A9F0-0EEB09DD5B65}">
      <text>
        <r>
          <rPr>
            <b/>
            <sz val="14"/>
            <color indexed="81"/>
            <rFont val="Tahoma"/>
            <family val="2"/>
          </rPr>
          <t xml:space="preserve">Note:
</t>
        </r>
        <r>
          <rPr>
            <sz val="14"/>
            <color indexed="81"/>
            <rFont val="Tahoma"/>
            <family val="2"/>
          </rPr>
          <t xml:space="preserve">Defines the project's federal income tax rate, if applicable.
Input cannot be less than zero.
</t>
        </r>
      </text>
    </comment>
    <comment ref="I247" authorId="0" shapeId="0" xr:uid="{F3F66E2A-EB62-468C-A8EF-8B735ECA0A42}">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I248" authorId="0" shapeId="0" xr:uid="{F150A3C1-F0F3-4B15-94C5-88D2114F8E76}">
      <text>
        <r>
          <rPr>
            <b/>
            <sz val="14"/>
            <color indexed="81"/>
            <rFont val="Tahoma"/>
            <family val="2"/>
          </rPr>
          <t xml:space="preserve">Note:
</t>
        </r>
        <r>
          <rPr>
            <sz val="14"/>
            <color indexed="81"/>
            <rFont val="Tahoma"/>
            <family val="2"/>
          </rPr>
          <t xml:space="preserve">Defines the project's state income tax rate, if applicable.
Input cannot be less than zero.
</t>
        </r>
      </text>
    </comment>
    <comment ref="S248" authorId="0" shapeId="0" xr:uid="{A3BB2DE3-42B1-4F96-9F4C-3954906A0C0A}">
      <text>
        <r>
          <rPr>
            <b/>
            <sz val="14"/>
            <color indexed="81"/>
            <rFont val="Tahoma"/>
            <family val="2"/>
          </rPr>
          <t>Note:</t>
        </r>
        <r>
          <rPr>
            <sz val="14"/>
            <color indexed="81"/>
            <rFont val="Tahoma"/>
            <family val="2"/>
          </rPr>
          <t xml:space="preserve">
To qualify for Bonus Depreciation the property must have a recovery period of 20 years or less (under normal federal tax depreciation rules), and the project must commence operation in the year in which bonus depreciation is in effect and under the ownership of the entity claiming the deduction. 
For qualifying projects, the owner is entitled to deduct 50% of the adjusted basis of the property during the tax year the property is first placed in service. The remaining 50% of the adjusted basis of the property is depreciated over the ordinary MACRS depreciation schedule. The bonus depreciation rules do not override the depreciation limit applicable to projects qualifying for the federal ITC. Before calculating depreciation for such a project, including any bonus depreciation, the adjusted basis of the project must be reduced by one-half of the amount of the ITC for which the project qualifies. 
</t>
        </r>
      </text>
    </comment>
    <comment ref="I249" authorId="0" shapeId="0" xr:uid="{C6B9E7FB-0BD1-46EC-BA52-AD85AFEFC8B6}">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P249" authorId="0" shapeId="0" xr:uid="{F146D9D2-610D-43DA-A298-FE43DEDBE386}">
      <text>
        <r>
          <rPr>
            <b/>
            <sz val="12"/>
            <color indexed="81"/>
            <rFont val="Tahoma"/>
            <family val="2"/>
          </rPr>
          <t>Jason Gifford:</t>
        </r>
        <r>
          <rPr>
            <sz val="12"/>
            <color indexed="81"/>
            <rFont val="Tahoma"/>
            <family val="2"/>
          </rPr>
          <t xml:space="preserve">
The Consolidated Appropriations Act, signed in December 2015, extended the "placed in service" deadline for bonus depreciation. Equipment placed in service before January 1, 2018 can qualify for 50% bonus depreciation. Equipment placed in service during 2018 can qualify for 40% bonus depreciation. And equipment placed in service during 2019 can qualify for 30% bonus depreciation. </t>
        </r>
      </text>
    </comment>
    <comment ref="S249" authorId="0" shapeId="0" xr:uid="{969480C4-71BE-412C-A85D-206C019C2CEA}">
      <text>
        <r>
          <rPr>
            <b/>
            <sz val="14"/>
            <color indexed="81"/>
            <rFont val="Tahoma"/>
            <family val="2"/>
          </rPr>
          <t>Note:</t>
        </r>
        <r>
          <rPr>
            <sz val="14"/>
            <color indexed="81"/>
            <rFont val="Tahoma"/>
            <family val="2"/>
          </rPr>
          <t xml:space="preserve">
This input allows the user to define the bonus depreciation % applied in Year 1, if applicable.  Historically, federal bonus depreciation has been 50% of the eligible cost basis (after taking into account reductions in such cost basis for the ITC, if applicable).  
Input cannot be less than zero.
</t>
        </r>
      </text>
    </comment>
    <comment ref="I250" authorId="0" shapeId="0" xr:uid="{075209FB-8C19-458E-A79C-1820F4B5C1FB}">
      <text>
        <r>
          <rPr>
            <b/>
            <sz val="14"/>
            <color indexed="81"/>
            <rFont val="Tahoma"/>
            <family val="2"/>
          </rPr>
          <t xml:space="preserve">Note:
</t>
        </r>
        <r>
          <rPr>
            <sz val="14"/>
            <color indexed="81"/>
            <rFont val="Tahoma"/>
            <family val="2"/>
          </rPr>
          <t xml:space="preserve">Takes into account the interaction between federal and state tax rates. This is a calculated value.
</t>
        </r>
      </text>
    </comment>
    <comment ref="I251" authorId="0" shapeId="0" xr:uid="{E248F9E1-FF21-42A9-94B8-3C953C53ED7B}">
      <text>
        <r>
          <rPr>
            <b/>
            <sz val="14"/>
            <color indexed="81"/>
            <rFont val="Tahoma"/>
            <family val="2"/>
          </rPr>
          <t xml:space="preserve">Note:
</t>
        </r>
        <r>
          <rPr>
            <sz val="14"/>
            <color indexed="81"/>
            <rFont val="Tahoma"/>
            <family val="2"/>
          </rPr>
          <t>Depreciation accounts for the "use" of equipment for tax purposes. The depreciation inputs are provided in the table to the right and on the Complex Capital Costs tab when this option is selected.</t>
        </r>
      </text>
    </comment>
    <comment ref="AB252" authorId="0" shapeId="0" xr:uid="{85E931F5-C049-43C9-825C-BCD17DA81A0D}">
      <text>
        <r>
          <rPr>
            <b/>
            <sz val="14"/>
            <color indexed="81"/>
            <rFont val="Tahoma"/>
            <family val="2"/>
          </rPr>
          <t>Note:</t>
        </r>
        <r>
          <rPr>
            <sz val="14"/>
            <color indexed="81"/>
            <rFont val="Tahoma"/>
            <family val="2"/>
          </rPr>
          <t xml:space="preserve">
When the "Simple" capital cost option is selected, the depreciation of total project costs is divided among the classifications using this row. The depreciation options associated with other levels of cost detail will be hidden.
</t>
        </r>
        <r>
          <rPr>
            <b/>
            <sz val="14"/>
            <color indexed="81"/>
            <rFont val="Tahoma"/>
            <family val="2"/>
          </rPr>
          <t xml:space="preserve">This row must sum to 100%.
</t>
        </r>
      </text>
    </comment>
    <comment ref="AB253" authorId="0" shapeId="0" xr:uid="{4F8E8298-3C25-4CDF-B882-4DBA05A435C4}">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254" authorId="0" shapeId="0" xr:uid="{91457343-9025-4CDE-BB36-099CE1927E2C}">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255" authorId="0" shapeId="0" xr:uid="{E9898C51-D132-4F12-A380-11777F43D0C5}">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256" authorId="0" shapeId="0" xr:uid="{4496DC13-A0ED-405E-89C2-2413726F628E}">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257" authorId="0" shapeId="0" xr:uid="{F8574476-5EAF-448D-978C-EA81A035C0F0}">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258" authorId="0" shapeId="0" xr:uid="{82C428A7-3ADC-4047-8344-C0E5D75B6ED4}">
      <text>
        <r>
          <rPr>
            <b/>
            <sz val="14"/>
            <color indexed="81"/>
            <rFont val="Tahoma"/>
            <family val="2"/>
          </rPr>
          <t>Note:</t>
        </r>
        <r>
          <rPr>
            <sz val="14"/>
            <color indexed="81"/>
            <rFont val="Tahoma"/>
            <family val="2"/>
          </rPr>
          <t xml:space="preserve">
When the "Complex" capital cost option is selected, each line items is assigned its own depreciation classification using a drop-down menu on the Complex Capital Costs tab.
</t>
        </r>
      </text>
    </comment>
    <comment ref="C263" authorId="0" shapeId="0" xr:uid="{08FA8392-E26A-4787-8D97-1C1C630FEFD2}">
      <text>
        <r>
          <rPr>
            <sz val="14"/>
            <color indexed="81"/>
            <rFont val="Tahoma"/>
            <family val="2"/>
          </rPr>
          <t xml:space="preserve">The "Check" column evaluates whether or not values have been enterred in all required fields.  Green denotes an accepted entry in a required field or a calculation for which the minimum required precedents have been satisfied.  Red denotes the absence of an entry in a required field, or a calculation for which the minimum required precendents have NOT been satisfied.
</t>
        </r>
        <r>
          <rPr>
            <b/>
            <sz val="14"/>
            <color indexed="81"/>
            <rFont val="Tahoma"/>
            <family val="2"/>
          </rPr>
          <t>Please note</t>
        </r>
        <r>
          <rPr>
            <sz val="14"/>
            <color indexed="81"/>
            <rFont val="Tahoma"/>
            <family val="2"/>
          </rPr>
          <t xml:space="preserve"> that while the "Check" column ensures the population of all required fields, this column does NOT validate the magnitude of such entries.  It is the model user's responsibility to provide inputs which accurately represent the project being modeled.  In some cases, a range of typical values for a specified input are provided in that input's "Notes" cell.</t>
        </r>
      </text>
    </comment>
    <comment ref="I263" authorId="0" shapeId="0" xr:uid="{BB705D56-1571-4AD8-9C44-A530ABD74A08}">
      <text>
        <r>
          <rPr>
            <sz val="14"/>
            <color indexed="81"/>
            <rFont val="Tahoma"/>
            <family val="2"/>
          </rPr>
          <t xml:space="preserve">Each cell in the "Notes" column provides a brief description of the input in the corresponding row, its application within the model, and (in some cases) the range of values that might be expected to populate that  input cell.  It is the model user's responsibility, however, to research and validate the applicability of, and appropriate value for, each input.
</t>
        </r>
        <r>
          <rPr>
            <sz val="8"/>
            <color indexed="81"/>
            <rFont val="Tahoma"/>
            <family val="2"/>
          </rPr>
          <t xml:space="preserve">
</t>
        </r>
      </text>
    </comment>
    <comment ref="M263" authorId="0" shapeId="0" xr:uid="{4A514539-C082-43AE-913B-F8D5CFDB6E62}">
      <text>
        <r>
          <rPr>
            <sz val="14"/>
            <color indexed="81"/>
            <rFont val="Tahoma"/>
            <family val="2"/>
          </rPr>
          <t xml:space="preserve">The "Check" column evaluates whether or not values have been enterred in all required fields.  Green denotes an accepted entry in a required field or a calculation for which the minimum required precedents have been satisfied.  Red denotes the absence of an entry in a required field, or a calculation for which the minimum required precendents have NOT been satisfied.
</t>
        </r>
        <r>
          <rPr>
            <b/>
            <sz val="14"/>
            <color indexed="81"/>
            <rFont val="Tahoma"/>
            <family val="2"/>
          </rPr>
          <t>Please note</t>
        </r>
        <r>
          <rPr>
            <sz val="14"/>
            <color indexed="81"/>
            <rFont val="Tahoma"/>
            <family val="2"/>
          </rPr>
          <t xml:space="preserve"> that while the "Check" column ensures the population of all required fields, this column does NOT validate the magnitude of such entries.  It is the model user's responsibility to provide inputs which accurately represent the project being modeled.  In some cases, a range of typical values for a specified input are provided in that input's "Notes" cell.</t>
        </r>
      </text>
    </comment>
    <comment ref="S263" authorId="0" shapeId="0" xr:uid="{34233668-8AD9-44AA-BE84-89A36D65F6F6}">
      <text>
        <r>
          <rPr>
            <sz val="14"/>
            <color indexed="81"/>
            <rFont val="Tahoma"/>
            <family val="2"/>
          </rPr>
          <t>Each cell in the "Notes" column provides a brief description of the input in the corresponding row, its application within the model, and (in some cases) the range of values that might be expected to populate that  input cell. It is the model user's responsibility, however, to research and validate the applicability of, and appropriate value for, each input.</t>
        </r>
        <r>
          <rPr>
            <sz val="8"/>
            <color indexed="81"/>
            <rFont val="Tahoma"/>
            <family val="2"/>
          </rPr>
          <t xml:space="preserve">
</t>
        </r>
      </text>
    </comment>
    <comment ref="F265" authorId="0" shapeId="0" xr:uid="{EE376466-B1CF-414E-B029-63FEE9ED93DF}">
      <text>
        <r>
          <rPr>
            <b/>
            <sz val="8"/>
            <color indexed="81"/>
            <rFont val="Tahoma"/>
            <family val="2"/>
          </rPr>
          <t>See "unit" definitions at the bottom of this worksheet.</t>
        </r>
        <r>
          <rPr>
            <sz val="8"/>
            <color indexed="81"/>
            <rFont val="Tahoma"/>
            <family val="2"/>
          </rPr>
          <t xml:space="preserve">
</t>
        </r>
      </text>
    </comment>
    <comment ref="P265" authorId="0" shapeId="0" xr:uid="{2E0AE2B0-7B77-47BB-929B-A13CAA22D3FD}">
      <text>
        <r>
          <rPr>
            <b/>
            <sz val="8"/>
            <color indexed="81"/>
            <rFont val="Tahoma"/>
            <family val="2"/>
          </rPr>
          <t>See "unit" definitions at the bottom of this worksheet.</t>
        </r>
        <r>
          <rPr>
            <sz val="8"/>
            <color indexed="81"/>
            <rFont val="Tahoma"/>
            <family val="2"/>
          </rPr>
          <t xml:space="preserve">
</t>
        </r>
      </text>
    </comment>
    <comment ref="I266" authorId="1" shapeId="0" xr:uid="{F2460A67-626F-4D20-AF13-FFFF3FB556F0}">
      <text>
        <r>
          <rPr>
            <b/>
            <sz val="14"/>
            <color indexed="81"/>
            <rFont val="Tahoma"/>
            <family val="2"/>
          </rPr>
          <t>Note:</t>
        </r>
        <r>
          <rPr>
            <sz val="14"/>
            <color indexed="81"/>
            <rFont val="Tahoma"/>
            <family val="2"/>
          </rPr>
          <t xml:space="preserve">
This is the aggregate nameplate rating for the entire generating facility.
Input must be greater than zero.
</t>
        </r>
      </text>
    </comment>
    <comment ref="S266" authorId="1" shapeId="0" xr:uid="{761FED93-B96A-453E-AF66-7CDD0DCE7BD5}">
      <text>
        <r>
          <rPr>
            <b/>
            <sz val="14"/>
            <color indexed="81"/>
            <rFont val="Tahoma"/>
            <family val="2"/>
          </rPr>
          <t xml:space="preserve">Note:
</t>
        </r>
        <r>
          <rPr>
            <sz val="14"/>
            <color indexed="81"/>
            <rFont val="Tahoma"/>
            <family val="2"/>
          </rPr>
          <t xml:space="preserve">The FIT contract length is the number of years for which the rate specified by this model is available. This term is established by policymakers and must be less than or equal to the project's useful life.  
The contract duration is also different than the debt tenor (if applicable), which is specified in the Permanent Financing section below.
</t>
        </r>
      </text>
    </comment>
    <comment ref="I267" authorId="1" shapeId="0" xr:uid="{13A88699-2ACF-40F3-888D-8992CB90274F}">
      <text>
        <r>
          <rPr>
            <b/>
            <sz val="14"/>
            <color indexed="81"/>
            <rFont val="Tahoma"/>
            <family val="2"/>
          </rPr>
          <t>Note:</t>
        </r>
        <r>
          <rPr>
            <sz val="14"/>
            <color indexed="81"/>
            <rFont val="Tahoma"/>
            <family val="2"/>
          </rPr>
          <t xml:space="preserve">
Capacity Factor is the % representation of the actual production vs. the theoretical maximum annual production of an energy project. This model requires the input of a </t>
        </r>
        <r>
          <rPr>
            <b/>
            <sz val="14"/>
            <color indexed="81"/>
            <rFont val="Tahoma"/>
            <family val="2"/>
          </rPr>
          <t>Net Capacity Factor</t>
        </r>
        <r>
          <rPr>
            <sz val="14"/>
            <color indexed="81"/>
            <rFont val="Tahoma"/>
            <family val="2"/>
          </rPr>
          <t xml:space="preserve">, meaning that the estimate of actual energy production should take into account all electricity losses (including those incurred between the generating facility and the contract delivery point), scheduled and unscheduled maintenance, forced outages, wake effects, icing, and any other factors that could reduce production.
Wind projects typically have a capacity factor between 25% and 40% depending on region and site-specific topography. 
Input must be between 0% and 100%.
</t>
        </r>
      </text>
    </comment>
    <comment ref="S267" authorId="1" shapeId="0" xr:uid="{917CAC8D-8527-41A8-BA74-59A2CC911BE0}">
      <text>
        <r>
          <rPr>
            <b/>
            <sz val="14"/>
            <color indexed="81"/>
            <rFont val="Tahoma"/>
            <family val="2"/>
          </rPr>
          <t xml:space="preserve">Note:
</t>
        </r>
        <r>
          <rPr>
            <sz val="14"/>
            <color indexed="81"/>
            <rFont val="Tahoma"/>
            <family val="2"/>
          </rPr>
          <t xml:space="preserve">This is the portion (%) of the tariff which is subject to annual escalation.  
Program administrators may determine that some or all of the tariff rate should be escalated to reflect the uncertainty associated with the future cost of owning and operating an electricity generating facility. This input is separate from the inflation assumed to apply to certain O&amp;M expenses, which is provided as an input in the O&amp;M section below.
Input must be between 0% and 100%.
</t>
        </r>
      </text>
    </comment>
    <comment ref="I268" authorId="1" shapeId="0" xr:uid="{93A8E482-BE8E-4C88-8C63-749C1FFE8DC5}">
      <text>
        <r>
          <rPr>
            <b/>
            <sz val="14"/>
            <color indexed="81"/>
            <rFont val="Tahoma"/>
            <family val="2"/>
          </rPr>
          <t>Note:</t>
        </r>
        <r>
          <rPr>
            <sz val="14"/>
            <color indexed="81"/>
            <rFont val="Tahoma"/>
            <family val="2"/>
          </rPr>
          <t xml:space="preserve">
This is a calculation, based on the system size and capacity factor provided above. 
</t>
        </r>
      </text>
    </comment>
    <comment ref="S268" authorId="1" shapeId="0" xr:uid="{BF41E2B4-CC40-41D5-A6D4-7D802FE941F0}">
      <text>
        <r>
          <rPr>
            <b/>
            <sz val="14"/>
            <color indexed="81"/>
            <rFont val="Tahoma"/>
            <family val="2"/>
          </rPr>
          <t xml:space="preserve">Note:
</t>
        </r>
        <r>
          <rPr>
            <sz val="14"/>
            <color indexed="81"/>
            <rFont val="Tahoma"/>
            <family val="2"/>
          </rPr>
          <t xml:space="preserve">To calculate a </t>
        </r>
        <r>
          <rPr>
            <b/>
            <sz val="14"/>
            <color indexed="81"/>
            <rFont val="Tahoma"/>
            <family val="2"/>
          </rPr>
          <t>nominal levelized tariff rate</t>
        </r>
        <r>
          <rPr>
            <sz val="14"/>
            <color indexed="81"/>
            <rFont val="Tahoma"/>
            <family val="2"/>
          </rPr>
          <t xml:space="preserve">, the "feed-in tariff escalation rate" field should be </t>
        </r>
        <r>
          <rPr>
            <b/>
            <sz val="14"/>
            <color indexed="81"/>
            <rFont val="Tahoma"/>
            <family val="2"/>
          </rPr>
          <t>set to zero</t>
        </r>
        <r>
          <rPr>
            <sz val="14"/>
            <color indexed="81"/>
            <rFont val="Tahoma"/>
            <family val="2"/>
          </rPr>
          <t>.</t>
        </r>
        <r>
          <rPr>
            <b/>
            <sz val="14"/>
            <color indexed="81"/>
            <rFont val="Tahoma"/>
            <family val="2"/>
          </rPr>
          <t xml:space="preserve">
</t>
        </r>
        <r>
          <rPr>
            <sz val="14"/>
            <color indexed="81"/>
            <rFont val="Tahoma"/>
            <family val="2"/>
          </rPr>
          <t xml:space="preserve">Where applied, tariff rate escalation is intended to serve as a risk mitigating tool, at least partially protecting the project investor from the uncertainty associated with the future cost of owning and operating the renewable energy facility. The escalation rate can be used to assume a year over year increase in all, or a portion, of the per unit payment provided to eligible generators. This concept is separate from inflationary adjustments to future operating cost assumptions -- which are input below.
This rate is applied annually.  Note that in this model, calendar years and tariff years are aligned.
</t>
        </r>
        <r>
          <rPr>
            <b/>
            <sz val="14"/>
            <color indexed="81"/>
            <rFont val="Tahoma"/>
            <family val="2"/>
          </rPr>
          <t>Caution:</t>
        </r>
        <r>
          <rPr>
            <sz val="14"/>
            <color indexed="81"/>
            <rFont val="Tahoma"/>
            <family val="2"/>
          </rPr>
          <t xml:space="preserve"> A value must be entered into this cell in order for the model to function properly. The input can be positive or negative (if the FIT value decreases over time), and a typical value may fall between 0% and 5%.  
</t>
        </r>
      </text>
    </comment>
    <comment ref="I269" authorId="1" shapeId="0" xr:uid="{4956CEEF-BF15-4835-A0B8-1A3CE0E025FC}">
      <text>
        <r>
          <rPr>
            <b/>
            <sz val="14"/>
            <color indexed="81"/>
            <rFont val="Tahoma"/>
            <family val="2"/>
          </rPr>
          <t>Note:</t>
        </r>
        <r>
          <rPr>
            <sz val="14"/>
            <color indexed="81"/>
            <rFont val="Tahoma"/>
            <family val="2"/>
          </rPr>
          <t xml:space="preserve">
The natural aging of the mechanical components of a wind turbine generator may lead to a drop in turbine availability (or efficiency), and therefore production, over time.  
This input allows the user to model the potential for such degradation, which may be between 0% and 2% per year.
</t>
        </r>
        <r>
          <rPr>
            <b/>
            <sz val="14"/>
            <color indexed="81"/>
            <rFont val="Tahoma"/>
            <family val="2"/>
          </rPr>
          <t>If the modeled "Net Capacity Factor" is intented to take long-term average availability into account, then the user may wish to enter 0% in the Annual Production Degradation field.</t>
        </r>
        <r>
          <rPr>
            <sz val="14"/>
            <color indexed="81"/>
            <rFont val="Tahoma"/>
            <family val="2"/>
          </rPr>
          <t xml:space="preserve">
Input must be =&gt; 0%.
</t>
        </r>
      </text>
    </comment>
    <comment ref="I270" authorId="1" shapeId="0" xr:uid="{53723493-EC9A-43CD-B7EB-90AA8B626A9B}">
      <text>
        <r>
          <rPr>
            <b/>
            <sz val="14"/>
            <color indexed="81"/>
            <rFont val="Tahoma"/>
            <family val="2"/>
          </rPr>
          <t xml:space="preserve">Note:
</t>
        </r>
        <r>
          <rPr>
            <sz val="14"/>
            <color indexed="81"/>
            <rFont val="Tahoma"/>
            <family val="2"/>
          </rPr>
          <t xml:space="preserve">The Project Useful Life is the number of years that the project is expected to be fully operational, reliably delivering electricity to the grid, and generating revenue. This concept is different from the FIT Contract Length, which is administratively determined by policymakers. These two values may be the same if a FIT contract is offered for the project's entire expected useful life. This approach is likely to generate the lowest tariff rate, while successfully attracting investors to renewable energy projects.  
The CREST model is built for a maximum Project Useful Life of 30 years.
Input must be greater than 0 and less than or equal to 30.
</t>
        </r>
      </text>
    </comment>
    <comment ref="S270" authorId="1" shapeId="0" xr:uid="{5B52EA3E-8A46-4BA9-981D-FA0495F50CE5}">
      <text>
        <r>
          <rPr>
            <b/>
            <sz val="14"/>
            <color indexed="81"/>
            <rFont val="Tahoma"/>
            <family val="2"/>
          </rPr>
          <t xml:space="preserve">Note:
</t>
        </r>
        <r>
          <rPr>
            <sz val="14"/>
            <color indexed="81"/>
            <rFont val="Tahoma"/>
            <family val="2"/>
          </rPr>
          <t>If the designated "FIT Contract Length" is less than the defined "Project Useful Life", then this grouping of inputs is used to calculate the project's market-based revenue during the period from FIT contract expiration to the end of the project's life.</t>
        </r>
        <r>
          <rPr>
            <b/>
            <sz val="14"/>
            <color indexed="81"/>
            <rFont val="Tahoma"/>
            <family val="2"/>
          </rPr>
          <t xml:space="preserve">
</t>
        </r>
        <r>
          <rPr>
            <sz val="14"/>
            <color indexed="81"/>
            <rFont val="Tahoma"/>
            <family val="2"/>
          </rPr>
          <t xml:space="preserve">
</t>
        </r>
      </text>
    </comment>
    <comment ref="S271" authorId="1" shapeId="0" xr:uid="{0C7E912F-5B62-4463-A2AF-57BCE812CE4E}">
      <text>
        <r>
          <rPr>
            <b/>
            <sz val="14"/>
            <color indexed="81"/>
            <rFont val="Tahoma"/>
            <family val="2"/>
          </rPr>
          <t xml:space="preserve">Note:
</t>
        </r>
        <r>
          <rPr>
            <sz val="14"/>
            <color indexed="81"/>
            <rFont val="Tahoma"/>
            <family val="2"/>
          </rPr>
          <t>Selecting "Year One" forecasts the total market value of production based on an estimate of that value in the project's first year of commercial operation and a user-defined escalation rate.  
Selecting "Year-by-Year" enables the user to enter unique annual values for the period after the FIT expires and before the end of the project's useful life.</t>
        </r>
        <r>
          <rPr>
            <b/>
            <sz val="14"/>
            <color indexed="81"/>
            <rFont val="Tahoma"/>
            <family val="2"/>
          </rPr>
          <t xml:space="preserve">
</t>
        </r>
        <r>
          <rPr>
            <sz val="14"/>
            <color indexed="81"/>
            <rFont val="Tahoma"/>
            <family val="2"/>
          </rPr>
          <t xml:space="preserve">
</t>
        </r>
      </text>
    </comment>
    <comment ref="F272" authorId="0" shapeId="0" xr:uid="{80DF7B7D-EE7A-486A-BAC0-6A993FEADB60}">
      <text>
        <r>
          <rPr>
            <b/>
            <sz val="8"/>
            <color indexed="81"/>
            <rFont val="Tahoma"/>
            <family val="2"/>
          </rPr>
          <t>See "unit" definitions at the bottom of this worksheet.</t>
        </r>
        <r>
          <rPr>
            <sz val="8"/>
            <color indexed="81"/>
            <rFont val="Tahoma"/>
            <family val="2"/>
          </rPr>
          <t xml:space="preserve">
</t>
        </r>
      </text>
    </comment>
    <comment ref="S272" authorId="1" shapeId="0" xr:uid="{9C6A931D-FB19-4F75-BB33-B0A11C24A0AD}">
      <text>
        <r>
          <rPr>
            <b/>
            <sz val="14"/>
            <color indexed="81"/>
            <rFont val="Tahoma"/>
            <family val="2"/>
          </rPr>
          <t xml:space="preserve">Note:
</t>
        </r>
        <r>
          <rPr>
            <sz val="14"/>
            <color indexed="81"/>
            <rFont val="Tahoma"/>
            <family val="2"/>
          </rPr>
          <t xml:space="preserve">This is the </t>
        </r>
        <r>
          <rPr>
            <b/>
            <sz val="14"/>
            <color indexed="81"/>
            <rFont val="Tahoma"/>
            <family val="2"/>
          </rPr>
          <t>combined</t>
        </r>
        <r>
          <rPr>
            <sz val="14"/>
            <color indexed="81"/>
            <rFont val="Tahoma"/>
            <family val="2"/>
          </rPr>
          <t xml:space="preserve"> (or "bundled") market value of energy + capacity + Renewable Energy Credtis (RECs) in the same year in which the project's first enters commercial operation.
This input must be greater than zero.
</t>
        </r>
      </text>
    </comment>
    <comment ref="I273" authorId="1" shapeId="0" xr:uid="{0B724FC7-D180-439C-A8D6-2F5583FFA84E}">
      <text>
        <r>
          <rPr>
            <b/>
            <sz val="14"/>
            <color indexed="81"/>
            <rFont val="Tahoma"/>
            <family val="2"/>
          </rPr>
          <t>Note:</t>
        </r>
        <r>
          <rPr>
            <sz val="14"/>
            <color indexed="81"/>
            <rFont val="Tahoma"/>
            <family val="2"/>
          </rPr>
          <t xml:space="preserve">
This model alllows the user to input system cost at 1 of 3 levels of detail: "simple", "intermediate" or "complex." Simple offers a single input in $/kW, Intermediate offers five cost subcategories in total dollars, and Complex offers line-by-line project costing with user-defined categories and costs per line-item.  
Select your preferred method and use the cells below to enter your cost information. If you choose the "Complex" option, you will need to follow the link below to the "Complex Capital Costs" tab.</t>
        </r>
      </text>
    </comment>
    <comment ref="S273" authorId="1" shapeId="0" xr:uid="{E8151635-28FE-418A-B1A9-B308452DC012}">
      <text>
        <r>
          <rPr>
            <b/>
            <sz val="14"/>
            <color indexed="81"/>
            <rFont val="Tahoma"/>
            <family val="2"/>
          </rPr>
          <t xml:space="preserve">Note:
</t>
        </r>
        <r>
          <rPr>
            <sz val="14"/>
            <color indexed="81"/>
            <rFont val="Tahoma"/>
            <family val="2"/>
          </rPr>
          <t xml:space="preserve">When the "Year One" forecast methodology is selected, this is the user-defined escalation rate at which the market value of production is expected to change.
Input must be greater than zero.
</t>
        </r>
      </text>
    </comment>
    <comment ref="I274" authorId="1" shapeId="0" xr:uid="{D9B19C6D-40C1-4FB7-9FFA-8BAD5B78FCA7}">
      <text>
        <r>
          <rPr>
            <b/>
            <sz val="14"/>
            <color indexed="81"/>
            <rFont val="Tahoma"/>
            <family val="2"/>
          </rPr>
          <t>Note:</t>
        </r>
        <r>
          <rPr>
            <sz val="14"/>
            <color indexed="81"/>
            <rFont val="Tahoma"/>
            <family val="2"/>
          </rPr>
          <t xml:space="preserve">
When "Simple" is selected in the Cost Level of Detail cell, this "Total Installed Cost" row represents the total expected all-in project cost, which should include all hardware, balance of plant, interconnection, design, construction, permitting, development (including developer fee), interest during construction and financing costs. This figure should not account for any tax incentives, grants, or other cash incentives, each of which will be addressed elsewhere in the model. This figure should, however, reflect any applicable sales tax or exemptions thereof.
Input must be greater than zero.
</t>
        </r>
      </text>
    </comment>
    <comment ref="S274" authorId="1" shapeId="0" xr:uid="{73B8CBF7-E8A0-4907-B72C-5E53ED46EC7D}">
      <text>
        <r>
          <rPr>
            <b/>
            <sz val="14"/>
            <color indexed="81"/>
            <rFont val="Tahoma"/>
            <family val="2"/>
          </rPr>
          <t xml:space="preserve">Note:
</t>
        </r>
        <r>
          <rPr>
            <sz val="14"/>
            <color indexed="81"/>
            <rFont val="Tahoma"/>
            <family val="2"/>
          </rPr>
          <t xml:space="preserve">When "Year-by-Year" market value of production forecast is selected, this link brings the user to another worksheet on which unique annual values may be entered.
</t>
        </r>
      </text>
    </comment>
    <comment ref="I275" authorId="1" shapeId="0" xr:uid="{53357453-EA46-40C4-89D7-5D3985BD9031}">
      <text>
        <r>
          <rPr>
            <b/>
            <sz val="14"/>
            <color indexed="81"/>
            <rFont val="Tahoma"/>
            <family val="2"/>
          </rPr>
          <t>Note:</t>
        </r>
        <r>
          <rPr>
            <sz val="14"/>
            <color indexed="81"/>
            <rFont val="Tahoma"/>
            <family val="2"/>
          </rPr>
          <t xml:space="preserve">
"Generation Equipment" should include hardware such as the generator, blades and tower.  
Caution: the model assumes that if "Intermediate" is selected as the level of detail section, the "Generation Equipment" row must have a value greater than zero. 
</t>
        </r>
      </text>
    </comment>
    <comment ref="I276" authorId="1" shapeId="0" xr:uid="{2565215C-FC2D-4EA6-8E90-5F2DB0DCB4F2}">
      <text>
        <r>
          <rPr>
            <b/>
            <sz val="14"/>
            <color indexed="81"/>
            <rFont val="Tahoma"/>
            <family val="2"/>
          </rPr>
          <t>Note:</t>
        </r>
        <r>
          <rPr>
            <sz val="14"/>
            <color indexed="81"/>
            <rFont val="Tahoma"/>
            <family val="2"/>
          </rPr>
          <t xml:space="preserve">
Balance of Plant (also known as Balance of System) represents all infrastructure, site prep and labor supporting the installation of the generation equipment. BOP costs include foundations, mounting devices, other hardware, and labor not already accounted for in the "Generation Equipment" row.
Input cannot be less than zero.
</t>
        </r>
      </text>
    </comment>
    <comment ref="P276" authorId="0" shapeId="0" xr:uid="{B8435409-8C0C-44A5-84B7-2E2C59E9ABFC}">
      <text>
        <r>
          <rPr>
            <b/>
            <sz val="8"/>
            <color indexed="81"/>
            <rFont val="Tahoma"/>
            <family val="2"/>
          </rPr>
          <t>See "unit" definitions at the bottom of this worksheet.</t>
        </r>
        <r>
          <rPr>
            <sz val="8"/>
            <color indexed="81"/>
            <rFont val="Tahoma"/>
            <family val="2"/>
          </rPr>
          <t xml:space="preserve">
</t>
        </r>
      </text>
    </comment>
    <comment ref="I277" authorId="1" shapeId="0" xr:uid="{23E382B2-EDDA-4EA3-B4BE-A8EC06E89743}">
      <text>
        <r>
          <rPr>
            <b/>
            <sz val="14"/>
            <color indexed="81"/>
            <rFont val="Tahoma"/>
            <family val="2"/>
          </rPr>
          <t>Note:</t>
        </r>
        <r>
          <rPr>
            <sz val="14"/>
            <color indexed="81"/>
            <rFont val="Tahoma"/>
            <family val="2"/>
          </rPr>
          <t xml:space="preserve">
The "Interconnection" row should account for all project costs relating to connecting to the grid, such as the construction of transmission lines, permitting costs with the utility, and start-up costs. This category will also include the cost of a new substation, if necessary.
Regulators wishing to explore the potential that interconnection costs may be recovered from ratepayers separately can elect to enter zeros in this cost category whenever "Intermediate" or "Complex" is selected.
Input cannot be less than zero.
</t>
        </r>
      </text>
    </comment>
    <comment ref="S277" authorId="0" shapeId="0" xr:uid="{5E6DCC8F-19EE-4F34-BDCD-0C7C2A302676}">
      <text>
        <r>
          <rPr>
            <b/>
            <sz val="14"/>
            <color indexed="81"/>
            <rFont val="Tahoma"/>
            <family val="2"/>
          </rPr>
          <t xml:space="preserve">Note:
</t>
        </r>
        <r>
          <rPr>
            <sz val="14"/>
            <color indexed="81"/>
            <rFont val="Tahoma"/>
            <family val="2"/>
          </rPr>
          <t>This drop-down input cell allows the user to specify whether federal incentives are cost-based (e.g. an investment tax credit) or performance-based (e.g. a PTC). The magnitude and terms of these incentives are set in the cells below.
For more information, a useful resource for researching federal and state incentives online is:  
http://dsireusa.org/
*See bottom of introduction page for a list of links</t>
        </r>
      </text>
    </comment>
    <comment ref="E278" authorId="0" shapeId="0" xr:uid="{DC249936-BBD8-41D0-82E0-D11CA3C1FAD7}">
      <text>
        <r>
          <rPr>
            <b/>
            <sz val="14"/>
            <color indexed="81"/>
            <rFont val="Tahoma"/>
            <family val="2"/>
          </rPr>
          <t>Jason Gifford:</t>
        </r>
        <r>
          <rPr>
            <sz val="14"/>
            <color indexed="81"/>
            <rFont val="Tahoma"/>
            <family val="2"/>
          </rPr>
          <t xml:space="preserve">
Converted to "admin cost" for community remote DG</t>
        </r>
      </text>
    </comment>
    <comment ref="I278" authorId="1" shapeId="0" xr:uid="{50F8F53A-BF91-4788-82A1-2D7645A5AFB9}">
      <text>
        <r>
          <rPr>
            <b/>
            <sz val="14"/>
            <color indexed="81"/>
            <rFont val="Tahoma"/>
            <family val="2"/>
          </rPr>
          <t>Note:</t>
        </r>
        <r>
          <rPr>
            <sz val="8"/>
            <color indexed="81"/>
            <rFont val="Tahoma"/>
            <family val="2"/>
          </rPr>
          <t xml:space="preserve">
</t>
        </r>
        <r>
          <rPr>
            <sz val="14"/>
            <color indexed="81"/>
            <rFont val="Tahoma"/>
            <family val="2"/>
          </rPr>
          <t xml:space="preserve">The "Development Costs" row should include all costs relating to project management, studies, engineering, permitting, contingencies, success fees, and other soft costs not accounted for elsewhere in the "Intermediate" cost breakdown. 
Input cannot be less than zero.
</t>
        </r>
      </text>
    </comment>
    <comment ref="S278" authorId="1" shapeId="0" xr:uid="{E580CEC9-F49F-46DA-B212-C21D82B252A5}">
      <text>
        <r>
          <rPr>
            <b/>
            <sz val="14"/>
            <color indexed="81"/>
            <rFont val="Tahoma"/>
            <family val="2"/>
          </rPr>
          <t xml:space="preserve">Note:
</t>
        </r>
        <r>
          <rPr>
            <sz val="14"/>
            <color indexed="81"/>
            <rFont val="Tahoma"/>
            <family val="2"/>
          </rPr>
          <t>Some renewable energy projects may be eligible to take advantagee of Federal incentives such as the Investment Tax Credit or a Treasury Grant. Information on eligibility for funding opportunities such as these is available online at:
http://dsireusa.org/incentives/incentive.cfm?Incentive_Code=US02F&amp;re=1&amp;ee=1
*See bottom of introduction page for a list of links</t>
        </r>
        <r>
          <rPr>
            <b/>
            <sz val="14"/>
            <color indexed="81"/>
            <rFont val="Tahoma"/>
            <family val="2"/>
          </rPr>
          <t xml:space="preserve">
</t>
        </r>
        <r>
          <rPr>
            <sz val="14"/>
            <color indexed="81"/>
            <rFont val="Tahoma"/>
            <family val="2"/>
          </rPr>
          <t xml:space="preserve">
</t>
        </r>
      </text>
    </comment>
    <comment ref="I279" authorId="1" shapeId="0" xr:uid="{C94F8226-CDCE-4A63-A94E-A4825E3648C0}">
      <text>
        <r>
          <rPr>
            <b/>
            <sz val="14"/>
            <color indexed="81"/>
            <rFont val="Tahoma"/>
            <family val="2"/>
          </rPr>
          <t>Note:</t>
        </r>
        <r>
          <rPr>
            <sz val="14"/>
            <color indexed="81"/>
            <rFont val="Tahoma"/>
            <family val="2"/>
          </rPr>
          <t xml:space="preserve">
The "Reserves &amp; Financing Costs" row accounts for all costs relating to financing, such as lender fees, closing costs, legal fees, interest during construction, due diligence costs, and any other relevant, financing relating costs. The model calculates this field by aggregating G22 through G25, G51, G54, G63, G66, Q57 and Q60.
</t>
        </r>
      </text>
    </comment>
    <comment ref="S279" authorId="0" shapeId="0" xr:uid="{B583DFE4-A20D-4F3F-A3A1-BEEBF2635579}">
      <text>
        <r>
          <rPr>
            <b/>
            <sz val="14"/>
            <color indexed="81"/>
            <rFont val="Tahoma"/>
            <family val="2"/>
          </rPr>
          <t xml:space="preserve">NOTE:
</t>
        </r>
        <r>
          <rPr>
            <sz val="14"/>
            <color indexed="81"/>
            <rFont val="Tahoma"/>
            <family val="2"/>
          </rPr>
          <t xml:space="preserve">The maximum potential Investment Tax Credit (ITC) benefit is assumed to be 30% of those project costs which are depreciable on the 5-year MACRS schedule.  This 'eligible costs' assumption is purposefully simplified for this analysis.  Project costs depreciated on other bases may also be eligible for the ITC.  Developers should consult with tax counsel for project-specific depreciation and ITC treatment of each project cost.
</t>
        </r>
        <r>
          <rPr>
            <sz val="8"/>
            <color indexed="81"/>
            <rFont val="Tahoma"/>
            <family val="2"/>
          </rPr>
          <t xml:space="preserve">
</t>
        </r>
      </text>
    </comment>
    <comment ref="I280" authorId="1" shapeId="0" xr:uid="{436F2D69-5763-46A0-8EC7-AFA4465AD1EF}">
      <text>
        <r>
          <rPr>
            <b/>
            <sz val="14"/>
            <color indexed="81"/>
            <rFont val="Tahoma"/>
            <family val="2"/>
          </rPr>
          <t>Note:</t>
        </r>
        <r>
          <rPr>
            <sz val="14"/>
            <color indexed="81"/>
            <rFont val="Tahoma"/>
            <family val="2"/>
          </rPr>
          <t xml:space="preserve">
If you wish to enter your project costs under the "Complex" format, select Complex from the drop-down menu and use the link to the left to access additional worksheets which provide the opportunitiy to add significant, additional detail on project costs. Once complete, the model will roll up the detailed costs and populate this row with the resultant final project cost. </t>
        </r>
      </text>
    </comment>
    <comment ref="S280" authorId="0" shapeId="0" xr:uid="{66480D14-348A-491A-9E45-DEB1854B1E49}">
      <text>
        <r>
          <rPr>
            <b/>
            <sz val="14"/>
            <color indexed="81"/>
            <rFont val="Tahoma"/>
            <family val="2"/>
          </rPr>
          <t xml:space="preserve">NOTE:
</t>
        </r>
        <r>
          <rPr>
            <sz val="14"/>
            <color indexed="81"/>
            <rFont val="Tahoma"/>
            <family val="2"/>
          </rPr>
          <t xml:space="preserve">As a tax </t>
        </r>
        <r>
          <rPr>
            <u/>
            <sz val="14"/>
            <color indexed="81"/>
            <rFont val="Tahoma"/>
            <family val="2"/>
          </rPr>
          <t>credit</t>
        </r>
        <r>
          <rPr>
            <sz val="14"/>
            <color indexed="81"/>
            <rFont val="Tahoma"/>
            <family val="2"/>
          </rPr>
          <t>, the ITC is only usable by project owners with positive federal income tax liability.  
In cases where the owner's tax liability in the calendar year of the project's first commercial operation exceeds the ITC amount, the user may enter 100% in this field and assume full utilization of the ITC.
If the owner's tax liability is less than the available ITC, the user may either enter a % value less than 100% or select the "carried forward" method in the "Tax Benefits used as generated or carried forward?" cell.  
Input must be between 0% and 100%.</t>
        </r>
        <r>
          <rPr>
            <sz val="8"/>
            <color indexed="81"/>
            <rFont val="Tahoma"/>
            <family val="2"/>
          </rPr>
          <t xml:space="preserve">
</t>
        </r>
      </text>
    </comment>
    <comment ref="I281" authorId="1" shapeId="0" xr:uid="{16EFF41C-25A7-4246-A99F-3201ADF3407F}">
      <text>
        <r>
          <rPr>
            <b/>
            <sz val="14"/>
            <color indexed="81"/>
            <rFont val="Tahoma"/>
            <family val="2"/>
          </rPr>
          <t>Note:</t>
        </r>
        <r>
          <rPr>
            <sz val="14"/>
            <color indexed="81"/>
            <rFont val="Tahoma"/>
            <family val="2"/>
          </rPr>
          <t xml:space="preserve">
The total system cost is a calculation, based on the level of detail selected and the assocated inputs.
</t>
        </r>
      </text>
    </comment>
    <comment ref="S281" authorId="0" shapeId="0" xr:uid="{35A727E9-2969-47CF-921A-18A5D23981B0}">
      <text>
        <r>
          <rPr>
            <b/>
            <sz val="14"/>
            <color indexed="81"/>
            <rFont val="Tahoma"/>
            <family val="2"/>
          </rPr>
          <t xml:space="preserve">Note:
</t>
        </r>
        <r>
          <rPr>
            <sz val="14"/>
            <color indexed="81"/>
            <rFont val="Tahoma"/>
            <family val="2"/>
          </rPr>
          <t xml:space="preserve">Calculates the dollar value of the Investment Tax Credit or Cash Grant, if applicable.
</t>
        </r>
      </text>
    </comment>
    <comment ref="I282" authorId="1" shapeId="0" xr:uid="{07537C8E-B7B7-4ED3-91C1-4F8E9BE9FFD5}">
      <text>
        <r>
          <rPr>
            <b/>
            <sz val="14"/>
            <color indexed="81"/>
            <rFont val="Tahoma"/>
            <family val="2"/>
          </rPr>
          <t>Note:</t>
        </r>
        <r>
          <rPr>
            <sz val="14"/>
            <color indexed="81"/>
            <rFont val="Tahoma"/>
            <family val="2"/>
          </rPr>
          <t xml:space="preserve">
Calculation based on the total system cost in the cell above and the system size reported. Typical costs (as of 2010) fall between $2,000/kW and $3,000/kW.</t>
        </r>
        <r>
          <rPr>
            <sz val="8"/>
            <color indexed="81"/>
            <rFont val="Tahoma"/>
            <family val="2"/>
          </rPr>
          <t xml:space="preserve">
</t>
        </r>
      </text>
    </comment>
    <comment ref="S282" authorId="0" shapeId="0" xr:uid="{7282D303-7FD4-42D9-B7B2-22225798CB42}">
      <text>
        <r>
          <rPr>
            <b/>
            <sz val="14"/>
            <color indexed="81"/>
            <rFont val="Tahoma"/>
            <family val="2"/>
          </rPr>
          <t xml:space="preserve">Note: </t>
        </r>
        <r>
          <rPr>
            <sz val="14"/>
            <color indexed="81"/>
            <rFont val="Tahoma"/>
            <family val="2"/>
          </rPr>
          <t xml:space="preserve">
This input cell, the "Performance Based Incentive" or "PBI" is another potential incentive available to some specific projects. The PBI would be separate from a feed-in-tariff, but acts similarly in that it is per unit of production (typically kWh) income to a project.
Some examples of PBIs include the Federal Production Tax Credit (applicable to private projects with tax appetites) and the Federal Renewable Energy Production Incentive (REPI), historically available to some public projects.
</t>
        </r>
      </text>
    </comment>
    <comment ref="I283" authorId="1" shapeId="0" xr:uid="{D3CB1D7A-05A6-4F65-ADC8-35506BB829CE}">
      <text>
        <r>
          <rPr>
            <b/>
            <sz val="14"/>
            <color indexed="81"/>
            <rFont val="Tahoma"/>
            <family val="2"/>
          </rPr>
          <t xml:space="preserve">Note:
</t>
        </r>
        <r>
          <rPr>
            <sz val="14"/>
            <color indexed="81"/>
            <rFont val="Tahoma"/>
            <family val="2"/>
          </rPr>
          <t xml:space="preserve">This cell calculates the total of all applicable grants, excluding the payment in lieu of the Federal ITC (also known as the ITC Cash Grant, or Cash Grant), if applicable.  The ITC Cash Grant is considered separately because unlike grants issued upfront and used to offset capital costs, the ITC Cash Grant is disbursed approxiamtely 60 days after the start of commercial operations and therefore becomes an integral part of the project's financing.
Where grants are treated as taxable income, this cell calculates the after-tax impact on the total cost of the project.
  </t>
        </r>
        <r>
          <rPr>
            <sz val="8"/>
            <color indexed="81"/>
            <rFont val="Tahoma"/>
            <family val="2"/>
          </rPr>
          <t xml:space="preserve">
</t>
        </r>
      </text>
    </comment>
    <comment ref="S283" authorId="0" shapeId="0" xr:uid="{7896E0E5-87A5-482A-A19B-3C61881CB13A}">
      <text>
        <r>
          <rPr>
            <b/>
            <sz val="14"/>
            <color indexed="81"/>
            <rFont val="Tahoma"/>
            <family val="2"/>
          </rPr>
          <t xml:space="preserve">Note: </t>
        </r>
        <r>
          <rPr>
            <sz val="14"/>
            <color indexed="81"/>
            <rFont val="Tahoma"/>
            <family val="2"/>
          </rPr>
          <t xml:space="preserve">
This cell denotes the value of the Performance Based Incentive applicable to the project's first year of commercial operation. In some cases, this value will need to be calculated external to the model if such PBI is derived from a "base year" and specified inflation index. The following cells can be used to account for inflation and the maximum term of eligibility.
Input cannot be less than zero.
</t>
        </r>
      </text>
    </comment>
    <comment ref="I284" authorId="1" shapeId="0" xr:uid="{1FD7362F-EC46-4E04-B624-374A68A5994D}">
      <text>
        <r>
          <rPr>
            <b/>
            <sz val="14"/>
            <color indexed="81"/>
            <rFont val="Tahoma"/>
            <family val="2"/>
          </rPr>
          <t>Note:</t>
        </r>
        <r>
          <rPr>
            <sz val="14"/>
            <color indexed="81"/>
            <rFont val="Tahoma"/>
            <family val="2"/>
          </rPr>
          <t xml:space="preserve">
Calculation of total project cost net applicable grants. 
</t>
        </r>
      </text>
    </comment>
    <comment ref="S284" authorId="0" shapeId="0" xr:uid="{9D690653-72D0-491B-A184-B033AF7CE59F}">
      <text>
        <r>
          <rPr>
            <b/>
            <sz val="14"/>
            <color indexed="81"/>
            <rFont val="Tahoma"/>
            <family val="2"/>
          </rPr>
          <t>Note:</t>
        </r>
        <r>
          <rPr>
            <sz val="14"/>
            <color indexed="81"/>
            <rFont val="Tahoma"/>
            <family val="2"/>
          </rPr>
          <t xml:space="preserve">
This is the length of time that a project would be eligible for any Performance Based Incentives outlined in the cell immediately above. For example, the Federal Renewable Energy Production Incentive and Production Tax Credit incentives are available for the first 10 years of project operation.
Input cannot be less than zero.
</t>
        </r>
      </text>
    </comment>
    <comment ref="I285" authorId="1" shapeId="0" xr:uid="{6C2225F1-C6FC-4950-B1B1-0C2B306FBC91}">
      <text>
        <r>
          <rPr>
            <b/>
            <sz val="14"/>
            <color indexed="81"/>
            <rFont val="Tahoma"/>
            <family val="2"/>
          </rPr>
          <t xml:space="preserve">Note:
</t>
        </r>
        <r>
          <rPr>
            <sz val="14"/>
            <color indexed="81"/>
            <rFont val="Tahoma"/>
            <family val="2"/>
          </rPr>
          <t xml:space="preserve">Calculation, based on net project cost and total installed capacity. 
</t>
        </r>
      </text>
    </comment>
    <comment ref="S285" authorId="0" shapeId="0" xr:uid="{105D95F9-68B0-4B4C-A4EA-44D91C93D2A1}">
      <text>
        <r>
          <rPr>
            <b/>
            <sz val="14"/>
            <color indexed="81"/>
            <rFont val="Tahoma"/>
            <family val="2"/>
          </rPr>
          <t xml:space="preserve">Note:
</t>
        </r>
        <r>
          <rPr>
            <sz val="14"/>
            <color indexed="81"/>
            <rFont val="Tahoma"/>
            <family val="2"/>
          </rPr>
          <t xml:space="preserve">Performance Based Incentives are often adjusted to account for inflation. For example, the Federal Production Tax Credit (PTC) is adjusted each year to account for changes in the GDP IPD index. This cell can be used as a proxy for the inflation that would apply to any PBI incentive entered above.
This input cannot be left blank.
</t>
        </r>
        <r>
          <rPr>
            <sz val="8"/>
            <color indexed="81"/>
            <rFont val="Tahoma"/>
            <family val="2"/>
          </rPr>
          <t xml:space="preserve">
</t>
        </r>
      </text>
    </comment>
    <comment ref="S286" authorId="0" shapeId="0" xr:uid="{71D14606-347E-4C9C-A480-820ACB9767A5}">
      <text>
        <r>
          <rPr>
            <b/>
            <sz val="14"/>
            <color indexed="81"/>
            <rFont val="Tahoma"/>
            <family val="2"/>
          </rPr>
          <t xml:space="preserve">Note:
</t>
        </r>
        <r>
          <rPr>
            <sz val="14"/>
            <color indexed="81"/>
            <rFont val="Tahoma"/>
            <family val="2"/>
          </rPr>
          <t>In some cases, due to the nature of the requirements of some Performance Based Incentive programs, project owners are unable to maximize the full revenue stream of the incentive. For example, in the case of the Federal Production Tax Credit (PTC), the project owner may not have sufficienct tax appetite to fully utilize the tax credits. 
This input cell would allow the modeler to account for the owner's inability to fully utilize the PTC and/or the reduction of the PTC (a "haircut") due to the presence of subsidized (below market interest rate) financing.
Incentive "availability" will likely be a factor if this cell is being used to model the cash-based Renewable Energy Production Incentive (REPI).  The REPI program has historically been underfunded; available monies are allocated pro rata among eligible projects.  In this case, the value entered in this cell should reflect the user's expectation of the fraction of the face value REPI payment that will be available over the applicable incentive term.
Input must be between 0% to 100%.</t>
        </r>
      </text>
    </comment>
    <comment ref="F287" authorId="0" shapeId="0" xr:uid="{B37FCA98-0077-46BB-B7B8-A3099474002A}">
      <text>
        <r>
          <rPr>
            <b/>
            <sz val="8"/>
            <color indexed="81"/>
            <rFont val="Tahoma"/>
            <family val="2"/>
          </rPr>
          <t>See "unit" definitions at the bottom of this worksheet.</t>
        </r>
        <r>
          <rPr>
            <sz val="8"/>
            <color indexed="81"/>
            <rFont val="Tahoma"/>
            <family val="2"/>
          </rPr>
          <t xml:space="preserve">
</t>
        </r>
      </text>
    </comment>
    <comment ref="S287" authorId="0" shapeId="0" xr:uid="{5D3412CD-4436-4A0A-B598-8F6EBD95E3C3}">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I288" authorId="0" shapeId="0" xr:uid="{AC033441-2999-4B0D-8CA4-F283F9730FFE}">
      <text>
        <r>
          <rPr>
            <b/>
            <sz val="14"/>
            <color indexed="81"/>
            <rFont val="Tahoma"/>
            <family val="2"/>
          </rPr>
          <t>Note:</t>
        </r>
        <r>
          <rPr>
            <sz val="14"/>
            <color indexed="81"/>
            <rFont val="Tahoma"/>
            <family val="2"/>
          </rPr>
          <t xml:space="preserve">
Select either "Simple" or "Intermediate" O&amp;M expense detail using the drop-down menu to the right.
</t>
        </r>
        <r>
          <rPr>
            <sz val="8"/>
            <color indexed="81"/>
            <rFont val="Tahoma"/>
            <family val="2"/>
          </rPr>
          <t xml:space="preserve">
</t>
        </r>
      </text>
    </comment>
    <comment ref="I289" authorId="1" shapeId="0" xr:uid="{ED3473D2-2017-4909-ADC4-5C4B0132D00F}">
      <text>
        <r>
          <rPr>
            <b/>
            <sz val="14"/>
            <color indexed="81"/>
            <rFont val="Tahoma"/>
            <family val="2"/>
          </rPr>
          <t>Note:</t>
        </r>
        <r>
          <rPr>
            <sz val="14"/>
            <color indexed="81"/>
            <rFont val="Tahoma"/>
            <family val="2"/>
          </rPr>
          <t xml:space="preserve">
If "Simple" is selected in the cell above, then this input should reflect the </t>
        </r>
        <r>
          <rPr>
            <b/>
            <u/>
            <sz val="14"/>
            <color indexed="81"/>
            <rFont val="Tahoma"/>
            <family val="2"/>
          </rPr>
          <t>total</t>
        </r>
        <r>
          <rPr>
            <sz val="14"/>
            <color indexed="81"/>
            <rFont val="Tahoma"/>
            <family val="2"/>
          </rPr>
          <t xml:space="preserve"> expected </t>
        </r>
        <r>
          <rPr>
            <b/>
            <u/>
            <sz val="14"/>
            <color indexed="81"/>
            <rFont val="Tahoma"/>
            <family val="2"/>
          </rPr>
          <t>fixed</t>
        </r>
        <r>
          <rPr>
            <sz val="14"/>
            <color indexed="81"/>
            <rFont val="Tahoma"/>
            <family val="2"/>
          </rPr>
          <t xml:space="preserve"> cost of project operations and maintenance, in $/kW-yr.  This </t>
        </r>
        <r>
          <rPr>
            <u/>
            <sz val="14"/>
            <color indexed="81"/>
            <rFont val="Tahoma"/>
            <family val="2"/>
          </rPr>
          <t>includes</t>
        </r>
        <r>
          <rPr>
            <sz val="14"/>
            <color indexed="81"/>
            <rFont val="Tahoma"/>
            <family val="2"/>
          </rPr>
          <t xml:space="preserve"> the insurance, project management, property tax (or payment in lieu thereof), land lease, and royalty expenses which would have been broken out separately in the "Intermediate" case.  Other labor and spare parts should also be included in this estimate.
If the user has obtained O&amp;M expense estimates from a third-party, it is critical to understand which costs have been included.  If the user is not certain that all of the above-listed expenses are included in the fixed cost estimate, then the "Intermediate" approach should be used and these expenses should be entered separately.
If "Intermediate" is selected, then this input should reflect  the expected annual fixed O&amp;M cost before taking into account the additional listed expenses, which are entered below. 
In all cases, fixed O&amp;M would include - among others - the ongoing cost of obtaining daily, weekly or monthly production estimates based on weather and other factors.
Input value must be greater than zero. 
</t>
        </r>
      </text>
    </comment>
    <comment ref="S289" authorId="1" shapeId="0" xr:uid="{8F47BCDA-31F0-4300-88F0-BCB08B120422}">
      <text>
        <r>
          <rPr>
            <b/>
            <sz val="14"/>
            <color indexed="81"/>
            <rFont val="Tahoma"/>
            <family val="2"/>
          </rPr>
          <t xml:space="preserve">Note:
</t>
        </r>
        <r>
          <rPr>
            <sz val="14"/>
            <color indexed="81"/>
            <rFont val="Tahoma"/>
            <family val="2"/>
          </rPr>
          <t xml:space="preserve">Some renewable energy projects may be eligible for other federal grants as well, such as funding from the U.S. Department of Agriculture. This input cell can be used to capture those funding opportunities, some of which are outlined online at:
http://dsireusa.org/incentives/index.cfm?state=us&amp;re=1&amp;EE=1
*See bottom of introduction page for a list of links
Input cannot be less than zero.
</t>
        </r>
      </text>
    </comment>
    <comment ref="I290" authorId="1" shapeId="0" xr:uid="{49DC7A8A-59CA-4417-9772-9EAC8F101645}">
      <text>
        <r>
          <rPr>
            <b/>
            <sz val="14"/>
            <color indexed="81"/>
            <rFont val="Tahoma"/>
            <family val="2"/>
          </rPr>
          <t>Note:</t>
        </r>
        <r>
          <rPr>
            <sz val="14"/>
            <color indexed="81"/>
            <rFont val="Tahoma"/>
            <family val="2"/>
          </rPr>
          <t xml:space="preserve">
This cell provides the user with the option of accounting for O&amp;M expenses (such as labor and spare parts) which are more easily estimated and modeled on a variable, cents per kWh basis.  
If "Simple" is selected above, then this cell should also take into account variable costs, such as royalties, </t>
        </r>
        <r>
          <rPr>
            <b/>
            <u/>
            <sz val="14"/>
            <color indexed="81"/>
            <rFont val="Tahoma"/>
            <family val="2"/>
          </rPr>
          <t>if</t>
        </r>
        <r>
          <rPr>
            <sz val="14"/>
            <color indexed="81"/>
            <rFont val="Tahoma"/>
            <family val="2"/>
          </rPr>
          <t xml:space="preserve"> such annual expenses are not already accounted for in the fixed cost input above.
Input cannot be less than zero.
</t>
        </r>
      </text>
    </comment>
    <comment ref="S290" authorId="0" shapeId="0" xr:uid="{887437C3-A696-49EF-ACC6-D7FEA4B564E4}">
      <text>
        <r>
          <rPr>
            <b/>
            <sz val="14"/>
            <color indexed="81"/>
            <rFont val="Tahoma"/>
            <family val="2"/>
          </rPr>
          <t xml:space="preserve">Note:
</t>
        </r>
        <r>
          <rPr>
            <sz val="14"/>
            <color indexed="81"/>
            <rFont val="Tahoma"/>
            <family val="2"/>
          </rPr>
          <t xml:space="preserve">Select here whether federal grants (other than the section 1603 payment in lieu of the ITC/PTC) are treated as taxable income. If no, depreciation basis is reduced. 
</t>
        </r>
      </text>
    </comment>
    <comment ref="I291" authorId="0" shapeId="0" xr:uid="{119732E9-30E7-44BB-849F-B78EECA22A19}">
      <text>
        <r>
          <rPr>
            <b/>
            <sz val="14"/>
            <color indexed="81"/>
            <rFont val="Tahoma"/>
            <family val="2"/>
          </rPr>
          <t>Note:</t>
        </r>
        <r>
          <rPr>
            <sz val="14"/>
            <color indexed="81"/>
            <rFont val="Tahoma"/>
            <family val="2"/>
          </rPr>
          <t xml:space="preserve">
This inflation rate applies to both fixed and variable O&amp;M expense, insurance, and project management costs entered above, if applicable. 
The model allows the user to specify an inflation assumption for an "initial period" and a second inflation assumption "thereafter." These inputs can be used to account for inflation which might be fixed during an initial O&amp;M service contract, but are unknown thereafter.  The final year of the "initial period" is  user-defined (e.g. final year of an O&amp;M service contract). 
The purpose of this feature is also to recognize that inflationary trends may change over time, or that some projects may not expect inflation of O&amp;M expenses for the first several years, but may expect inflation thereafter.
This inflation rate does not apply to PILOT or Royalty costs. Input cannot be less than zero.
</t>
        </r>
      </text>
    </comment>
    <comment ref="I292" authorId="0" shapeId="0" xr:uid="{AB9D783F-107D-4C09-8ECF-9633DB4AB343}">
      <text>
        <r>
          <rPr>
            <b/>
            <sz val="14"/>
            <color indexed="81"/>
            <rFont val="Tahoma"/>
            <family val="2"/>
          </rPr>
          <t xml:space="preserve">Note:
</t>
        </r>
        <r>
          <rPr>
            <sz val="14"/>
            <color indexed="81"/>
            <rFont val="Tahoma"/>
            <family val="2"/>
          </rPr>
          <t xml:space="preserve">This feature allows the user to assume that the rate at which expenses change over time is not constant. This cell provides the year in which the first inflation period ends.
Input cannot be less than zero.
</t>
        </r>
      </text>
    </comment>
    <comment ref="P292" authorId="0" shapeId="0" xr:uid="{9C2FB974-57B6-4CF5-A2C5-8C0D6B6227C0}">
      <text>
        <r>
          <rPr>
            <b/>
            <sz val="8"/>
            <color indexed="81"/>
            <rFont val="Tahoma"/>
            <family val="2"/>
          </rPr>
          <t>See "unit" definitions at the bottom of this worksheet.</t>
        </r>
        <r>
          <rPr>
            <sz val="8"/>
            <color indexed="81"/>
            <rFont val="Tahoma"/>
            <family val="2"/>
          </rPr>
          <t xml:space="preserve">
</t>
        </r>
      </text>
    </comment>
    <comment ref="I293" authorId="0" shapeId="0" xr:uid="{D4F1DAFC-9DF1-476E-B2E5-283FCC6308B1}">
      <text>
        <r>
          <rPr>
            <b/>
            <sz val="14"/>
            <color indexed="81"/>
            <rFont val="Tahoma"/>
            <family val="2"/>
          </rPr>
          <t xml:space="preserve">Note:
</t>
        </r>
        <r>
          <rPr>
            <sz val="14"/>
            <color indexed="81"/>
            <rFont val="Tahoma"/>
            <family val="2"/>
          </rPr>
          <t xml:space="preserve">This cell provides the inflation rate for the remainder of the project's useful life.
Input must be greater than zero.
</t>
        </r>
      </text>
    </comment>
    <comment ref="S293" authorId="1" shapeId="0" xr:uid="{5018CF96-5F3C-4462-903B-CE33303BCFD9}">
      <text>
        <r>
          <rPr>
            <b/>
            <sz val="14"/>
            <color indexed="81"/>
            <rFont val="Tahoma"/>
            <family val="2"/>
          </rPr>
          <t xml:space="preserve">Note:
</t>
        </r>
        <r>
          <rPr>
            <sz val="14"/>
            <color indexed="81"/>
            <rFont val="Tahoma"/>
            <family val="2"/>
          </rPr>
          <t>This drop-down input cell allows the user to specify whether state incentives are cost-based (e.g. an investment tax credit) or performance-based (e.g. a PTC or cash payment). If no state incentive is available or useable by the modeled project, the user will select "Neither." The magnitude and terms of these incentives are set in the cells below.
For more information, a useful resource for researching federal and state incentives online is:  
http://dsireusa.org/
*See bottom of introduction page for a list of links</t>
        </r>
      </text>
    </comment>
    <comment ref="I294" authorId="1" shapeId="0" xr:uid="{C3227FAB-BB79-4D1C-A950-374CF7472A2A}">
      <text>
        <r>
          <rPr>
            <b/>
            <sz val="14"/>
            <color indexed="81"/>
            <rFont val="Tahoma"/>
            <family val="2"/>
          </rPr>
          <t xml:space="preserve">Note:
</t>
        </r>
        <r>
          <rPr>
            <sz val="14"/>
            <color indexed="81"/>
            <rFont val="Tahoma"/>
            <family val="2"/>
          </rPr>
          <t xml:space="preserve">Project owners, or hosts, are required to carry insurance. This input accounts for the estimated cost of insuring the modeled power generating facility.
Input cannot be less than zero.
</t>
        </r>
      </text>
    </comment>
    <comment ref="S294" authorId="0" shapeId="0" xr:uid="{C8A4ECF7-7F2F-4EFC-BE86-FE3A0AD4507F}">
      <text>
        <r>
          <rPr>
            <b/>
            <sz val="14"/>
            <color indexed="81"/>
            <rFont val="Tahoma"/>
            <family val="2"/>
          </rPr>
          <t xml:space="preserve">NOTE:
</t>
        </r>
        <r>
          <rPr>
            <sz val="14"/>
            <color indexed="81"/>
            <rFont val="Tahoma"/>
            <family val="2"/>
          </rPr>
          <t xml:space="preserve">The maximum potential Investment Tax Credit (ITC) benefit is assumed to be 30% of those project costs which are depreciable on the 5-year MACRS schedule.
</t>
        </r>
      </text>
    </comment>
    <comment ref="I295" authorId="0" shapeId="0" xr:uid="{05B3E109-06B2-401D-AC43-E99B722D4A62}">
      <text>
        <r>
          <rPr>
            <b/>
            <sz val="14"/>
            <color indexed="81"/>
            <rFont val="Tahoma"/>
            <family val="2"/>
          </rPr>
          <t xml:space="preserve">Note:
</t>
        </r>
        <r>
          <rPr>
            <sz val="14"/>
            <color indexed="81"/>
            <rFont val="Tahoma"/>
            <family val="2"/>
          </rPr>
          <t xml:space="preserve">This cell calculates the resulting dollar value cost of insurance based on the input above and the project installed cost (net of financing costs).  It is provided simply as a reference for the user.
</t>
        </r>
        <r>
          <rPr>
            <sz val="8"/>
            <color indexed="81"/>
            <rFont val="Tahoma"/>
            <family val="2"/>
          </rPr>
          <t xml:space="preserve">
</t>
        </r>
      </text>
    </comment>
    <comment ref="S295" authorId="0" shapeId="0" xr:uid="{9B6BC62F-102A-415E-945A-1AAAC31FE534}">
      <text>
        <r>
          <rPr>
            <b/>
            <sz val="14"/>
            <color indexed="81"/>
            <rFont val="Tahoma"/>
            <family val="2"/>
          </rPr>
          <t xml:space="preserve">NOTE:
</t>
        </r>
        <r>
          <rPr>
            <sz val="14"/>
            <color indexed="81"/>
            <rFont val="Tahoma"/>
            <family val="2"/>
          </rPr>
          <t xml:space="preserve">As a tax </t>
        </r>
        <r>
          <rPr>
            <u/>
            <sz val="14"/>
            <color indexed="81"/>
            <rFont val="Tahoma"/>
            <family val="2"/>
          </rPr>
          <t>credit</t>
        </r>
        <r>
          <rPr>
            <sz val="14"/>
            <color indexed="81"/>
            <rFont val="Tahoma"/>
            <family val="2"/>
          </rPr>
          <t>, the ITC is only usable by project owners with positive federal income tax liability.  
In cases where the owner's tax liability in the calendar year of the project's first commercial operation exceeds the ITC amount, the user may enter 100% in this field and assume full utilization of the ITC.
If the owner's tax liability is less than the available ITC, a % less than 100% must be entered in order to represent a less efficient utilization of this federal tax incentive.
Input must be betwee 0% and 100%.</t>
        </r>
      </text>
    </comment>
    <comment ref="I296" authorId="1" shapeId="0" xr:uid="{67A8430B-3D47-4D91-A6EA-556794094352}">
      <text>
        <r>
          <rPr>
            <b/>
            <sz val="14"/>
            <color indexed="81"/>
            <rFont val="Tahoma"/>
            <family val="2"/>
          </rPr>
          <t>Note:</t>
        </r>
        <r>
          <rPr>
            <sz val="14"/>
            <color indexed="81"/>
            <rFont val="Tahoma"/>
            <family val="2"/>
          </rPr>
          <t xml:space="preserve">
"Project Management" accounts for the cost of staff time related to managing the project's Power Purchase Agreements, grid integration, and periodic reporting to the system operator and policymakers.  
Input cannot be less than zero.
</t>
        </r>
      </text>
    </comment>
    <comment ref="S296" authorId="0" shapeId="0" xr:uid="{5BB14B4B-81B8-47AF-8D63-9BC41922125E}">
      <text>
        <r>
          <rPr>
            <b/>
            <sz val="14"/>
            <color indexed="81"/>
            <rFont val="Tahoma"/>
            <family val="2"/>
          </rPr>
          <t xml:space="preserve">Note:
</t>
        </r>
        <r>
          <rPr>
            <sz val="14"/>
            <color indexed="81"/>
            <rFont val="Tahoma"/>
            <family val="2"/>
          </rPr>
          <t>Specifies whether the available ITC is realized in a single year or over multiple years. This input will be specified by state-specific law or regulation.
A good resource on available state incentives is:  
http://dsireusa.org/
*See bottom of introduction page for a list of links
Input must be greater than 1 and less than the Project Useful Life.</t>
        </r>
      </text>
    </comment>
    <comment ref="I297" authorId="1" shapeId="0" xr:uid="{C9605857-D20B-4B99-9EF8-5F3B07B39308}">
      <text>
        <r>
          <rPr>
            <b/>
            <sz val="14"/>
            <color indexed="81"/>
            <rFont val="Tahoma"/>
            <family val="2"/>
          </rPr>
          <t xml:space="preserve">Note:
</t>
        </r>
        <r>
          <rPr>
            <sz val="14"/>
            <color indexed="81"/>
            <rFont val="Tahoma"/>
            <family val="2"/>
          </rPr>
          <t xml:space="preserve">"Property Tax or PILOT" accounts for costs associated with any local taxes incurred by the project. Many states offer tax exemptions for renewable energy systems; to check your local applicability, please visit: http://dsireusa.org/ 
This line can also be used to account for any PILOTs or Payment in Leiu of Taxes. Developers often negotiate a PILOT with the local community to secure a fixed, predictable payment that serves both parties appropriately. This model allows the user to input a year-one Property Tax or PILOT value along with an annual property tax adjsutment factor (see next cell down). As a result, taxes can be modeled as flat, increasing, or decreasing annually depending on the value entered in the adjustment factor cell below.
Input cannot be less than zero.
</t>
        </r>
      </text>
    </comment>
    <comment ref="S297" authorId="0" shapeId="0" xr:uid="{D5E62818-961B-4236-8B57-785EE26D2D54}">
      <text>
        <r>
          <rPr>
            <b/>
            <sz val="14"/>
            <color indexed="81"/>
            <rFont val="Tahoma"/>
            <family val="2"/>
          </rPr>
          <t xml:space="preserve">Note:
</t>
        </r>
        <r>
          <rPr>
            <sz val="14"/>
            <color indexed="81"/>
            <rFont val="Tahoma"/>
            <family val="2"/>
          </rPr>
          <t xml:space="preserve">Calculates the dollar value of the State Investment Tax Credit, if applicable.
</t>
        </r>
      </text>
    </comment>
    <comment ref="I298" authorId="1" shapeId="0" xr:uid="{ADC303A1-C4C8-45CA-B335-90EBB6C832E3}">
      <text>
        <r>
          <rPr>
            <b/>
            <sz val="14"/>
            <color indexed="81"/>
            <rFont val="Tahoma"/>
            <family val="2"/>
          </rPr>
          <t xml:space="preserve">Note:
</t>
        </r>
        <r>
          <rPr>
            <sz val="14"/>
            <color indexed="81"/>
            <rFont val="Tahoma"/>
            <family val="2"/>
          </rPr>
          <t xml:space="preserve">The Annual Property Tax Adjustment Factor allows the user to specify whether the Year One tax (or PILOT) value will remain fixed and flat, will decrease (a negative percentage value entered in this cell) or increase (a positive percentage value entered in this cell) over time.  </t>
        </r>
        <r>
          <rPr>
            <sz val="8"/>
            <color indexed="81"/>
            <rFont val="Tahoma"/>
            <family val="2"/>
          </rPr>
          <t xml:space="preserve">
</t>
        </r>
      </text>
    </comment>
    <comment ref="S298" authorId="0" shapeId="0" xr:uid="{92635330-CA48-4907-B6D9-7DB7A5D9798A}">
      <text>
        <r>
          <rPr>
            <b/>
            <sz val="14"/>
            <color indexed="81"/>
            <rFont val="Tahoma"/>
            <family val="2"/>
          </rPr>
          <t xml:space="preserve">Note: </t>
        </r>
        <r>
          <rPr>
            <sz val="14"/>
            <color indexed="81"/>
            <rFont val="Tahoma"/>
            <family val="2"/>
          </rPr>
          <t xml:space="preserve">
This input cell, the "Performance Based Incentive" or "PBI" is another potential incentive available to some specific projects. The PBI would be separate from a feed-in-tariff, but acts similarly in that it is per unit of production (typically kWh) income to a project.
Some examples of PBIs include the Federal Production Tax Credit (applicable to private projects with tax appetites) and the Federal Renewable Energy Production Incentive (REPI), historically available to some public projects.
</t>
        </r>
      </text>
    </comment>
    <comment ref="I299" authorId="1" shapeId="0" xr:uid="{F84DBB51-E401-4362-8A7A-C832681D6514}">
      <text>
        <r>
          <rPr>
            <b/>
            <sz val="14"/>
            <color indexed="81"/>
            <rFont val="Tahoma"/>
            <family val="2"/>
          </rPr>
          <t xml:space="preserve">Note:
</t>
        </r>
        <r>
          <rPr>
            <sz val="14"/>
            <color indexed="81"/>
            <rFont val="Tahoma"/>
            <family val="2"/>
          </rPr>
          <t xml:space="preserve">The Land Lease input represents </t>
        </r>
        <r>
          <rPr>
            <b/>
            <u/>
            <sz val="14"/>
            <color indexed="81"/>
            <rFont val="Tahoma"/>
            <family val="2"/>
          </rPr>
          <t>fixed payments</t>
        </r>
        <r>
          <rPr>
            <sz val="14"/>
            <color indexed="81"/>
            <rFont val="Tahoma"/>
            <family val="2"/>
          </rPr>
          <t xml:space="preserve"> to the site host (and possibly other affected parties) for the use of the land on which the project is located.  
Variable royalty payments may be applied in addition to, or in lieu of, the land lease payment through the "Royalties" input below, if applicable.  
Input cannot be less than zero.
</t>
        </r>
      </text>
    </comment>
    <comment ref="S299" authorId="0" shapeId="0" xr:uid="{59451A5E-A5BE-41A4-8059-B039069EBD82}">
      <text>
        <r>
          <rPr>
            <b/>
            <sz val="14"/>
            <color indexed="81"/>
            <rFont val="Tahoma"/>
            <family val="2"/>
          </rPr>
          <t xml:space="preserve">Note:
</t>
        </r>
        <r>
          <rPr>
            <sz val="14"/>
            <color indexed="81"/>
            <rFont val="Tahoma"/>
            <family val="2"/>
          </rPr>
          <t xml:space="preserve">Impacts tax treatment of PBI if owner is a taxable entity.
</t>
        </r>
      </text>
    </comment>
    <comment ref="I300" authorId="1" shapeId="0" xr:uid="{F78826BD-F94A-4CB2-9882-575EE41F29A5}">
      <text>
        <r>
          <rPr>
            <b/>
            <sz val="14"/>
            <color indexed="81"/>
            <rFont val="Tahoma"/>
            <family val="2"/>
          </rPr>
          <t xml:space="preserve">Note:
</t>
        </r>
        <r>
          <rPr>
            <sz val="14"/>
            <color indexed="81"/>
            <rFont val="Tahoma"/>
            <family val="2"/>
          </rPr>
          <t xml:space="preserve">The royalties input accounts for </t>
        </r>
        <r>
          <rPr>
            <b/>
            <u/>
            <sz val="14"/>
            <color indexed="81"/>
            <rFont val="Tahoma"/>
            <family val="2"/>
          </rPr>
          <t>variable</t>
        </r>
        <r>
          <rPr>
            <sz val="14"/>
            <color indexed="81"/>
            <rFont val="Tahoma"/>
            <family val="2"/>
          </rPr>
          <t xml:space="preserve"> payments to site hosts, neighbors, partners, or other parties which may have a stake in the project and which are NOT covered by the fixed "Land Lease" payment. 
Fixed payments may be applied in addition to, or in lieu of, the royalty payment through the "Land Lease" input above, if applicable.  
</t>
        </r>
        <r>
          <rPr>
            <b/>
            <sz val="14"/>
            <color indexed="81"/>
            <rFont val="Tahoma"/>
            <family val="2"/>
          </rPr>
          <t>Inflation is NOT applied to this input</t>
        </r>
        <r>
          <rPr>
            <sz val="14"/>
            <color indexed="81"/>
            <rFont val="Tahoma"/>
            <family val="2"/>
          </rPr>
          <t xml:space="preserve">. However, if tariff escalation is selected, then the assumed royalty payment will increase over time since it is calculated as a function of revenue over time.
If the modeled project's royalty payments are not the same over time, then an average annual royalty payment should be calculated externally and entered in this cell. 
This input cannot be less than zero.
</t>
        </r>
        <r>
          <rPr>
            <sz val="8"/>
            <color indexed="81"/>
            <rFont val="Tahoma"/>
            <family val="2"/>
          </rPr>
          <t xml:space="preserve">
</t>
        </r>
      </text>
    </comment>
    <comment ref="S300" authorId="0" shapeId="0" xr:uid="{0C91A91D-E64A-41F1-AC43-BB67B4D19004}">
      <text>
        <r>
          <rPr>
            <b/>
            <sz val="14"/>
            <color indexed="81"/>
            <rFont val="Tahoma"/>
            <family val="2"/>
          </rPr>
          <t xml:space="preserve">Note: </t>
        </r>
        <r>
          <rPr>
            <sz val="14"/>
            <color indexed="81"/>
            <rFont val="Tahoma"/>
            <family val="2"/>
          </rPr>
          <t xml:space="preserve">
This cell denotes the value of the Performance Based Incentive applicable to the project's first year of commercial operation. In some cases, this value will need to be calculated external to the model if such PBI is derived from a "base year" and specified inflation index. The following cells can be used to account for inflation and the maximum term of eligibility.
Input cannot be less than zero.
</t>
        </r>
      </text>
    </comment>
    <comment ref="I301" authorId="0" shapeId="0" xr:uid="{B22EE078-48A9-4DFB-AAC3-B703CD81E055}">
      <text>
        <r>
          <rPr>
            <b/>
            <sz val="14"/>
            <color indexed="81"/>
            <rFont val="Tahoma"/>
            <family val="2"/>
          </rPr>
          <t xml:space="preserve">Note:
</t>
        </r>
        <r>
          <rPr>
            <sz val="14"/>
            <color indexed="81"/>
            <rFont val="Tahoma"/>
            <family val="2"/>
          </rPr>
          <t xml:space="preserve">This cell calculates the resulting dollar value cost of royalties paid to landowners or other stakeholders based on the input above and project revenue.  It is provided simply as a reference for the user.
</t>
        </r>
        <r>
          <rPr>
            <sz val="8"/>
            <color indexed="81"/>
            <rFont val="Tahoma"/>
            <family val="2"/>
          </rPr>
          <t xml:space="preserve">
</t>
        </r>
      </text>
    </comment>
    <comment ref="S301" authorId="0" shapeId="0" xr:uid="{E9070436-8223-49A6-8084-D9DC71135D86}">
      <text>
        <r>
          <rPr>
            <b/>
            <sz val="14"/>
            <color indexed="81"/>
            <rFont val="Tahoma"/>
            <family val="2"/>
          </rPr>
          <t>Note:</t>
        </r>
        <r>
          <rPr>
            <sz val="14"/>
            <color indexed="81"/>
            <rFont val="Tahoma"/>
            <family val="2"/>
          </rPr>
          <t xml:space="preserve">
This is the length of time that a project would be eligible for any Performance Based Incentives outlined in the cell immediately above. For example, the Federal Renewable Energy Production Incentive and Production Tax Credit incentives are available for the first 10 years of project operation.
Input cannot be less than zero.
</t>
        </r>
      </text>
    </comment>
    <comment ref="S302" authorId="0" shapeId="0" xr:uid="{8FE56296-CBAB-4685-9886-AADF5A5DF07C}">
      <text>
        <r>
          <rPr>
            <b/>
            <sz val="14"/>
            <color indexed="81"/>
            <rFont val="Tahoma"/>
            <family val="2"/>
          </rPr>
          <t xml:space="preserve">Note:
</t>
        </r>
        <r>
          <rPr>
            <sz val="14"/>
            <color indexed="81"/>
            <rFont val="Tahoma"/>
            <family val="2"/>
          </rPr>
          <t xml:space="preserve">Performance Based Incentives are often adjusted to account for inflation. For example, the Federal Production Tax Credit (PTC) is adjusted each year to account for changes in the GDP IPD index. This cell can be used as a proxy for the inflation that would apply to any PBI incentive entered above.
This input cannot be left blank.
</t>
        </r>
      </text>
    </comment>
    <comment ref="F303" authorId="0" shapeId="0" xr:uid="{E5C63365-BFAF-4990-AB9D-B75AEF869177}">
      <text>
        <r>
          <rPr>
            <b/>
            <sz val="8"/>
            <color indexed="81"/>
            <rFont val="Tahoma"/>
            <family val="2"/>
          </rPr>
          <t>See "unit" definitions at the bottom of this worksheet.</t>
        </r>
        <r>
          <rPr>
            <sz val="8"/>
            <color indexed="81"/>
            <rFont val="Tahoma"/>
            <family val="2"/>
          </rPr>
          <t xml:space="preserve">
</t>
        </r>
      </text>
    </comment>
    <comment ref="S303" authorId="0" shapeId="0" xr:uid="{7BF1D678-380E-45B0-A16B-F22188396E00}">
      <text>
        <r>
          <rPr>
            <b/>
            <sz val="14"/>
            <color indexed="81"/>
            <rFont val="Tahoma"/>
            <family val="2"/>
          </rPr>
          <t xml:space="preserve">Note:
</t>
        </r>
        <r>
          <rPr>
            <sz val="14"/>
            <color indexed="81"/>
            <rFont val="Tahoma"/>
            <family val="2"/>
          </rPr>
          <t xml:space="preserve">In some cases, due to the nature of the requirements of some Performance Based Incentive programs, project owners are unable to maximize the full revenue stream of the incentive. For example, in the case of the Federal Production Tax Credit (PTC), the project owner may not have sufficienct tax appetite to fully utilize the tax credits. 
This input cell would allow the modeler to account for the owner's inability to fully utilize the PTC and/or the reduction of the PTC (a "haircut") due to the presence of subsidized (below market interest rate) financing.
Input must be between 0% and 100%.
</t>
        </r>
        <r>
          <rPr>
            <sz val="8"/>
            <color indexed="81"/>
            <rFont val="Tahoma"/>
            <family val="2"/>
          </rPr>
          <t xml:space="preserve">
</t>
        </r>
      </text>
    </comment>
    <comment ref="I304" authorId="0" shapeId="0" xr:uid="{F9FFF81A-E85B-4038-8F31-51B1F934316C}">
      <text>
        <r>
          <rPr>
            <b/>
            <sz val="14"/>
            <color indexed="81"/>
            <rFont val="Tahoma"/>
            <family val="2"/>
          </rPr>
          <t xml:space="preserve">Note:
</t>
        </r>
        <r>
          <rPr>
            <sz val="14"/>
            <color indexed="81"/>
            <rFont val="Tahoma"/>
            <family val="2"/>
          </rPr>
          <t xml:space="preserve">The # of months from construction start to commercial operation. This input cannot be less than zero.
</t>
        </r>
      </text>
    </comment>
    <comment ref="S304" authorId="0" shapeId="0" xr:uid="{8A9947DE-C05F-4CF8-AC0E-174BDCB30052}">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I305" authorId="0" shapeId="0" xr:uid="{FFB22979-1866-4A46-938C-8EE5B4CB40D6}">
      <text>
        <r>
          <rPr>
            <b/>
            <sz val="14"/>
            <color indexed="81"/>
            <rFont val="Tahoma"/>
            <family val="2"/>
          </rPr>
          <t xml:space="preserve">Note:
</t>
        </r>
        <r>
          <rPr>
            <sz val="14"/>
            <color indexed="81"/>
            <rFont val="Tahoma"/>
            <family val="2"/>
          </rPr>
          <t xml:space="preserve">The annual interest rate on construction debt. This input cannot be less than zero.
</t>
        </r>
      </text>
    </comment>
    <comment ref="I306" authorId="0" shapeId="0" xr:uid="{CA61156F-DAC3-4ED9-9EAB-8EA2C1E77E78}">
      <text>
        <r>
          <rPr>
            <b/>
            <sz val="14"/>
            <color indexed="81"/>
            <rFont val="Tahoma"/>
            <family val="2"/>
          </rPr>
          <t xml:space="preserve">Note:
</t>
        </r>
        <r>
          <rPr>
            <sz val="14"/>
            <color indexed="81"/>
            <rFont val="Tahoma"/>
            <family val="2"/>
          </rPr>
          <t xml:space="preserve">A calculated value showing the interest accrued during the construction period. Rather than requiring the user to define a detailed construction draw-down schedule, this calculation makes the simplifying assumption that the total project cost is spent in equal parts in each month of the construction period.
IDC is calculated on total project cost, assuming that any grants are collected after construction financing is repaid at time of permanent financing.
This cell is only used with the "Intermediate" and "Complex" capital cost options. The "Simple" capital cost option assumes that all project costs, including IDC, are included in the single input.
</t>
        </r>
      </text>
    </comment>
    <comment ref="S306" authorId="0" shapeId="0" xr:uid="{57529FB6-6B44-4C17-B2DF-63633A64C062}">
      <text>
        <r>
          <rPr>
            <b/>
            <sz val="14"/>
            <color indexed="81"/>
            <rFont val="Tahoma"/>
            <family val="2"/>
          </rPr>
          <t xml:space="preserve">Note:
</t>
        </r>
        <r>
          <rPr>
            <sz val="14"/>
            <color indexed="81"/>
            <rFont val="Tahoma"/>
            <family val="2"/>
          </rPr>
          <t xml:space="preserve">Include here the total dollar value of any state-specific cash grants or rebates.
Input cannot be less than zero.
</t>
        </r>
      </text>
    </comment>
    <comment ref="S307" authorId="0" shapeId="0" xr:uid="{B26E9FD4-9815-4530-A632-E8C5755DB959}">
      <text>
        <r>
          <rPr>
            <b/>
            <sz val="14"/>
            <color indexed="81"/>
            <rFont val="Tahoma"/>
            <family val="2"/>
          </rPr>
          <t xml:space="preserve">Note:
</t>
        </r>
        <r>
          <rPr>
            <sz val="14"/>
            <color indexed="81"/>
            <rFont val="Tahoma"/>
            <family val="2"/>
          </rPr>
          <t xml:space="preserve">Select here whether state grants are treated as taxable income.  If no, depreciation basis is reduced. 
</t>
        </r>
      </text>
    </comment>
    <comment ref="F308" authorId="0" shapeId="0" xr:uid="{8825D3DF-08BD-4F72-B8B9-9EC0581DF891}">
      <text>
        <r>
          <rPr>
            <b/>
            <sz val="8"/>
            <color indexed="81"/>
            <rFont val="Tahoma"/>
            <family val="2"/>
          </rPr>
          <t>See "unit" definitions at the bottom of this worksheet.</t>
        </r>
        <r>
          <rPr>
            <sz val="8"/>
            <color indexed="81"/>
            <rFont val="Tahoma"/>
            <family val="2"/>
          </rPr>
          <t xml:space="preserve">
</t>
        </r>
      </text>
    </comment>
    <comment ref="I309" authorId="0" shapeId="0" xr:uid="{1FFA7AAE-FA13-4C89-8D50-74AFB58D8250}">
      <text>
        <r>
          <rPr>
            <b/>
            <sz val="14"/>
            <color indexed="81"/>
            <rFont val="Tahoma"/>
            <family val="2"/>
          </rPr>
          <t xml:space="preserve">Note:
</t>
        </r>
        <r>
          <rPr>
            <sz val="14"/>
            <color indexed="81"/>
            <rFont val="Tahoma"/>
            <family val="2"/>
          </rPr>
          <t xml:space="preserve">For ease of use and comprehension by a wide range of stakeholders, this model allows the user to define the capital structure, and relies on mortgage-style amortization of the project debt. The "% Debt" input specifies the portion of funds borrowed, as a percentage of the total "hard costs." Equity is assumed to fund the remaining hard costs PLUS all "soft costs" (e.g. transaction costs and funding of initial reserve accounts, if applicable).  This input cannot be less than zero.
Where maximum sustainable leverage is desired, the user must manually adjust the "% Debt" entry upward to the highest point </t>
        </r>
        <r>
          <rPr>
            <b/>
            <i/>
            <sz val="14"/>
            <color indexed="81"/>
            <rFont val="Tahoma"/>
            <family val="2"/>
          </rPr>
          <t>before</t>
        </r>
        <r>
          <rPr>
            <sz val="14"/>
            <color indexed="81"/>
            <rFont val="Tahoma"/>
            <family val="2"/>
          </rPr>
          <t xml:space="preserve"> the DSCRs no longer "Pass."
If a specific % Debt is desired, </t>
        </r>
        <r>
          <rPr>
            <u/>
            <sz val="14"/>
            <color indexed="81"/>
            <rFont val="Tahoma"/>
            <family val="2"/>
          </rPr>
          <t>and such % is higher than the maximum sustainable debt</t>
        </r>
        <r>
          <rPr>
            <sz val="14"/>
            <color indexed="81"/>
            <rFont val="Tahoma"/>
            <family val="2"/>
          </rPr>
          <t xml:space="preserve"> (such that it causes the DSCR to "Fail"), then the user must define the % Debt and then manually adjust the "Target After-Tax Equity IRR" upward until the DSCRs are met.  The user should </t>
        </r>
        <r>
          <rPr>
            <b/>
            <sz val="14"/>
            <color indexed="81"/>
            <rFont val="Tahoma"/>
            <family val="2"/>
          </rPr>
          <t>take note</t>
        </r>
        <r>
          <rPr>
            <sz val="14"/>
            <color indexed="81"/>
            <rFont val="Tahoma"/>
            <family val="2"/>
          </rPr>
          <t xml:space="preserve"> that when leverage becomes very high (and the corresponding equity contribution low), the "Target After-Tax Equity IRR" will need to be adjusted to levels exceeding typical commercial returns </t>
        </r>
        <r>
          <rPr>
            <u/>
            <sz val="14"/>
            <color indexed="81"/>
            <rFont val="Tahoma"/>
            <family val="2"/>
          </rPr>
          <t>in order to maintain the DSCR ratio</t>
        </r>
        <r>
          <rPr>
            <sz val="14"/>
            <color indexed="81"/>
            <rFont val="Tahoma"/>
            <family val="2"/>
          </rPr>
          <t xml:space="preserve"> on such high debt levels.  For this reason, it is not recommended that users solve for the COE associated with a % Debt that is beyond the maximum sustainable leverage.
If a project is expected to be funded either by a pool of corporate funds or back-leveraged after commercial operation, the user might elect to enter 0% in the "% Debt" cell and enter a weighted average cost of capital (WACC) in the "Target After-Tax Equity IRR" cell.
</t>
        </r>
      </text>
    </comment>
    <comment ref="I310" authorId="1" shapeId="0" xr:uid="{9C5701D4-6C10-4D25-BAC5-B4B4153702B8}">
      <text>
        <r>
          <rPr>
            <b/>
            <sz val="14"/>
            <color indexed="81"/>
            <rFont val="Tahoma"/>
            <family val="2"/>
          </rPr>
          <t>Note:</t>
        </r>
        <r>
          <rPr>
            <sz val="14"/>
            <color indexed="81"/>
            <rFont val="Tahoma"/>
            <family val="2"/>
          </rPr>
          <t xml:space="preserve">
Debt "tenor" (also casually referred to as "term"), is the number of years in the debt repayment schedule.   
Caution: If the project will utilize debt, this value must be greater than zero but less than or equal to the total FIT contract duration.
</t>
        </r>
      </text>
    </comment>
    <comment ref="S310" authorId="0" shapeId="0" xr:uid="{0DDC6055-9404-4AFE-962A-AA00C434E782}">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311" authorId="1" shapeId="0" xr:uid="{28DB0462-4D69-4B12-91B8-67342EDD2CC5}">
      <text>
        <r>
          <rPr>
            <b/>
            <sz val="14"/>
            <color indexed="81"/>
            <rFont val="Tahoma"/>
            <family val="2"/>
          </rPr>
          <t>Note:</t>
        </r>
        <r>
          <rPr>
            <sz val="14"/>
            <color indexed="81"/>
            <rFont val="Tahoma"/>
            <family val="2"/>
          </rPr>
          <t xml:space="preserve">
The all-in interest rate is the financing rate provided by the bank or other debt investor.
This input cannot be less than zero.
</t>
        </r>
      </text>
    </comment>
    <comment ref="S311" authorId="0" shapeId="0" xr:uid="{F21F6DF5-70F0-43E8-8FD9-03E47D5DFB28}">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312" authorId="0" shapeId="0" xr:uid="{468A5692-272F-48C4-A523-F68C15BC2528}">
      <text>
        <r>
          <rPr>
            <b/>
            <sz val="14"/>
            <color indexed="81"/>
            <rFont val="Tahoma"/>
            <family val="2"/>
          </rPr>
          <t xml:space="preserve">Note:
</t>
        </r>
        <r>
          <rPr>
            <sz val="14"/>
            <color indexed="81"/>
            <rFont val="Tahoma"/>
            <family val="2"/>
          </rPr>
          <t xml:space="preserve">A one-time fee collected by the lender and calculated as a % of the total loan amount. This value is typically between 1% and 4%.
This input cannot be less than zero.
</t>
        </r>
      </text>
    </comment>
    <comment ref="S312" authorId="0" shapeId="0" xr:uid="{9105101C-C26F-424B-9BF2-D9E315D0DA1C}">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313" authorId="1" shapeId="0" xr:uid="{38FCD091-7E5E-483F-A31C-FC9CECCDDFCB}">
      <text>
        <r>
          <rPr>
            <b/>
            <sz val="14"/>
            <color indexed="81"/>
            <rFont val="Tahoma"/>
            <family val="2"/>
          </rPr>
          <t>Note:</t>
        </r>
        <r>
          <rPr>
            <sz val="14"/>
            <color indexed="81"/>
            <rFont val="Tahoma"/>
            <family val="2"/>
          </rPr>
          <t xml:space="preserve">
The annual Debt Service Coverage Ratio is calculated by dividing the sum of the annual principal and interest payment into that year's operating cash flow. Lenders will require the DSCR to demonstrate the project's ability to easily meet its annual debt service obligation.
Average DSCRs over the life of the loan typically range from 1.2 to 1.5 for private, commercially financed projects, or from 1.1 to 1.3 for publicly owned, bond-financed projects - depending on the level of reserves, or other surety, provided. 
The annual minimum DSCR will depend on the specific terms of the loan and the probability-weighting of the production estimate, but will likely be in the range of 1.0 to 1.3. This input must be greater than 1.
</t>
        </r>
      </text>
    </comment>
    <comment ref="S313" authorId="0" shapeId="0" xr:uid="{BE8EB95B-56C2-48A8-B101-8821957D26EA}">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314" authorId="0" shapeId="0" xr:uid="{3F161974-D22E-4E9D-B1CD-48B2BB275F43}">
      <text>
        <r>
          <rPr>
            <b/>
            <sz val="14"/>
            <color indexed="81"/>
            <rFont val="Tahoma"/>
            <family val="2"/>
          </rPr>
          <t>Note:</t>
        </r>
        <r>
          <rPr>
            <sz val="14"/>
            <color indexed="81"/>
            <rFont val="Tahoma"/>
            <family val="2"/>
          </rPr>
          <t xml:space="preserve">
If "#N/A" appears, F9 should be pressed until the calculated COE achieves it's final value.</t>
        </r>
      </text>
    </comment>
    <comment ref="S314" authorId="0" shapeId="0" xr:uid="{C0C9D312-3257-4491-91D9-6A916830751F}">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315" authorId="1" shapeId="0" xr:uid="{7DD847F0-2B4A-4767-B1E5-4657A75E7BA9}">
      <text>
        <r>
          <rPr>
            <b/>
            <sz val="14"/>
            <color indexed="81"/>
            <rFont val="Tahoma"/>
            <family val="2"/>
          </rPr>
          <t>Note:</t>
        </r>
        <r>
          <rPr>
            <sz val="14"/>
            <color indexed="81"/>
            <rFont val="Tahoma"/>
            <family val="2"/>
          </rPr>
          <t xml:space="preserve">
This cell checks that the debt service coverage ratio exceeds the user-defined minimum in each operating year (see note in DSCR cell for definition and rationale for DSCR). If the test "fails", the user must choose from one of several options in order to cure this deficiency (the extent to which these options are available will be specific to each project):
1. reduce the amount of project level debt, 
2. increase the feed-in tariff rate in order to generate cash flow sufficient to meet the bank's assumed coverage requirement.  In the CREST model, </t>
        </r>
        <r>
          <rPr>
            <u/>
            <sz val="14"/>
            <color indexed="81"/>
            <rFont val="Tahoma"/>
            <family val="2"/>
          </rPr>
          <t>this is done by manually increasing the "Target After-Tax Equity IRR."</t>
        </r>
        <r>
          <rPr>
            <sz val="14"/>
            <color indexed="81"/>
            <rFont val="Tahoma"/>
            <family val="2"/>
          </rPr>
          <t xml:space="preserve">
Other possible, but less likely, mechanisms include:
3. increase the loan tenor
4. decrease the interest rate</t>
        </r>
      </text>
    </comment>
    <comment ref="S315" authorId="0" shapeId="0" xr:uid="{FF5F1864-00FF-40D9-999F-A9453076D3CF}">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316" authorId="1" shapeId="0" xr:uid="{1E6AB686-889B-4FC9-BEDA-4B7B791C80EA}">
      <text>
        <r>
          <rPr>
            <b/>
            <sz val="14"/>
            <color indexed="81"/>
            <rFont val="Tahoma"/>
            <family val="2"/>
          </rPr>
          <t>Note:</t>
        </r>
        <r>
          <rPr>
            <sz val="14"/>
            <color indexed="81"/>
            <rFont val="Tahoma"/>
            <family val="2"/>
          </rPr>
          <t xml:space="preserve">
The annual Debt Service Coverage Ratio is calculated by dividing the sum of the annual principal and interest payment into that year's operating cash flow. Lenders will require the DSCR to demonstrate the project's ability to easily meet its annual debt service obligation.
</t>
        </r>
        <r>
          <rPr>
            <u/>
            <sz val="14"/>
            <color indexed="81"/>
            <rFont val="Tahoma"/>
            <family val="2"/>
          </rPr>
          <t>Average</t>
        </r>
        <r>
          <rPr>
            <sz val="14"/>
            <color indexed="81"/>
            <rFont val="Tahoma"/>
            <family val="2"/>
          </rPr>
          <t xml:space="preserve"> DSCRs over the life of the loan typically range from 1.2 to 1.5 for private, commercially financed projects, or from 1.1 to 1.3 for publicly owned, bond-financed projects - depending on the level of reserves, or other surety, provided. 
The </t>
        </r>
        <r>
          <rPr>
            <u/>
            <sz val="14"/>
            <color indexed="81"/>
            <rFont val="Tahoma"/>
            <family val="2"/>
          </rPr>
          <t>annual minimum</t>
        </r>
        <r>
          <rPr>
            <sz val="14"/>
            <color indexed="81"/>
            <rFont val="Tahoma"/>
            <family val="2"/>
          </rPr>
          <t xml:space="preserve"> DSCR will depend on the specific terms of the loan and the probability-weighting of the production estimate, but will likely be in the range of 1.0 to 1.3. This input must be greater than 1.
</t>
        </r>
      </text>
    </comment>
    <comment ref="S316" authorId="0" shapeId="0" xr:uid="{D3B212F7-1B78-4391-8775-62140597BE21}">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317" authorId="0" shapeId="0" xr:uid="{C0418C28-503F-4022-B246-23FFC076A88B}">
      <text>
        <r>
          <rPr>
            <b/>
            <sz val="12"/>
            <color indexed="81"/>
            <rFont val="Tahoma"/>
            <family val="2"/>
          </rPr>
          <t>Note:</t>
        </r>
        <r>
          <rPr>
            <sz val="12"/>
            <color indexed="81"/>
            <rFont val="Tahoma"/>
            <family val="2"/>
          </rPr>
          <t xml:space="preserve">
If "#N/A" appears, F9 should be pressed until the calculated COE achieves it's final value.</t>
        </r>
      </text>
    </comment>
    <comment ref="S317" authorId="0" shapeId="0" xr:uid="{8F450F68-D757-4813-9D7D-AE3B250AE8BF}">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318" authorId="1" shapeId="0" xr:uid="{CEA9911D-EC7E-484A-AC58-CC3E8FC044A3}">
      <text>
        <r>
          <rPr>
            <b/>
            <sz val="14"/>
            <color indexed="81"/>
            <rFont val="Tahoma"/>
            <family val="2"/>
          </rPr>
          <t>Note:</t>
        </r>
        <r>
          <rPr>
            <sz val="14"/>
            <color indexed="81"/>
            <rFont val="Tahoma"/>
            <family val="2"/>
          </rPr>
          <t xml:space="preserve">
This cell checks that the average debt service coverage ratio exceeds the user-defined minimum during the period for which debt is outstanding (see note in DSCR cell for definition and rationale for DSCR). If the test "fails", the user must choose from one of several options in order to cure this deficiency (the extent to which these options are available will be specific to each project):
1. reduce the amount of project level debt, 
2. increase the feed-in tariff rate in order to generate cash flow sufficient to meet the bank's assumed coverage requirement.  In the CREST model, </t>
        </r>
        <r>
          <rPr>
            <u/>
            <sz val="14"/>
            <color indexed="81"/>
            <rFont val="Tahoma"/>
            <family val="2"/>
          </rPr>
          <t>this is done by manually increasing the "Target After-Tax Equity IRR."</t>
        </r>
        <r>
          <rPr>
            <sz val="14"/>
            <color indexed="81"/>
            <rFont val="Tahoma"/>
            <family val="2"/>
          </rPr>
          <t xml:space="preserve">
Other possible, but less likely, mechanisms include:
3. increase the loan tenor
4. decrease the interest rate</t>
        </r>
      </text>
    </comment>
    <comment ref="I319" authorId="0" shapeId="0" xr:uid="{4D20B2E2-2075-4D02-B4FC-58230D524A99}">
      <text>
        <r>
          <rPr>
            <b/>
            <sz val="14"/>
            <color indexed="81"/>
            <rFont val="Tahoma"/>
            <family val="2"/>
          </rPr>
          <t xml:space="preserve">Note:
</t>
        </r>
        <r>
          <rPr>
            <sz val="14"/>
            <color indexed="81"/>
            <rFont val="Tahoma"/>
            <family val="2"/>
          </rPr>
          <t xml:space="preserve">The portion of total project cost funded from equity investors. This cell is a calculation and not an input. It is calculated as 100% minus the "% Debt" entered above.
</t>
        </r>
      </text>
    </comment>
    <comment ref="P319" authorId="0" shapeId="0" xr:uid="{854775FA-261C-44A6-BF62-900C01375817}">
      <text>
        <r>
          <rPr>
            <b/>
            <sz val="8"/>
            <color indexed="81"/>
            <rFont val="Tahoma"/>
            <family val="2"/>
          </rPr>
          <t>See "unit" definitions at the bottom of this worksheet.</t>
        </r>
        <r>
          <rPr>
            <sz val="8"/>
            <color indexed="81"/>
            <rFont val="Tahoma"/>
            <family val="2"/>
          </rPr>
          <t xml:space="preserve">
</t>
        </r>
      </text>
    </comment>
    <comment ref="I320" authorId="1" shapeId="0" xr:uid="{BB6DE907-AFFF-420C-AC98-CEEAA8D69D08}">
      <text>
        <r>
          <rPr>
            <b/>
            <sz val="14"/>
            <color indexed="81"/>
            <rFont val="Tahoma"/>
            <family val="2"/>
          </rPr>
          <t>Note:</t>
        </r>
        <r>
          <rPr>
            <sz val="14"/>
            <color indexed="81"/>
            <rFont val="Tahoma"/>
            <family val="2"/>
          </rPr>
          <t xml:space="preserve">
The target after-tax equity IRR is the equity investor's cost of capital -- or "discount rate" -- and is the minimum rate of return that the project owner will seek to attain in order to justify the project compared to alternative investments.  
The user should be explicit in his or her assumption regarding the term over which the target after-tax IRR is assumed to be realized. For example, the user could elect to align the return requirement with the tariff payment duration. In this case, the project useful life should be set equal to the tariff duration in order to calculate the COE associated with the target IRR over that period of time. 
In a second example, the user could elect to align the return requirement with the project's useful life. In this case, the user can either assume a tariff duration equal to the project life, or assume market-based revenue for the period after the tariff and before the end of the assumed project useful life.
This input cannot be less than zero.
If a project is expected to be funded either by a pool of corporate funds or back-leveraged after commercial operation, the user might elect to enter 0% in the "% Debt" cell and enter a weighted average cost of capital (WACC) in the "Target After-Tax Equity IRR" cell.
</t>
        </r>
      </text>
    </comment>
    <comment ref="I321" authorId="0" shapeId="0" xr:uid="{4532052D-8012-4E9A-BC4F-33AC5219862A}">
      <text>
        <r>
          <rPr>
            <b/>
            <sz val="14"/>
            <color indexed="81"/>
            <rFont val="Tahoma"/>
            <family val="2"/>
          </rPr>
          <t xml:space="preserve">Note:
</t>
        </r>
        <r>
          <rPr>
            <sz val="14"/>
            <color indexed="81"/>
            <rFont val="Tahoma"/>
            <family val="2"/>
          </rPr>
          <t xml:space="preserve">The weighted average cost of capital combines the after-tax cost of both equity and debt in proportion to their use, and is calculated here for reference.
</t>
        </r>
      </text>
    </comment>
    <comment ref="S321" authorId="1" shapeId="0" xr:uid="{2265E7C7-BFFE-48AD-A9F7-4DC6BA86B577}">
      <text>
        <r>
          <rPr>
            <b/>
            <sz val="14"/>
            <color indexed="81"/>
            <rFont val="Tahoma"/>
            <family val="2"/>
          </rPr>
          <t xml:space="preserve">Note:
</t>
        </r>
        <r>
          <rPr>
            <sz val="14"/>
            <color indexed="81"/>
            <rFont val="Tahoma"/>
            <family val="2"/>
          </rPr>
          <t xml:space="preserve">In order to ensure that project owners have sufficient funds to decommission and remove equipment at the end of a project's life, many owners choose to create and fund a reserve account throughout the course of project. 
This input cell allows the modeler to choose whether to pay for project removal by creating and funding a reserve account over the project life by selecting "Operations" or to assume that a project's removal will be funded by selling the equipment, by selecting "Salvage".
</t>
        </r>
      </text>
    </comment>
    <comment ref="I322" authorId="0" shapeId="0" xr:uid="{886CDCAC-673B-4B55-9FB6-C13DCD3155CE}">
      <text>
        <r>
          <rPr>
            <b/>
            <sz val="14"/>
            <color indexed="81"/>
            <rFont val="Tahoma"/>
            <family val="2"/>
          </rPr>
          <t xml:space="preserve">Note:
</t>
        </r>
        <r>
          <rPr>
            <sz val="14"/>
            <color indexed="81"/>
            <rFont val="Tahoma"/>
            <family val="2"/>
          </rPr>
          <t>This cell represents the costs of both equity and debt due diligence (if applicable) and other transaction costs.
Input cannot be less than zero.</t>
        </r>
      </text>
    </comment>
    <comment ref="S322" authorId="0" shapeId="0" xr:uid="{8DC50BC3-DB6B-4F33-8062-CB1956E29EF7}">
      <text>
        <r>
          <rPr>
            <b/>
            <sz val="14"/>
            <color indexed="81"/>
            <rFont val="Tahoma"/>
            <family val="2"/>
          </rPr>
          <t>Note:</t>
        </r>
        <r>
          <rPr>
            <sz val="14"/>
            <color indexed="81"/>
            <rFont val="Tahoma"/>
            <family val="2"/>
          </rPr>
          <t xml:space="preserve">
This input cell allows the user to assume the creation of a reserve account. The value entered here will be accounted for in the project's cash flow, and would be funded evenly over the number of years available between the project's commercial operation and the end of its useful life.
Input cannot be less than zero.
</t>
        </r>
      </text>
    </comment>
    <comment ref="P324" authorId="0" shapeId="0" xr:uid="{AA41024A-12FA-4D00-B195-7FD1A1349680}">
      <text>
        <r>
          <rPr>
            <b/>
            <sz val="8"/>
            <color indexed="81"/>
            <rFont val="Tahoma"/>
            <family val="2"/>
          </rPr>
          <t>See "unit" definitions at the bottom of this worksheet.</t>
        </r>
        <r>
          <rPr>
            <sz val="8"/>
            <color indexed="81"/>
            <rFont val="Tahoma"/>
            <family val="2"/>
          </rPr>
          <t xml:space="preserve">
</t>
        </r>
      </text>
    </comment>
    <comment ref="I325" authorId="0" shapeId="0" xr:uid="{CB1EDDF3-71A9-4F5F-A410-871EBEF0EE5B}">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at the project's "Total Installed Cost."
</t>
        </r>
      </text>
    </comment>
    <comment ref="I326" authorId="0" shapeId="0" xr:uid="{BEAF49D3-DECA-4CB8-A559-40451789CF5F}">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t>
        </r>
      </text>
    </comment>
    <comment ref="S326" authorId="0" shapeId="0" xr:uid="{F22505C0-5AF1-42D2-A6DE-D1042E041D46}">
      <text>
        <r>
          <rPr>
            <b/>
            <sz val="14"/>
            <color indexed="81"/>
            <rFont val="Tahoma"/>
            <family val="2"/>
          </rPr>
          <t>Note:</t>
        </r>
        <r>
          <rPr>
            <sz val="14"/>
            <color indexed="81"/>
            <rFont val="Tahoma"/>
            <family val="2"/>
          </rPr>
          <t xml:space="preserve">
Lenders typically require the project owner to establish a reserve account prior to the commencement of operations to ensure that loan repayments occur in full and on time even if the project has insufficient operating cash flow in a specific period due to lower than expected production, higher costs, or both. The size of the reserve account is typically equal to 6 months of debt service obligation.
Input cannot be less than zero.
</t>
        </r>
      </text>
    </comment>
    <comment ref="I327" authorId="0" shapeId="0" xr:uid="{67EE01C6-F394-450C-873B-92F7F7115A49}">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As previously described, this value excludes the ITC Cash Grant, which must be financed prior to commercial operation.  
</t>
        </r>
      </text>
    </comment>
    <comment ref="S327" authorId="0" shapeId="0" xr:uid="{01B03C4A-4261-42D5-AB0F-AC33701610F6}">
      <text>
        <r>
          <rPr>
            <b/>
            <sz val="14"/>
            <color indexed="81"/>
            <rFont val="Tahoma"/>
            <family val="2"/>
          </rPr>
          <t>Note:</t>
        </r>
        <r>
          <rPr>
            <sz val="14"/>
            <color indexed="81"/>
            <rFont val="Tahoma"/>
            <family val="2"/>
          </rPr>
          <t xml:space="preserve">
Calculated value based on the # months of required reserve and the capital structure and associated periodic debt obligation.
</t>
        </r>
      </text>
    </comment>
    <comment ref="I328" authorId="0" shapeId="0" xr:uid="{BDA892AF-0FE4-43A9-AB96-416B5D65D5A7}">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t>
        </r>
      </text>
    </comment>
    <comment ref="S329" authorId="0" shapeId="0" xr:uid="{0ABA0ACF-DEB6-4A2B-BE9F-5F3D65EE0B56}">
      <text>
        <r>
          <rPr>
            <b/>
            <sz val="14"/>
            <color indexed="81"/>
            <rFont val="Tahoma"/>
            <family val="2"/>
          </rPr>
          <t>Note:</t>
        </r>
        <r>
          <rPr>
            <sz val="14"/>
            <color indexed="81"/>
            <rFont val="Tahoma"/>
            <family val="2"/>
          </rPr>
          <t xml:space="preserve">
Lenders typically require the project owner to establish a reserve account prior to the commencement of operations to ensure that all O&amp;M expenses can be met even if the project has insufficient operating cash flow in a specific period due to lower than expected production, higher costs, or both. The size of the reserve account is typically 3 to 6 months of O&amp;M expenses, and includes all categories of O&amp;M expenses.
Input cannot be less than zero.
</t>
        </r>
      </text>
    </comment>
    <comment ref="F330" authorId="0" shapeId="0" xr:uid="{4CEC55D5-5924-40A9-9593-AAE19233BDA1}">
      <text>
        <r>
          <rPr>
            <b/>
            <sz val="8"/>
            <color indexed="81"/>
            <rFont val="Tahoma"/>
            <family val="2"/>
          </rPr>
          <t>See "unit" definitions at the bottom of this worksheet.</t>
        </r>
        <r>
          <rPr>
            <sz val="8"/>
            <color indexed="81"/>
            <rFont val="Tahoma"/>
            <family val="2"/>
          </rPr>
          <t xml:space="preserve">
</t>
        </r>
      </text>
    </comment>
    <comment ref="S330" authorId="0" shapeId="0" xr:uid="{1187B835-9661-4A3C-A893-10DB2C7D5AC8}">
      <text>
        <r>
          <rPr>
            <b/>
            <sz val="14"/>
            <color indexed="81"/>
            <rFont val="Tahoma"/>
            <family val="2"/>
          </rPr>
          <t>Note:</t>
        </r>
        <r>
          <rPr>
            <sz val="14"/>
            <color indexed="81"/>
            <rFont val="Tahoma"/>
            <family val="2"/>
          </rPr>
          <t xml:space="preserve">
Calculated value based on the # months of required reserve and all annual operating expenses.
</t>
        </r>
      </text>
    </comment>
    <comment ref="I331" authorId="0" shapeId="0" xr:uid="{B6CDB9E2-B23F-44BA-96F9-DE0DAA930BB7}">
      <text>
        <r>
          <rPr>
            <b/>
            <sz val="14"/>
            <color indexed="81"/>
            <rFont val="Tahoma"/>
            <family val="2"/>
          </rPr>
          <t xml:space="preserve">Note:
</t>
        </r>
        <r>
          <rPr>
            <sz val="14"/>
            <color indexed="81"/>
            <rFont val="Tahoma"/>
            <family val="2"/>
          </rPr>
          <t xml:space="preserve">Defines whether the project owner is a taxable or non-taxable entity. This determines the treatment of income taxes and other tax-related items.
</t>
        </r>
      </text>
    </comment>
    <comment ref="S331" authorId="0" shapeId="0" xr:uid="{7147A718-17B5-41C4-BDE1-35E872866B88}">
      <text>
        <r>
          <rPr>
            <b/>
            <sz val="14"/>
            <color indexed="81"/>
            <rFont val="Tahoma"/>
            <family val="2"/>
          </rPr>
          <t>Note:</t>
        </r>
        <r>
          <rPr>
            <sz val="14"/>
            <color indexed="81"/>
            <rFont val="Tahoma"/>
            <family val="2"/>
          </rPr>
          <t xml:space="preserve">
Unused reserves earn interest at this rate. Input cannot be less than zero.
</t>
        </r>
      </text>
    </comment>
    <comment ref="I332" authorId="0" shapeId="0" xr:uid="{5084EACF-1D66-4F0F-A7C5-422F65E4807C}">
      <text>
        <r>
          <rPr>
            <b/>
            <sz val="14"/>
            <color indexed="81"/>
            <rFont val="Tahoma"/>
            <family val="2"/>
          </rPr>
          <t xml:space="preserve">Note:
</t>
        </r>
        <r>
          <rPr>
            <sz val="14"/>
            <color indexed="81"/>
            <rFont val="Tahoma"/>
            <family val="2"/>
          </rPr>
          <t xml:space="preserve">Defines the project's federal income tax rate, if applicable.
Input cannot be less than zero.
</t>
        </r>
      </text>
    </comment>
    <comment ref="I333" authorId="0" shapeId="0" xr:uid="{2D927938-0936-4D91-9B5E-8F87F7174992}">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I334" authorId="0" shapeId="0" xr:uid="{5E0534BD-83EF-480B-80F9-162C490933D2}">
      <text>
        <r>
          <rPr>
            <b/>
            <sz val="14"/>
            <color indexed="81"/>
            <rFont val="Tahoma"/>
            <family val="2"/>
          </rPr>
          <t xml:space="preserve">Note:
</t>
        </r>
        <r>
          <rPr>
            <sz val="14"/>
            <color indexed="81"/>
            <rFont val="Tahoma"/>
            <family val="2"/>
          </rPr>
          <t xml:space="preserve">Defines the project's state income tax rate, if applicable.
Input cannot be less than zero.
</t>
        </r>
      </text>
    </comment>
    <comment ref="S334" authorId="0" shapeId="0" xr:uid="{FAF91C81-13C4-4855-8BF3-3E673EB92354}">
      <text>
        <r>
          <rPr>
            <b/>
            <sz val="14"/>
            <color indexed="81"/>
            <rFont val="Tahoma"/>
            <family val="2"/>
          </rPr>
          <t>Note:</t>
        </r>
        <r>
          <rPr>
            <sz val="14"/>
            <color indexed="81"/>
            <rFont val="Tahoma"/>
            <family val="2"/>
          </rPr>
          <t xml:space="preserve">
To qualify for Bonus Depreciation the property must have a recovery period of 20 years or less (under normal federal tax depreciation rules), and the project must commence operation in the year in which bonus depreciation is in effect and under the ownership of the entity claiming the deduction. 
For qualifying projects, the owner is entitled to deduct 50% of the adjusted basis of the property during the tax year the property is first placed in service. The remaining 50% of the adjusted basis of the property is depreciated over the ordinary MACRS depreciation schedule. The bonus depreciation rules do not override the depreciation limit applicable to projects qualifying for the federal ITC. Before calculating depreciation for such a project, including any bonus depreciation, the adjusted basis of the project must be reduced by one-half of the amount of the ITC for which the project qualifies. 
</t>
        </r>
      </text>
    </comment>
    <comment ref="I335" authorId="0" shapeId="0" xr:uid="{D13C5135-83A5-44C2-965A-59C249CCF94B}">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P335" authorId="0" shapeId="0" xr:uid="{42029D9F-FF4E-4C0A-B90C-58BCFFA89DF5}">
      <text>
        <r>
          <rPr>
            <b/>
            <sz val="12"/>
            <color indexed="81"/>
            <rFont val="Tahoma"/>
            <family val="2"/>
          </rPr>
          <t>Jason Gifford:</t>
        </r>
        <r>
          <rPr>
            <sz val="12"/>
            <color indexed="81"/>
            <rFont val="Tahoma"/>
            <family val="2"/>
          </rPr>
          <t xml:space="preserve">
The Consolidated Appropriations Act, signed in December 2015, extended the "placed in service" deadline for bonus depreciation. Equipment placed in service before January 1, 2018 can qualify for 50% bonus depreciation. Equipment placed in service during 2018 can qualify for 40% bonus depreciation. And equipment placed in service during 2019 can qualify for 30% bonus depreciation. </t>
        </r>
      </text>
    </comment>
    <comment ref="S335" authorId="0" shapeId="0" xr:uid="{B52391CF-0B57-4599-B760-7B3ED1E7EE46}">
      <text>
        <r>
          <rPr>
            <b/>
            <sz val="14"/>
            <color indexed="81"/>
            <rFont val="Tahoma"/>
            <family val="2"/>
          </rPr>
          <t>Note:</t>
        </r>
        <r>
          <rPr>
            <sz val="14"/>
            <color indexed="81"/>
            <rFont val="Tahoma"/>
            <family val="2"/>
          </rPr>
          <t xml:space="preserve">
This input allows the user to define the bonus depreciation % applied in Year 1, if applicable.  Historically, federal bonus depreciation has been 50% of the eligible cost basis (after taking into account reductions in such cost basis for the ITC, if applicable).  
Input cannot be less than zero.
</t>
        </r>
      </text>
    </comment>
    <comment ref="I336" authorId="0" shapeId="0" xr:uid="{CA4C73BC-365D-44AE-B325-F4CEB4E82F71}">
      <text>
        <r>
          <rPr>
            <b/>
            <sz val="14"/>
            <color indexed="81"/>
            <rFont val="Tahoma"/>
            <family val="2"/>
          </rPr>
          <t xml:space="preserve">Note:
</t>
        </r>
        <r>
          <rPr>
            <sz val="14"/>
            <color indexed="81"/>
            <rFont val="Tahoma"/>
            <family val="2"/>
          </rPr>
          <t xml:space="preserve">Takes into account the interaction between federal and state tax rates. This is a calculated value.
</t>
        </r>
      </text>
    </comment>
    <comment ref="I337" authorId="0" shapeId="0" xr:uid="{323A4941-14C2-4F92-A292-77BB667C9E48}">
      <text>
        <r>
          <rPr>
            <b/>
            <sz val="14"/>
            <color indexed="81"/>
            <rFont val="Tahoma"/>
            <family val="2"/>
          </rPr>
          <t xml:space="preserve">Note:
</t>
        </r>
        <r>
          <rPr>
            <sz val="14"/>
            <color indexed="81"/>
            <rFont val="Tahoma"/>
            <family val="2"/>
          </rPr>
          <t>Depreciation accounts for the "use" of equipment for tax purposes. The depreciation inputs are provided in the table to the right and on the Complex Capital Costs tab when this option is selected.</t>
        </r>
      </text>
    </comment>
    <comment ref="AB338" authorId="0" shapeId="0" xr:uid="{7D52A426-11F5-4EFB-9899-62FE62B6A576}">
      <text>
        <r>
          <rPr>
            <b/>
            <sz val="14"/>
            <color indexed="81"/>
            <rFont val="Tahoma"/>
            <family val="2"/>
          </rPr>
          <t>Note:</t>
        </r>
        <r>
          <rPr>
            <sz val="14"/>
            <color indexed="81"/>
            <rFont val="Tahoma"/>
            <family val="2"/>
          </rPr>
          <t xml:space="preserve">
When the "Simple" capital cost option is selected, the depreciation of total project costs is divided among the classifications using this row. The depreciation options associated with other levels of cost detail will be hidden.
</t>
        </r>
        <r>
          <rPr>
            <b/>
            <sz val="14"/>
            <color indexed="81"/>
            <rFont val="Tahoma"/>
            <family val="2"/>
          </rPr>
          <t xml:space="preserve">This row must sum to 100%.
</t>
        </r>
      </text>
    </comment>
    <comment ref="AB339" authorId="0" shapeId="0" xr:uid="{06DA5B35-47FA-4B5E-9B96-1AB282815E11}">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340" authorId="0" shapeId="0" xr:uid="{CC2937BB-A43F-4E6E-AAFA-EA223CF20EE2}">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341" authorId="0" shapeId="0" xr:uid="{844D73CA-63AD-443C-B7B9-9B9263742701}">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342" authorId="0" shapeId="0" xr:uid="{18755165-6C0F-4DFD-930E-A69C000C39AF}">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343" authorId="0" shapeId="0" xr:uid="{80CECDDC-0CA6-46A5-BC24-899FAA9B4110}">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344" authorId="0" shapeId="0" xr:uid="{352A9C60-1498-4868-BCC7-61FA82E7133A}">
      <text>
        <r>
          <rPr>
            <b/>
            <sz val="14"/>
            <color indexed="81"/>
            <rFont val="Tahoma"/>
            <family val="2"/>
          </rPr>
          <t>Note:</t>
        </r>
        <r>
          <rPr>
            <sz val="14"/>
            <color indexed="81"/>
            <rFont val="Tahoma"/>
            <family val="2"/>
          </rPr>
          <t xml:space="preserve">
When the "Complex" capital cost option is selected, each line items is assigned its own depreciation classification using a drop-down menu on the Complex Capital Costs tab.
</t>
        </r>
      </text>
    </comment>
    <comment ref="C349" authorId="0" shapeId="0" xr:uid="{E7C3626D-296A-4686-8496-26700ABB0F61}">
      <text>
        <r>
          <rPr>
            <sz val="14"/>
            <color indexed="81"/>
            <rFont val="Tahoma"/>
            <family val="2"/>
          </rPr>
          <t xml:space="preserve">The "Check" column evaluates whether or not values have been enterred in all required fields.  Green denotes an accepted entry in a required field or a calculation for which the minimum required precedents have been satisfied.  Red denotes the absence of an entry in a required field, or a calculation for which the minimum required precendents have NOT been satisfied.
</t>
        </r>
        <r>
          <rPr>
            <b/>
            <sz val="14"/>
            <color indexed="81"/>
            <rFont val="Tahoma"/>
            <family val="2"/>
          </rPr>
          <t>Please note</t>
        </r>
        <r>
          <rPr>
            <sz val="14"/>
            <color indexed="81"/>
            <rFont val="Tahoma"/>
            <family val="2"/>
          </rPr>
          <t xml:space="preserve"> that while the "Check" column ensures the population of all required fields, this column does NOT validate the magnitude of such entries.  It is the model user's responsibility to provide inputs which accurately represent the project being modeled.  In some cases, a range of typical values for a specified input are provided in that input's "Notes" cell.</t>
        </r>
      </text>
    </comment>
    <comment ref="I349" authorId="0" shapeId="0" xr:uid="{077BECDE-C70F-478C-A9C2-DFC32F0531BE}">
      <text>
        <r>
          <rPr>
            <sz val="14"/>
            <color indexed="81"/>
            <rFont val="Tahoma"/>
            <family val="2"/>
          </rPr>
          <t xml:space="preserve">Each cell in the "Notes" column provides a brief description of the input in the corresponding row, its application within the model, and (in some cases) the range of values that might be expected to populate that  input cell.  It is the model user's responsibility, however, to research and validate the applicability of, and appropriate value for, each input.
</t>
        </r>
        <r>
          <rPr>
            <sz val="8"/>
            <color indexed="81"/>
            <rFont val="Tahoma"/>
            <family val="2"/>
          </rPr>
          <t xml:space="preserve">
</t>
        </r>
      </text>
    </comment>
    <comment ref="M349" authorId="0" shapeId="0" xr:uid="{441CFFD6-ED52-47C0-B6CA-BA8A4BC48091}">
      <text>
        <r>
          <rPr>
            <sz val="14"/>
            <color indexed="81"/>
            <rFont val="Tahoma"/>
            <family val="2"/>
          </rPr>
          <t xml:space="preserve">The "Check" column evaluates whether or not values have been enterred in all required fields.  Green denotes an accepted entry in a required field or a calculation for which the minimum required precedents have been satisfied.  Red denotes the absence of an entry in a required field, or a calculation for which the minimum required precendents have NOT been satisfied.
</t>
        </r>
        <r>
          <rPr>
            <b/>
            <sz val="14"/>
            <color indexed="81"/>
            <rFont val="Tahoma"/>
            <family val="2"/>
          </rPr>
          <t>Please note</t>
        </r>
        <r>
          <rPr>
            <sz val="14"/>
            <color indexed="81"/>
            <rFont val="Tahoma"/>
            <family val="2"/>
          </rPr>
          <t xml:space="preserve"> that while the "Check" column ensures the population of all required fields, this column does NOT validate the magnitude of such entries.  It is the model user's responsibility to provide inputs which accurately represent the project being modeled.  In some cases, a range of typical values for a specified input are provided in that input's "Notes" cell.</t>
        </r>
      </text>
    </comment>
    <comment ref="S349" authorId="0" shapeId="0" xr:uid="{829BC8AB-CB87-499B-A6EB-40626AD213B5}">
      <text>
        <r>
          <rPr>
            <sz val="14"/>
            <color indexed="81"/>
            <rFont val="Tahoma"/>
            <family val="2"/>
          </rPr>
          <t>Each cell in the "Notes" column provides a brief description of the input in the corresponding row, its application within the model, and (in some cases) the range of values that might be expected to populate that  input cell. It is the model user's responsibility, however, to research and validate the applicability of, and appropriate value for, each input.</t>
        </r>
        <r>
          <rPr>
            <sz val="8"/>
            <color indexed="81"/>
            <rFont val="Tahoma"/>
            <family val="2"/>
          </rPr>
          <t xml:space="preserve">
</t>
        </r>
      </text>
    </comment>
    <comment ref="F351" authorId="0" shapeId="0" xr:uid="{2FA5CB9A-5999-4544-84F0-0841E0153C9C}">
      <text>
        <r>
          <rPr>
            <b/>
            <sz val="8"/>
            <color indexed="81"/>
            <rFont val="Tahoma"/>
            <family val="2"/>
          </rPr>
          <t>See "unit" definitions at the bottom of this worksheet.</t>
        </r>
        <r>
          <rPr>
            <sz val="8"/>
            <color indexed="81"/>
            <rFont val="Tahoma"/>
            <family val="2"/>
          </rPr>
          <t xml:space="preserve">
</t>
        </r>
      </text>
    </comment>
    <comment ref="P351" authorId="0" shapeId="0" xr:uid="{A9E5E7E5-62B3-499E-ABB4-73FFA3C31BD8}">
      <text>
        <r>
          <rPr>
            <b/>
            <sz val="8"/>
            <color indexed="81"/>
            <rFont val="Tahoma"/>
            <family val="2"/>
          </rPr>
          <t>See "unit" definitions at the bottom of this worksheet.</t>
        </r>
        <r>
          <rPr>
            <sz val="8"/>
            <color indexed="81"/>
            <rFont val="Tahoma"/>
            <family val="2"/>
          </rPr>
          <t xml:space="preserve">
</t>
        </r>
      </text>
    </comment>
    <comment ref="I352" authorId="1" shapeId="0" xr:uid="{E5C0FA1F-B4D0-43C0-BB95-D7A5E29D224A}">
      <text>
        <r>
          <rPr>
            <b/>
            <sz val="14"/>
            <color indexed="81"/>
            <rFont val="Tahoma"/>
            <family val="2"/>
          </rPr>
          <t>Note:</t>
        </r>
        <r>
          <rPr>
            <sz val="14"/>
            <color indexed="81"/>
            <rFont val="Tahoma"/>
            <family val="2"/>
          </rPr>
          <t xml:space="preserve">
This is the aggregate nameplate rating for the entire generating facility.
Input must be greater than zero.
</t>
        </r>
      </text>
    </comment>
    <comment ref="S352" authorId="1" shapeId="0" xr:uid="{DA15BCA3-E4C2-4E6C-8071-F075680377CE}">
      <text>
        <r>
          <rPr>
            <b/>
            <sz val="14"/>
            <color indexed="81"/>
            <rFont val="Tahoma"/>
            <family val="2"/>
          </rPr>
          <t xml:space="preserve">Note:
</t>
        </r>
        <r>
          <rPr>
            <sz val="14"/>
            <color indexed="81"/>
            <rFont val="Tahoma"/>
            <family val="2"/>
          </rPr>
          <t xml:space="preserve">The FIT contract length is the number of years for which the rate specified by this model is available. This term is established by policymakers and must be less than or equal to the project's useful life.  
The contract duration is also different than the debt tenor (if applicable), which is specified in the Permanent Financing section below.
</t>
        </r>
      </text>
    </comment>
    <comment ref="I353" authorId="1" shapeId="0" xr:uid="{6BD165EE-5F0B-47BD-A0BB-613F63EFA3AD}">
      <text>
        <r>
          <rPr>
            <b/>
            <sz val="14"/>
            <color indexed="81"/>
            <rFont val="Tahoma"/>
            <family val="2"/>
          </rPr>
          <t>Note:</t>
        </r>
        <r>
          <rPr>
            <sz val="14"/>
            <color indexed="81"/>
            <rFont val="Tahoma"/>
            <family val="2"/>
          </rPr>
          <t xml:space="preserve">
Capacity Factor is the % representation of the actual production vs. the theoretical maximum annual production of an energy project. This model requires the input of a </t>
        </r>
        <r>
          <rPr>
            <b/>
            <sz val="14"/>
            <color indexed="81"/>
            <rFont val="Tahoma"/>
            <family val="2"/>
          </rPr>
          <t>Net Capacity Factor</t>
        </r>
        <r>
          <rPr>
            <sz val="14"/>
            <color indexed="81"/>
            <rFont val="Tahoma"/>
            <family val="2"/>
          </rPr>
          <t xml:space="preserve">, meaning that the estimate of actual energy production should take into account all electricity losses (including those incurred between the generating facility and the contract delivery point), scheduled and unscheduled maintenance, forced outages, wake effects, icing, and any other factors that could reduce production.
Wind projects typically have a capacity factor between 25% and 40% depending on region and site-specific topography. 
Input must be between 0% and 100%.
</t>
        </r>
      </text>
    </comment>
    <comment ref="S353" authorId="1" shapeId="0" xr:uid="{8FA0E698-96CA-4671-B198-F855818D95E7}">
      <text>
        <r>
          <rPr>
            <b/>
            <sz val="14"/>
            <color indexed="81"/>
            <rFont val="Tahoma"/>
            <family val="2"/>
          </rPr>
          <t xml:space="preserve">Note:
</t>
        </r>
        <r>
          <rPr>
            <sz val="14"/>
            <color indexed="81"/>
            <rFont val="Tahoma"/>
            <family val="2"/>
          </rPr>
          <t xml:space="preserve">This is the portion (%) of the tariff which is subject to annual escalation.  
Program administrators may determine that some or all of the tariff rate should be escalated to reflect the uncertainty associated with the future cost of owning and operating an electricity generating facility. This input is separate from the inflation assumed to apply to certain O&amp;M expenses, which is provided as an input in the O&amp;M section below.
Input must be between 0% and 100%.
</t>
        </r>
      </text>
    </comment>
    <comment ref="I354" authorId="1" shapeId="0" xr:uid="{D6E864D0-040F-48D4-810D-415EED67754E}">
      <text>
        <r>
          <rPr>
            <b/>
            <sz val="14"/>
            <color indexed="81"/>
            <rFont val="Tahoma"/>
            <family val="2"/>
          </rPr>
          <t>Note:</t>
        </r>
        <r>
          <rPr>
            <sz val="14"/>
            <color indexed="81"/>
            <rFont val="Tahoma"/>
            <family val="2"/>
          </rPr>
          <t xml:space="preserve">
This is a calculation, based on the system size and capacity factor provided above. 
</t>
        </r>
      </text>
    </comment>
    <comment ref="S354" authorId="1" shapeId="0" xr:uid="{F9819AF9-F9FA-45E3-885B-E46660D44FF0}">
      <text>
        <r>
          <rPr>
            <b/>
            <sz val="14"/>
            <color indexed="81"/>
            <rFont val="Tahoma"/>
            <family val="2"/>
          </rPr>
          <t xml:space="preserve">Note:
</t>
        </r>
        <r>
          <rPr>
            <sz val="14"/>
            <color indexed="81"/>
            <rFont val="Tahoma"/>
            <family val="2"/>
          </rPr>
          <t xml:space="preserve">To calculate a </t>
        </r>
        <r>
          <rPr>
            <b/>
            <sz val="14"/>
            <color indexed="81"/>
            <rFont val="Tahoma"/>
            <family val="2"/>
          </rPr>
          <t>nominal levelized tariff rate</t>
        </r>
        <r>
          <rPr>
            <sz val="14"/>
            <color indexed="81"/>
            <rFont val="Tahoma"/>
            <family val="2"/>
          </rPr>
          <t xml:space="preserve">, the "feed-in tariff escalation rate" field should be </t>
        </r>
        <r>
          <rPr>
            <b/>
            <sz val="14"/>
            <color indexed="81"/>
            <rFont val="Tahoma"/>
            <family val="2"/>
          </rPr>
          <t>set to zero</t>
        </r>
        <r>
          <rPr>
            <sz val="14"/>
            <color indexed="81"/>
            <rFont val="Tahoma"/>
            <family val="2"/>
          </rPr>
          <t>.</t>
        </r>
        <r>
          <rPr>
            <b/>
            <sz val="14"/>
            <color indexed="81"/>
            <rFont val="Tahoma"/>
            <family val="2"/>
          </rPr>
          <t xml:space="preserve">
</t>
        </r>
        <r>
          <rPr>
            <sz val="14"/>
            <color indexed="81"/>
            <rFont val="Tahoma"/>
            <family val="2"/>
          </rPr>
          <t xml:space="preserve">Where applied, tariff rate escalation is intended to serve as a risk mitigating tool, at least partially protecting the project investor from the uncertainty associated with the future cost of owning and operating the renewable energy facility. The escalation rate can be used to assume a year over year increase in all, or a portion, of the per unit payment provided to eligible generators. This concept is separate from inflationary adjustments to future operating cost assumptions -- which are input below.
This rate is applied annually.  Note that in this model, calendar years and tariff years are aligned.
</t>
        </r>
        <r>
          <rPr>
            <b/>
            <sz val="14"/>
            <color indexed="81"/>
            <rFont val="Tahoma"/>
            <family val="2"/>
          </rPr>
          <t>Caution:</t>
        </r>
        <r>
          <rPr>
            <sz val="14"/>
            <color indexed="81"/>
            <rFont val="Tahoma"/>
            <family val="2"/>
          </rPr>
          <t xml:space="preserve"> A value must be entered into this cell in order for the model to function properly. The input can be positive or negative (if the FIT value decreases over time), and a typical value may fall between 0% and 5%.  
</t>
        </r>
      </text>
    </comment>
    <comment ref="I355" authorId="1" shapeId="0" xr:uid="{DBD80DF3-2F11-4A86-8DCB-AAB6A858C785}">
      <text>
        <r>
          <rPr>
            <b/>
            <sz val="14"/>
            <color indexed="81"/>
            <rFont val="Tahoma"/>
            <family val="2"/>
          </rPr>
          <t>Note:</t>
        </r>
        <r>
          <rPr>
            <sz val="14"/>
            <color indexed="81"/>
            <rFont val="Tahoma"/>
            <family val="2"/>
          </rPr>
          <t xml:space="preserve">
The natural aging of the mechanical components of a wind turbine generator may lead to a drop in turbine availability (or efficiency), and therefore production, over time.  
This input allows the user to model the potential for such degradation, which may be between 0% and 2% per year.
</t>
        </r>
        <r>
          <rPr>
            <b/>
            <sz val="14"/>
            <color indexed="81"/>
            <rFont val="Tahoma"/>
            <family val="2"/>
          </rPr>
          <t>If the modeled "Net Capacity Factor" is intented to take long-term average availability into account, then the user may wish to enter 0% in the Annual Production Degradation field.</t>
        </r>
        <r>
          <rPr>
            <sz val="14"/>
            <color indexed="81"/>
            <rFont val="Tahoma"/>
            <family val="2"/>
          </rPr>
          <t xml:space="preserve">
Input must be =&gt; 0%.
</t>
        </r>
      </text>
    </comment>
    <comment ref="I356" authorId="1" shapeId="0" xr:uid="{E061F2A1-D315-4C96-8E3A-D318774003FF}">
      <text>
        <r>
          <rPr>
            <b/>
            <sz val="14"/>
            <color indexed="81"/>
            <rFont val="Tahoma"/>
            <family val="2"/>
          </rPr>
          <t xml:space="preserve">Note:
</t>
        </r>
        <r>
          <rPr>
            <sz val="14"/>
            <color indexed="81"/>
            <rFont val="Tahoma"/>
            <family val="2"/>
          </rPr>
          <t xml:space="preserve">The Project Useful Life is the number of years that the project is expected to be fully operational, reliably delivering electricity to the grid, and generating revenue. This concept is different from the FIT Contract Length, which is administratively determined by policymakers. These two values may be the same if a FIT contract is offered for the project's entire expected useful life. This approach is likely to generate the lowest tariff rate, while successfully attracting investors to renewable energy projects.  
The CREST model is built for a maximum Project Useful Life of 30 years.
Input must be greater than 0 and less than or equal to 30.
</t>
        </r>
      </text>
    </comment>
    <comment ref="S356" authorId="1" shapeId="0" xr:uid="{A3052150-0841-42F4-9D73-78A8BB97AA03}">
      <text>
        <r>
          <rPr>
            <b/>
            <sz val="14"/>
            <color indexed="81"/>
            <rFont val="Tahoma"/>
            <family val="2"/>
          </rPr>
          <t xml:space="preserve">Note:
</t>
        </r>
        <r>
          <rPr>
            <sz val="14"/>
            <color indexed="81"/>
            <rFont val="Tahoma"/>
            <family val="2"/>
          </rPr>
          <t>If the designated "FIT Contract Length" is less than the defined "Project Useful Life", then this grouping of inputs is used to calculate the project's market-based revenue during the period from FIT contract expiration to the end of the project's life.</t>
        </r>
        <r>
          <rPr>
            <b/>
            <sz val="14"/>
            <color indexed="81"/>
            <rFont val="Tahoma"/>
            <family val="2"/>
          </rPr>
          <t xml:space="preserve">
</t>
        </r>
        <r>
          <rPr>
            <sz val="14"/>
            <color indexed="81"/>
            <rFont val="Tahoma"/>
            <family val="2"/>
          </rPr>
          <t xml:space="preserve">
</t>
        </r>
      </text>
    </comment>
    <comment ref="S357" authorId="1" shapeId="0" xr:uid="{2F0B9282-6252-476F-B1D8-9DFBDD033635}">
      <text>
        <r>
          <rPr>
            <b/>
            <sz val="14"/>
            <color indexed="81"/>
            <rFont val="Tahoma"/>
            <family val="2"/>
          </rPr>
          <t xml:space="preserve">Note:
</t>
        </r>
        <r>
          <rPr>
            <sz val="14"/>
            <color indexed="81"/>
            <rFont val="Tahoma"/>
            <family val="2"/>
          </rPr>
          <t>Selecting "Year One" forecasts the total market value of production based on an estimate of that value in the project's first year of commercial operation and a user-defined escalation rate.  
Selecting "Year-by-Year" enables the user to enter unique annual values for the period after the FIT expires and before the end of the project's useful life.</t>
        </r>
        <r>
          <rPr>
            <b/>
            <sz val="14"/>
            <color indexed="81"/>
            <rFont val="Tahoma"/>
            <family val="2"/>
          </rPr>
          <t xml:space="preserve">
</t>
        </r>
        <r>
          <rPr>
            <sz val="14"/>
            <color indexed="81"/>
            <rFont val="Tahoma"/>
            <family val="2"/>
          </rPr>
          <t xml:space="preserve">
</t>
        </r>
      </text>
    </comment>
    <comment ref="F358" authorId="0" shapeId="0" xr:uid="{510CB0AD-F6B3-4856-84B4-EFAAF9E64D0A}">
      <text>
        <r>
          <rPr>
            <b/>
            <sz val="8"/>
            <color indexed="81"/>
            <rFont val="Tahoma"/>
            <family val="2"/>
          </rPr>
          <t>See "unit" definitions at the bottom of this worksheet.</t>
        </r>
        <r>
          <rPr>
            <sz val="8"/>
            <color indexed="81"/>
            <rFont val="Tahoma"/>
            <family val="2"/>
          </rPr>
          <t xml:space="preserve">
</t>
        </r>
      </text>
    </comment>
    <comment ref="S358" authorId="1" shapeId="0" xr:uid="{C1875FE0-CD4F-4C1C-A68D-4E3A938B5F06}">
      <text>
        <r>
          <rPr>
            <b/>
            <sz val="14"/>
            <color indexed="81"/>
            <rFont val="Tahoma"/>
            <family val="2"/>
          </rPr>
          <t xml:space="preserve">Note:
</t>
        </r>
        <r>
          <rPr>
            <sz val="14"/>
            <color indexed="81"/>
            <rFont val="Tahoma"/>
            <family val="2"/>
          </rPr>
          <t xml:space="preserve">This is the </t>
        </r>
        <r>
          <rPr>
            <b/>
            <sz val="14"/>
            <color indexed="81"/>
            <rFont val="Tahoma"/>
            <family val="2"/>
          </rPr>
          <t>combined</t>
        </r>
        <r>
          <rPr>
            <sz val="14"/>
            <color indexed="81"/>
            <rFont val="Tahoma"/>
            <family val="2"/>
          </rPr>
          <t xml:space="preserve"> (or "bundled") market value of energy + capacity + Renewable Energy Credtis (RECs) in the same year in which the project's first enters commercial operation.
This input must be greater than zero.
</t>
        </r>
      </text>
    </comment>
    <comment ref="I359" authorId="1" shapeId="0" xr:uid="{DCBC094A-555A-4D50-A327-CA4AA6FD75CC}">
      <text>
        <r>
          <rPr>
            <b/>
            <sz val="14"/>
            <color indexed="81"/>
            <rFont val="Tahoma"/>
            <family val="2"/>
          </rPr>
          <t>Note:</t>
        </r>
        <r>
          <rPr>
            <sz val="14"/>
            <color indexed="81"/>
            <rFont val="Tahoma"/>
            <family val="2"/>
          </rPr>
          <t xml:space="preserve">
This model alllows the user to input system cost at 1 of 3 levels of detail: "simple", "intermediate" or "complex." Simple offers a single input in $/kW, Intermediate offers five cost subcategories in total dollars, and Complex offers line-by-line project costing with user-defined categories and costs per line-item.  
Select your preferred method and use the cells below to enter your cost information. If you choose the "Complex" option, you will need to follow the link below to the "Complex Capital Costs" tab.</t>
        </r>
      </text>
    </comment>
    <comment ref="S359" authorId="1" shapeId="0" xr:uid="{0D758502-E26F-483B-8515-541303CEA51D}">
      <text>
        <r>
          <rPr>
            <b/>
            <sz val="14"/>
            <color indexed="81"/>
            <rFont val="Tahoma"/>
            <family val="2"/>
          </rPr>
          <t xml:space="preserve">Note:
</t>
        </r>
        <r>
          <rPr>
            <sz val="14"/>
            <color indexed="81"/>
            <rFont val="Tahoma"/>
            <family val="2"/>
          </rPr>
          <t xml:space="preserve">When the "Year One" forecast methodology is selected, this is the user-defined escalation rate at which the market value of production is expected to change.
Input must be greater than zero.
</t>
        </r>
      </text>
    </comment>
    <comment ref="I360" authorId="1" shapeId="0" xr:uid="{C8350244-763E-4E1D-B53A-45AED52F3151}">
      <text>
        <r>
          <rPr>
            <b/>
            <sz val="14"/>
            <color indexed="81"/>
            <rFont val="Tahoma"/>
            <family val="2"/>
          </rPr>
          <t>Note:</t>
        </r>
        <r>
          <rPr>
            <sz val="14"/>
            <color indexed="81"/>
            <rFont val="Tahoma"/>
            <family val="2"/>
          </rPr>
          <t xml:space="preserve">
When "Simple" is selected in the Cost Level of Detail cell, this "Total Installed Cost" row represents the total expected all-in project cost, which should include all hardware, balance of plant, interconnection, design, construction, permitting, development (including developer fee), interest during construction and financing costs. This figure should not account for any tax incentives, grants, or other cash incentives, each of which will be addressed elsewhere in the model. This figure should, however, reflect any applicable sales tax or exemptions thereof.
Input must be greater than zero.
</t>
        </r>
      </text>
    </comment>
    <comment ref="S360" authorId="1" shapeId="0" xr:uid="{3EB5573A-ED51-4A19-9A8F-5EFC723B797C}">
      <text>
        <r>
          <rPr>
            <b/>
            <sz val="14"/>
            <color indexed="81"/>
            <rFont val="Tahoma"/>
            <family val="2"/>
          </rPr>
          <t xml:space="preserve">Note:
</t>
        </r>
        <r>
          <rPr>
            <sz val="14"/>
            <color indexed="81"/>
            <rFont val="Tahoma"/>
            <family val="2"/>
          </rPr>
          <t xml:space="preserve">When "Year-by-Year" market value of production forecast is selected, this link brings the user to another worksheet on which unique annual values may be entered.
</t>
        </r>
      </text>
    </comment>
    <comment ref="I361" authorId="1" shapeId="0" xr:uid="{C20001A2-3D1F-41EE-9125-06B5ED1EB1CB}">
      <text>
        <r>
          <rPr>
            <b/>
            <sz val="14"/>
            <color indexed="81"/>
            <rFont val="Tahoma"/>
            <family val="2"/>
          </rPr>
          <t>Note:</t>
        </r>
        <r>
          <rPr>
            <sz val="14"/>
            <color indexed="81"/>
            <rFont val="Tahoma"/>
            <family val="2"/>
          </rPr>
          <t xml:space="preserve">
"Generation Equipment" should include hardware such as the generator, blades and tower.  
Caution: the model assumes that if "Intermediate" is selected as the level of detail section, the "Generation Equipment" row must have a value greater than zero. 
</t>
        </r>
      </text>
    </comment>
    <comment ref="I362" authorId="1" shapeId="0" xr:uid="{8C118503-1D23-4152-BF0E-D1868F1E62F1}">
      <text>
        <r>
          <rPr>
            <b/>
            <sz val="14"/>
            <color indexed="81"/>
            <rFont val="Tahoma"/>
            <family val="2"/>
          </rPr>
          <t>Note:</t>
        </r>
        <r>
          <rPr>
            <sz val="14"/>
            <color indexed="81"/>
            <rFont val="Tahoma"/>
            <family val="2"/>
          </rPr>
          <t xml:space="preserve">
Balance of Plant (also known as Balance of System) represents all infrastructure, site prep and labor supporting the installation of the generation equipment. BOP costs include foundations, mounting devices, other hardware, and labor not already accounted for in the "Generation Equipment" row.
Input cannot be less than zero.
</t>
        </r>
      </text>
    </comment>
    <comment ref="P362" authorId="0" shapeId="0" xr:uid="{95200BDE-21D9-4BE3-A9B9-2859D8580F3A}">
      <text>
        <r>
          <rPr>
            <b/>
            <sz val="8"/>
            <color indexed="81"/>
            <rFont val="Tahoma"/>
            <family val="2"/>
          </rPr>
          <t>See "unit" definitions at the bottom of this worksheet.</t>
        </r>
        <r>
          <rPr>
            <sz val="8"/>
            <color indexed="81"/>
            <rFont val="Tahoma"/>
            <family val="2"/>
          </rPr>
          <t xml:space="preserve">
</t>
        </r>
      </text>
    </comment>
    <comment ref="I363" authorId="1" shapeId="0" xr:uid="{9605E8B0-E5D5-40BD-ADAA-B41BF87184B2}">
      <text>
        <r>
          <rPr>
            <b/>
            <sz val="14"/>
            <color indexed="81"/>
            <rFont val="Tahoma"/>
            <family val="2"/>
          </rPr>
          <t>Note:</t>
        </r>
        <r>
          <rPr>
            <sz val="14"/>
            <color indexed="81"/>
            <rFont val="Tahoma"/>
            <family val="2"/>
          </rPr>
          <t xml:space="preserve">
The "Interconnection" row should account for all project costs relating to connecting to the grid, such as the construction of transmission lines, permitting costs with the utility, and start-up costs. This category will also include the cost of a new substation, if necessary.
Regulators wishing to explore the potential that interconnection costs may be recovered from ratepayers separately can elect to enter zeros in this cost category whenever "Intermediate" or "Complex" is selected.
Input cannot be less than zero.
</t>
        </r>
      </text>
    </comment>
    <comment ref="S363" authorId="0" shapeId="0" xr:uid="{46A98475-8BFC-477D-B7E9-2540A162558F}">
      <text>
        <r>
          <rPr>
            <b/>
            <sz val="14"/>
            <color indexed="81"/>
            <rFont val="Tahoma"/>
            <family val="2"/>
          </rPr>
          <t xml:space="preserve">Note:
</t>
        </r>
        <r>
          <rPr>
            <sz val="14"/>
            <color indexed="81"/>
            <rFont val="Tahoma"/>
            <family val="2"/>
          </rPr>
          <t>This drop-down input cell allows the user to specify whether federal incentives are cost-based (e.g. an investment tax credit) or performance-based (e.g. a PTC). The magnitude and terms of these incentives are set in the cells below.
For more information, a useful resource for researching federal and state incentives online is:  
http://dsireusa.org/
*See bottom of introduction page for a list of links</t>
        </r>
      </text>
    </comment>
    <comment ref="E364" authorId="0" shapeId="0" xr:uid="{90391C14-8BC8-461B-BB4D-80495ACF0D39}">
      <text>
        <r>
          <rPr>
            <b/>
            <sz val="14"/>
            <color indexed="81"/>
            <rFont val="Tahoma"/>
            <family val="2"/>
          </rPr>
          <t>Jason Gifford:</t>
        </r>
        <r>
          <rPr>
            <sz val="14"/>
            <color indexed="81"/>
            <rFont val="Tahoma"/>
            <family val="2"/>
          </rPr>
          <t xml:space="preserve">
Converted to "admin cost" for community remote DG</t>
        </r>
      </text>
    </comment>
    <comment ref="I364" authorId="1" shapeId="0" xr:uid="{9BB0FF06-F03E-46E9-8810-5D67CDE25055}">
      <text>
        <r>
          <rPr>
            <b/>
            <sz val="14"/>
            <color indexed="81"/>
            <rFont val="Tahoma"/>
            <family val="2"/>
          </rPr>
          <t>Note:</t>
        </r>
        <r>
          <rPr>
            <sz val="8"/>
            <color indexed="81"/>
            <rFont val="Tahoma"/>
            <family val="2"/>
          </rPr>
          <t xml:space="preserve">
</t>
        </r>
        <r>
          <rPr>
            <sz val="14"/>
            <color indexed="81"/>
            <rFont val="Tahoma"/>
            <family val="2"/>
          </rPr>
          <t xml:space="preserve">The "Development Costs" row should include all costs relating to project management, studies, engineering, permitting, contingencies, success fees, and other soft costs not accounted for elsewhere in the "Intermediate" cost breakdown. 
Input cannot be less than zero.
</t>
        </r>
      </text>
    </comment>
    <comment ref="S364" authorId="1" shapeId="0" xr:uid="{2C1171B5-906A-4F2D-9E8E-3F4D4B81A715}">
      <text>
        <r>
          <rPr>
            <b/>
            <sz val="14"/>
            <color indexed="81"/>
            <rFont val="Tahoma"/>
            <family val="2"/>
          </rPr>
          <t xml:space="preserve">Note:
</t>
        </r>
        <r>
          <rPr>
            <sz val="14"/>
            <color indexed="81"/>
            <rFont val="Tahoma"/>
            <family val="2"/>
          </rPr>
          <t>Some renewable energy projects may be eligible to take advantagee of Federal incentives such as the Investment Tax Credit or a Treasury Grant. Information on eligibility for funding opportunities such as these is available online at:
http://dsireusa.org/incentives/incentive.cfm?Incentive_Code=US02F&amp;re=1&amp;ee=1
*See bottom of introduction page for a list of links</t>
        </r>
        <r>
          <rPr>
            <b/>
            <sz val="14"/>
            <color indexed="81"/>
            <rFont val="Tahoma"/>
            <family val="2"/>
          </rPr>
          <t xml:space="preserve">
</t>
        </r>
        <r>
          <rPr>
            <sz val="14"/>
            <color indexed="81"/>
            <rFont val="Tahoma"/>
            <family val="2"/>
          </rPr>
          <t xml:space="preserve">
</t>
        </r>
      </text>
    </comment>
    <comment ref="I365" authorId="1" shapeId="0" xr:uid="{86E419F8-4401-4D96-A646-2457A0F557D0}">
      <text>
        <r>
          <rPr>
            <b/>
            <sz val="14"/>
            <color indexed="81"/>
            <rFont val="Tahoma"/>
            <family val="2"/>
          </rPr>
          <t>Note:</t>
        </r>
        <r>
          <rPr>
            <sz val="14"/>
            <color indexed="81"/>
            <rFont val="Tahoma"/>
            <family val="2"/>
          </rPr>
          <t xml:space="preserve">
The "Reserves &amp; Financing Costs" row accounts for all costs relating to financing, such as lender fees, closing costs, legal fees, interest during construction, due diligence costs, and any other relevant, financing relating costs. The model calculates this field by aggregating G22 through G25, G51, G54, G63, G66, Q57 and Q60.
</t>
        </r>
      </text>
    </comment>
    <comment ref="S365" authorId="0" shapeId="0" xr:uid="{0C061A8B-201A-4D5B-B1E1-E0B6D9137EA3}">
      <text>
        <r>
          <rPr>
            <b/>
            <sz val="14"/>
            <color indexed="81"/>
            <rFont val="Tahoma"/>
            <family val="2"/>
          </rPr>
          <t xml:space="preserve">NOTE:
</t>
        </r>
        <r>
          <rPr>
            <sz val="14"/>
            <color indexed="81"/>
            <rFont val="Tahoma"/>
            <family val="2"/>
          </rPr>
          <t xml:space="preserve">The maximum potential Investment Tax Credit (ITC) benefit is assumed to be 30% of those project costs which are depreciable on the 5-year MACRS schedule.  This 'eligible costs' assumption is purposefully simplified for this analysis.  Project costs depreciated on other bases may also be eligible for the ITC.  Developers should consult with tax counsel for project-specific depreciation and ITC treatment of each project cost.
</t>
        </r>
        <r>
          <rPr>
            <sz val="8"/>
            <color indexed="81"/>
            <rFont val="Tahoma"/>
            <family val="2"/>
          </rPr>
          <t xml:space="preserve">
</t>
        </r>
      </text>
    </comment>
    <comment ref="I366" authorId="1" shapeId="0" xr:uid="{9D37AEFB-1579-4A07-94DC-9B7A0F19C8A9}">
      <text>
        <r>
          <rPr>
            <b/>
            <sz val="14"/>
            <color indexed="81"/>
            <rFont val="Tahoma"/>
            <family val="2"/>
          </rPr>
          <t>Note:</t>
        </r>
        <r>
          <rPr>
            <sz val="14"/>
            <color indexed="81"/>
            <rFont val="Tahoma"/>
            <family val="2"/>
          </rPr>
          <t xml:space="preserve">
If you wish to enter your project costs under the "Complex" format, select Complex from the drop-down menu and use the link to the left to access additional worksheets which provide the opportunitiy to add significant, additional detail on project costs. Once complete, the model will roll up the detailed costs and populate this row with the resultant final project cost. </t>
        </r>
      </text>
    </comment>
    <comment ref="S366" authorId="0" shapeId="0" xr:uid="{3B5031D0-26B4-49DE-8302-0362DD5C7FE4}">
      <text>
        <r>
          <rPr>
            <b/>
            <sz val="14"/>
            <color indexed="81"/>
            <rFont val="Tahoma"/>
            <family val="2"/>
          </rPr>
          <t xml:space="preserve">NOTE:
</t>
        </r>
        <r>
          <rPr>
            <sz val="14"/>
            <color indexed="81"/>
            <rFont val="Tahoma"/>
            <family val="2"/>
          </rPr>
          <t xml:space="preserve">As a tax </t>
        </r>
        <r>
          <rPr>
            <u/>
            <sz val="14"/>
            <color indexed="81"/>
            <rFont val="Tahoma"/>
            <family val="2"/>
          </rPr>
          <t>credit</t>
        </r>
        <r>
          <rPr>
            <sz val="14"/>
            <color indexed="81"/>
            <rFont val="Tahoma"/>
            <family val="2"/>
          </rPr>
          <t>, the ITC is only usable by project owners with positive federal income tax liability.  
In cases where the owner's tax liability in the calendar year of the project's first commercial operation exceeds the ITC amount, the user may enter 100% in this field and assume full utilization of the ITC.
If the owner's tax liability is less than the available ITC, the user may either enter a % value less than 100% or select the "carried forward" method in the "Tax Benefits used as generated or carried forward?" cell.  
Input must be between 0% and 100%.</t>
        </r>
        <r>
          <rPr>
            <sz val="8"/>
            <color indexed="81"/>
            <rFont val="Tahoma"/>
            <family val="2"/>
          </rPr>
          <t xml:space="preserve">
</t>
        </r>
      </text>
    </comment>
    <comment ref="I367" authorId="1" shapeId="0" xr:uid="{0206D038-3F3D-4344-ACE6-94521838EF84}">
      <text>
        <r>
          <rPr>
            <b/>
            <sz val="14"/>
            <color indexed="81"/>
            <rFont val="Tahoma"/>
            <family val="2"/>
          </rPr>
          <t>Note:</t>
        </r>
        <r>
          <rPr>
            <sz val="14"/>
            <color indexed="81"/>
            <rFont val="Tahoma"/>
            <family val="2"/>
          </rPr>
          <t xml:space="preserve">
The total system cost is a calculation, based on the level of detail selected and the assocated inputs.
</t>
        </r>
      </text>
    </comment>
    <comment ref="S367" authorId="0" shapeId="0" xr:uid="{381FDFAC-2165-44FC-8C07-E6267E803326}">
      <text>
        <r>
          <rPr>
            <b/>
            <sz val="14"/>
            <color indexed="81"/>
            <rFont val="Tahoma"/>
            <family val="2"/>
          </rPr>
          <t xml:space="preserve">Note:
</t>
        </r>
        <r>
          <rPr>
            <sz val="14"/>
            <color indexed="81"/>
            <rFont val="Tahoma"/>
            <family val="2"/>
          </rPr>
          <t xml:space="preserve">Calculates the dollar value of the Investment Tax Credit or Cash Grant, if applicable.
</t>
        </r>
      </text>
    </comment>
    <comment ref="I368" authorId="1" shapeId="0" xr:uid="{F9E2E8F0-4EA1-4536-B958-AC47A5842200}">
      <text>
        <r>
          <rPr>
            <b/>
            <sz val="14"/>
            <color indexed="81"/>
            <rFont val="Tahoma"/>
            <family val="2"/>
          </rPr>
          <t>Note:</t>
        </r>
        <r>
          <rPr>
            <sz val="14"/>
            <color indexed="81"/>
            <rFont val="Tahoma"/>
            <family val="2"/>
          </rPr>
          <t xml:space="preserve">
Calculation based on the total system cost in the cell above and the system size reported. Typical costs (as of 2010) fall between $2,000/kW and $3,000/kW.</t>
        </r>
        <r>
          <rPr>
            <sz val="8"/>
            <color indexed="81"/>
            <rFont val="Tahoma"/>
            <family val="2"/>
          </rPr>
          <t xml:space="preserve">
</t>
        </r>
      </text>
    </comment>
    <comment ref="S368" authorId="0" shapeId="0" xr:uid="{0DD85ABF-4B90-450A-ABE7-B4A3B10B42B6}">
      <text>
        <r>
          <rPr>
            <b/>
            <sz val="14"/>
            <color indexed="81"/>
            <rFont val="Tahoma"/>
            <family val="2"/>
          </rPr>
          <t xml:space="preserve">Note: </t>
        </r>
        <r>
          <rPr>
            <sz val="14"/>
            <color indexed="81"/>
            <rFont val="Tahoma"/>
            <family val="2"/>
          </rPr>
          <t xml:space="preserve">
This input cell, the "Performance Based Incentive" or "PBI" is another potential incentive available to some specific projects. The PBI would be separate from a feed-in-tariff, but acts similarly in that it is per unit of production (typically kWh) income to a project.
Some examples of PBIs include the Federal Production Tax Credit (applicable to private projects with tax appetites) and the Federal Renewable Energy Production Incentive (REPI), historically available to some public projects.
</t>
        </r>
      </text>
    </comment>
    <comment ref="I369" authorId="1" shapeId="0" xr:uid="{6EFCB78B-1664-433F-B096-26C782FA688F}">
      <text>
        <r>
          <rPr>
            <b/>
            <sz val="14"/>
            <color indexed="81"/>
            <rFont val="Tahoma"/>
            <family val="2"/>
          </rPr>
          <t xml:space="preserve">Note:
</t>
        </r>
        <r>
          <rPr>
            <sz val="14"/>
            <color indexed="81"/>
            <rFont val="Tahoma"/>
            <family val="2"/>
          </rPr>
          <t xml:space="preserve">This cell calculates the total of all applicable grants, excluding the payment in lieu of the Federal ITC (also known as the ITC Cash Grant, or Cash Grant), if applicable.  The ITC Cash Grant is considered separately because unlike grants issued upfront and used to offset capital costs, the ITC Cash Grant is disbursed approxiamtely 60 days after the start of commercial operations and therefore becomes an integral part of the project's financing.
Where grants are treated as taxable income, this cell calculates the after-tax impact on the total cost of the project.
  </t>
        </r>
        <r>
          <rPr>
            <sz val="8"/>
            <color indexed="81"/>
            <rFont val="Tahoma"/>
            <family val="2"/>
          </rPr>
          <t xml:space="preserve">
</t>
        </r>
      </text>
    </comment>
    <comment ref="S369" authorId="0" shapeId="0" xr:uid="{2BC82AAD-8526-4670-82EB-FA7AF23AE1E5}">
      <text>
        <r>
          <rPr>
            <b/>
            <sz val="14"/>
            <color indexed="81"/>
            <rFont val="Tahoma"/>
            <family val="2"/>
          </rPr>
          <t xml:space="preserve">Note: </t>
        </r>
        <r>
          <rPr>
            <sz val="14"/>
            <color indexed="81"/>
            <rFont val="Tahoma"/>
            <family val="2"/>
          </rPr>
          <t xml:space="preserve">
This cell denotes the value of the Performance Based Incentive applicable to the project's first year of commercial operation. In some cases, this value will need to be calculated external to the model if such PBI is derived from a "base year" and specified inflation index. The following cells can be used to account for inflation and the maximum term of eligibility.
Input cannot be less than zero.
</t>
        </r>
      </text>
    </comment>
    <comment ref="I370" authorId="1" shapeId="0" xr:uid="{0147E450-E5A4-43B9-81A6-DFCF56C34DDB}">
      <text>
        <r>
          <rPr>
            <b/>
            <sz val="14"/>
            <color indexed="81"/>
            <rFont val="Tahoma"/>
            <family val="2"/>
          </rPr>
          <t>Note:</t>
        </r>
        <r>
          <rPr>
            <sz val="14"/>
            <color indexed="81"/>
            <rFont val="Tahoma"/>
            <family val="2"/>
          </rPr>
          <t xml:space="preserve">
Calculation of total project cost net applicable grants. 
</t>
        </r>
      </text>
    </comment>
    <comment ref="S370" authorId="0" shapeId="0" xr:uid="{83DF11F9-626D-428E-B012-3B0F8D2DDBA1}">
      <text>
        <r>
          <rPr>
            <b/>
            <sz val="14"/>
            <color indexed="81"/>
            <rFont val="Tahoma"/>
            <family val="2"/>
          </rPr>
          <t>Note:</t>
        </r>
        <r>
          <rPr>
            <sz val="14"/>
            <color indexed="81"/>
            <rFont val="Tahoma"/>
            <family val="2"/>
          </rPr>
          <t xml:space="preserve">
This is the length of time that a project would be eligible for any Performance Based Incentives outlined in the cell immediately above. For example, the Federal Renewable Energy Production Incentive and Production Tax Credit incentives are available for the first 10 years of project operation.
Input cannot be less than zero.
</t>
        </r>
      </text>
    </comment>
    <comment ref="I371" authorId="1" shapeId="0" xr:uid="{C6B061D0-33CE-4D90-B779-3C8F0571279F}">
      <text>
        <r>
          <rPr>
            <b/>
            <sz val="14"/>
            <color indexed="81"/>
            <rFont val="Tahoma"/>
            <family val="2"/>
          </rPr>
          <t xml:space="preserve">Note:
</t>
        </r>
        <r>
          <rPr>
            <sz val="14"/>
            <color indexed="81"/>
            <rFont val="Tahoma"/>
            <family val="2"/>
          </rPr>
          <t xml:space="preserve">Calculation, based on net project cost and total installed capacity. 
</t>
        </r>
      </text>
    </comment>
    <comment ref="S371" authorId="0" shapeId="0" xr:uid="{750015B9-5E20-496E-998D-3E06F24FBAD2}">
      <text>
        <r>
          <rPr>
            <b/>
            <sz val="14"/>
            <color indexed="81"/>
            <rFont val="Tahoma"/>
            <family val="2"/>
          </rPr>
          <t xml:space="preserve">Note:
</t>
        </r>
        <r>
          <rPr>
            <sz val="14"/>
            <color indexed="81"/>
            <rFont val="Tahoma"/>
            <family val="2"/>
          </rPr>
          <t xml:space="preserve">Performance Based Incentives are often adjusted to account for inflation. For example, the Federal Production Tax Credit (PTC) is adjusted each year to account for changes in the GDP IPD index. This cell can be used as a proxy for the inflation that would apply to any PBI incentive entered above.
This input cannot be left blank.
</t>
        </r>
        <r>
          <rPr>
            <sz val="8"/>
            <color indexed="81"/>
            <rFont val="Tahoma"/>
            <family val="2"/>
          </rPr>
          <t xml:space="preserve">
</t>
        </r>
      </text>
    </comment>
    <comment ref="S372" authorId="0" shapeId="0" xr:uid="{CE6999A0-26F5-4595-865A-2599D9C5E7E2}">
      <text>
        <r>
          <rPr>
            <b/>
            <sz val="14"/>
            <color indexed="81"/>
            <rFont val="Tahoma"/>
            <family val="2"/>
          </rPr>
          <t xml:space="preserve">Note:
</t>
        </r>
        <r>
          <rPr>
            <sz val="14"/>
            <color indexed="81"/>
            <rFont val="Tahoma"/>
            <family val="2"/>
          </rPr>
          <t>In some cases, due to the nature of the requirements of some Performance Based Incentive programs, project owners are unable to maximize the full revenue stream of the incentive. For example, in the case of the Federal Production Tax Credit (PTC), the project owner may not have sufficienct tax appetite to fully utilize the tax credits. 
This input cell would allow the modeler to account for the owner's inability to fully utilize the PTC and/or the reduction of the PTC (a "haircut") due to the presence of subsidized (below market interest rate) financing.
Incentive "availability" will likely be a factor if this cell is being used to model the cash-based Renewable Energy Production Incentive (REPI).  The REPI program has historically been underfunded; available monies are allocated pro rata among eligible projects.  In this case, the value entered in this cell should reflect the user's expectation of the fraction of the face value REPI payment that will be available over the applicable incentive term.
Input must be between 0% to 100%.</t>
        </r>
      </text>
    </comment>
    <comment ref="F373" authorId="0" shapeId="0" xr:uid="{EF28E228-6BDA-4738-9825-4B1F4AC2EEE9}">
      <text>
        <r>
          <rPr>
            <b/>
            <sz val="8"/>
            <color indexed="81"/>
            <rFont val="Tahoma"/>
            <family val="2"/>
          </rPr>
          <t>See "unit" definitions at the bottom of this worksheet.</t>
        </r>
        <r>
          <rPr>
            <sz val="8"/>
            <color indexed="81"/>
            <rFont val="Tahoma"/>
            <family val="2"/>
          </rPr>
          <t xml:space="preserve">
</t>
        </r>
      </text>
    </comment>
    <comment ref="S373" authorId="0" shapeId="0" xr:uid="{9C59EEFE-7480-4CE0-9B62-F085E5890BFA}">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I374" authorId="0" shapeId="0" xr:uid="{AA632A68-5046-4F11-9C8D-C96650677807}">
      <text>
        <r>
          <rPr>
            <b/>
            <sz val="14"/>
            <color indexed="81"/>
            <rFont val="Tahoma"/>
            <family val="2"/>
          </rPr>
          <t>Note:</t>
        </r>
        <r>
          <rPr>
            <sz val="14"/>
            <color indexed="81"/>
            <rFont val="Tahoma"/>
            <family val="2"/>
          </rPr>
          <t xml:space="preserve">
Select either "Simple" or "Intermediate" O&amp;M expense detail using the drop-down menu to the right.
</t>
        </r>
        <r>
          <rPr>
            <sz val="8"/>
            <color indexed="81"/>
            <rFont val="Tahoma"/>
            <family val="2"/>
          </rPr>
          <t xml:space="preserve">
</t>
        </r>
      </text>
    </comment>
    <comment ref="I375" authorId="1" shapeId="0" xr:uid="{3E00BBBF-2D9B-474F-B036-5C82C921FBA1}">
      <text>
        <r>
          <rPr>
            <b/>
            <sz val="14"/>
            <color indexed="81"/>
            <rFont val="Tahoma"/>
            <family val="2"/>
          </rPr>
          <t>Note:</t>
        </r>
        <r>
          <rPr>
            <sz val="14"/>
            <color indexed="81"/>
            <rFont val="Tahoma"/>
            <family val="2"/>
          </rPr>
          <t xml:space="preserve">
If "Simple" is selected in the cell above, then this input should reflect the </t>
        </r>
        <r>
          <rPr>
            <b/>
            <u/>
            <sz val="14"/>
            <color indexed="81"/>
            <rFont val="Tahoma"/>
            <family val="2"/>
          </rPr>
          <t>total</t>
        </r>
        <r>
          <rPr>
            <sz val="14"/>
            <color indexed="81"/>
            <rFont val="Tahoma"/>
            <family val="2"/>
          </rPr>
          <t xml:space="preserve"> expected </t>
        </r>
        <r>
          <rPr>
            <b/>
            <u/>
            <sz val="14"/>
            <color indexed="81"/>
            <rFont val="Tahoma"/>
            <family val="2"/>
          </rPr>
          <t>fixed</t>
        </r>
        <r>
          <rPr>
            <sz val="14"/>
            <color indexed="81"/>
            <rFont val="Tahoma"/>
            <family val="2"/>
          </rPr>
          <t xml:space="preserve"> cost of project operations and maintenance, in $/kW-yr.  This </t>
        </r>
        <r>
          <rPr>
            <u/>
            <sz val="14"/>
            <color indexed="81"/>
            <rFont val="Tahoma"/>
            <family val="2"/>
          </rPr>
          <t>includes</t>
        </r>
        <r>
          <rPr>
            <sz val="14"/>
            <color indexed="81"/>
            <rFont val="Tahoma"/>
            <family val="2"/>
          </rPr>
          <t xml:space="preserve"> the insurance, project management, property tax (or payment in lieu thereof), land lease, and royalty expenses which would have been broken out separately in the "Intermediate" case.  Other labor and spare parts should also be included in this estimate.
If the user has obtained O&amp;M expense estimates from a third-party, it is critical to understand which costs have been included.  If the user is not certain that all of the above-listed expenses are included in the fixed cost estimate, then the "Intermediate" approach should be used and these expenses should be entered separately.
If "Intermediate" is selected, then this input should reflect  the expected annual fixed O&amp;M cost before taking into account the additional listed expenses, which are entered below. 
In all cases, fixed O&amp;M would include - among others - the ongoing cost of obtaining daily, weekly or monthly production estimates based on weather and other factors.
Input value must be greater than zero. 
</t>
        </r>
      </text>
    </comment>
    <comment ref="S375" authorId="1" shapeId="0" xr:uid="{502B7E68-089B-457A-80EF-F17F45CDA824}">
      <text>
        <r>
          <rPr>
            <b/>
            <sz val="14"/>
            <color indexed="81"/>
            <rFont val="Tahoma"/>
            <family val="2"/>
          </rPr>
          <t xml:space="preserve">Note:
</t>
        </r>
        <r>
          <rPr>
            <sz val="14"/>
            <color indexed="81"/>
            <rFont val="Tahoma"/>
            <family val="2"/>
          </rPr>
          <t xml:space="preserve">Some renewable energy projects may be eligible for other federal grants as well, such as funding from the U.S. Department of Agriculture. This input cell can be used to capture those funding opportunities, some of which are outlined online at:
http://dsireusa.org/incentives/index.cfm?state=us&amp;re=1&amp;EE=1
*See bottom of introduction page for a list of links
Input cannot be less than zero.
</t>
        </r>
      </text>
    </comment>
    <comment ref="I376" authorId="1" shapeId="0" xr:uid="{5A0F29B5-FA2F-47BE-A5D5-612B56F2E457}">
      <text>
        <r>
          <rPr>
            <b/>
            <sz val="14"/>
            <color indexed="81"/>
            <rFont val="Tahoma"/>
            <family val="2"/>
          </rPr>
          <t>Note:</t>
        </r>
        <r>
          <rPr>
            <sz val="14"/>
            <color indexed="81"/>
            <rFont val="Tahoma"/>
            <family val="2"/>
          </rPr>
          <t xml:space="preserve">
This cell provides the user with the option of accounting for O&amp;M expenses (such as labor and spare parts) which are more easily estimated and modeled on a variable, cents per kWh basis.  
If "Simple" is selected above, then this cell should also take into account variable costs, such as royalties, </t>
        </r>
        <r>
          <rPr>
            <b/>
            <u/>
            <sz val="14"/>
            <color indexed="81"/>
            <rFont val="Tahoma"/>
            <family val="2"/>
          </rPr>
          <t>if</t>
        </r>
        <r>
          <rPr>
            <sz val="14"/>
            <color indexed="81"/>
            <rFont val="Tahoma"/>
            <family val="2"/>
          </rPr>
          <t xml:space="preserve"> such annual expenses are not already accounted for in the fixed cost input above.
Input cannot be less than zero.
</t>
        </r>
      </text>
    </comment>
    <comment ref="S376" authorId="0" shapeId="0" xr:uid="{D77B9200-6DA6-4F23-BC0E-6DF4C5693747}">
      <text>
        <r>
          <rPr>
            <b/>
            <sz val="14"/>
            <color indexed="81"/>
            <rFont val="Tahoma"/>
            <family val="2"/>
          </rPr>
          <t xml:space="preserve">Note:
</t>
        </r>
        <r>
          <rPr>
            <sz val="14"/>
            <color indexed="81"/>
            <rFont val="Tahoma"/>
            <family val="2"/>
          </rPr>
          <t xml:space="preserve">Select here whether federal grants (other than the section 1603 payment in lieu of the ITC/PTC) are treated as taxable income. If no, depreciation basis is reduced. 
</t>
        </r>
      </text>
    </comment>
    <comment ref="I377" authorId="0" shapeId="0" xr:uid="{62288B2B-CB17-46EE-BE54-370BF0B7356D}">
      <text>
        <r>
          <rPr>
            <b/>
            <sz val="14"/>
            <color indexed="81"/>
            <rFont val="Tahoma"/>
            <family val="2"/>
          </rPr>
          <t>Note:</t>
        </r>
        <r>
          <rPr>
            <sz val="14"/>
            <color indexed="81"/>
            <rFont val="Tahoma"/>
            <family val="2"/>
          </rPr>
          <t xml:space="preserve">
This inflation rate applies to both fixed and variable O&amp;M expense, insurance, and project management costs entered above, if applicable. 
The model allows the user to specify an inflation assumption for an "initial period" and a second inflation assumption "thereafter." These inputs can be used to account for inflation which might be fixed during an initial O&amp;M service contract, but are unknown thereafter.  The final year of the "initial period" is  user-defined (e.g. final year of an O&amp;M service contract). 
The purpose of this feature is also to recognize that inflationary trends may change over time, or that some projects may not expect inflation of O&amp;M expenses for the first several years, but may expect inflation thereafter.
This inflation rate does not apply to PILOT or Royalty costs. Input cannot be less than zero.
</t>
        </r>
      </text>
    </comment>
    <comment ref="I378" authorId="0" shapeId="0" xr:uid="{0CC68F06-FB64-4984-87D2-E864D67DE153}">
      <text>
        <r>
          <rPr>
            <b/>
            <sz val="14"/>
            <color indexed="81"/>
            <rFont val="Tahoma"/>
            <family val="2"/>
          </rPr>
          <t xml:space="preserve">Note:
</t>
        </r>
        <r>
          <rPr>
            <sz val="14"/>
            <color indexed="81"/>
            <rFont val="Tahoma"/>
            <family val="2"/>
          </rPr>
          <t xml:space="preserve">This feature allows the user to assume that the rate at which expenses change over time is not constant. This cell provides the year in which the first inflation period ends.
Input cannot be less than zero.
</t>
        </r>
      </text>
    </comment>
    <comment ref="P378" authorId="0" shapeId="0" xr:uid="{2390DA27-6C6F-42D3-BA20-100A523BF56E}">
      <text>
        <r>
          <rPr>
            <b/>
            <sz val="8"/>
            <color indexed="81"/>
            <rFont val="Tahoma"/>
            <family val="2"/>
          </rPr>
          <t>See "unit" definitions at the bottom of this worksheet.</t>
        </r>
        <r>
          <rPr>
            <sz val="8"/>
            <color indexed="81"/>
            <rFont val="Tahoma"/>
            <family val="2"/>
          </rPr>
          <t xml:space="preserve">
</t>
        </r>
      </text>
    </comment>
    <comment ref="I379" authorId="0" shapeId="0" xr:uid="{F0867B14-AE61-4D13-860E-96217BB7802D}">
      <text>
        <r>
          <rPr>
            <b/>
            <sz val="14"/>
            <color indexed="81"/>
            <rFont val="Tahoma"/>
            <family val="2"/>
          </rPr>
          <t xml:space="preserve">Note:
</t>
        </r>
        <r>
          <rPr>
            <sz val="14"/>
            <color indexed="81"/>
            <rFont val="Tahoma"/>
            <family val="2"/>
          </rPr>
          <t xml:space="preserve">This cell provides the inflation rate for the remainder of the project's useful life.
Input must be greater than zero.
</t>
        </r>
      </text>
    </comment>
    <comment ref="S379" authorId="1" shapeId="0" xr:uid="{4771E8E1-7895-4352-9BEE-CBE3F0A35751}">
      <text>
        <r>
          <rPr>
            <b/>
            <sz val="14"/>
            <color indexed="81"/>
            <rFont val="Tahoma"/>
            <family val="2"/>
          </rPr>
          <t xml:space="preserve">Note:
</t>
        </r>
        <r>
          <rPr>
            <sz val="14"/>
            <color indexed="81"/>
            <rFont val="Tahoma"/>
            <family val="2"/>
          </rPr>
          <t>This drop-down input cell allows the user to specify whether state incentives are cost-based (e.g. an investment tax credit) or performance-based (e.g. a PTC or cash payment). If no state incentive is available or useable by the modeled project, the user will select "Neither." The magnitude and terms of these incentives are set in the cells below.
For more information, a useful resource for researching federal and state incentives online is:  
http://dsireusa.org/
*See bottom of introduction page for a list of links</t>
        </r>
      </text>
    </comment>
    <comment ref="I380" authorId="1" shapeId="0" xr:uid="{D9D0FE06-77E1-45DE-9698-7495D671FAC4}">
      <text>
        <r>
          <rPr>
            <b/>
            <sz val="14"/>
            <color indexed="81"/>
            <rFont val="Tahoma"/>
            <family val="2"/>
          </rPr>
          <t xml:space="preserve">Note:
</t>
        </r>
        <r>
          <rPr>
            <sz val="14"/>
            <color indexed="81"/>
            <rFont val="Tahoma"/>
            <family val="2"/>
          </rPr>
          <t xml:space="preserve">Project owners, or hosts, are required to carry insurance. This input accounts for the estimated cost of insuring the modeled power generating facility.
Input cannot be less than zero.
</t>
        </r>
      </text>
    </comment>
    <comment ref="S380" authorId="0" shapeId="0" xr:uid="{8B57F716-3CA0-42A6-B7AF-F15D7BBD89F4}">
      <text>
        <r>
          <rPr>
            <b/>
            <sz val="14"/>
            <color indexed="81"/>
            <rFont val="Tahoma"/>
            <family val="2"/>
          </rPr>
          <t xml:space="preserve">NOTE:
</t>
        </r>
        <r>
          <rPr>
            <sz val="14"/>
            <color indexed="81"/>
            <rFont val="Tahoma"/>
            <family val="2"/>
          </rPr>
          <t xml:space="preserve">The maximum potential Investment Tax Credit (ITC) benefit is assumed to be 30% of those project costs which are depreciable on the 5-year MACRS schedule.
</t>
        </r>
      </text>
    </comment>
    <comment ref="I381" authorId="0" shapeId="0" xr:uid="{ADAC29C4-0BBE-455E-A1CD-17A7AC8FC0D2}">
      <text>
        <r>
          <rPr>
            <b/>
            <sz val="14"/>
            <color indexed="81"/>
            <rFont val="Tahoma"/>
            <family val="2"/>
          </rPr>
          <t xml:space="preserve">Note:
</t>
        </r>
        <r>
          <rPr>
            <sz val="14"/>
            <color indexed="81"/>
            <rFont val="Tahoma"/>
            <family val="2"/>
          </rPr>
          <t xml:space="preserve">This cell calculates the resulting dollar value cost of insurance based on the input above and the project installed cost (net of financing costs).  It is provided simply as a reference for the user.
</t>
        </r>
        <r>
          <rPr>
            <sz val="8"/>
            <color indexed="81"/>
            <rFont val="Tahoma"/>
            <family val="2"/>
          </rPr>
          <t xml:space="preserve">
</t>
        </r>
      </text>
    </comment>
    <comment ref="S381" authorId="0" shapeId="0" xr:uid="{55066662-096B-49C7-ABFC-40876441A3B4}">
      <text>
        <r>
          <rPr>
            <b/>
            <sz val="14"/>
            <color indexed="81"/>
            <rFont val="Tahoma"/>
            <family val="2"/>
          </rPr>
          <t xml:space="preserve">NOTE:
</t>
        </r>
        <r>
          <rPr>
            <sz val="14"/>
            <color indexed="81"/>
            <rFont val="Tahoma"/>
            <family val="2"/>
          </rPr>
          <t xml:space="preserve">As a tax </t>
        </r>
        <r>
          <rPr>
            <u/>
            <sz val="14"/>
            <color indexed="81"/>
            <rFont val="Tahoma"/>
            <family val="2"/>
          </rPr>
          <t>credit</t>
        </r>
        <r>
          <rPr>
            <sz val="14"/>
            <color indexed="81"/>
            <rFont val="Tahoma"/>
            <family val="2"/>
          </rPr>
          <t>, the ITC is only usable by project owners with positive federal income tax liability.  
In cases where the owner's tax liability in the calendar year of the project's first commercial operation exceeds the ITC amount, the user may enter 100% in this field and assume full utilization of the ITC.
If the owner's tax liability is less than the available ITC, a % less than 100% must be entered in order to represent a less efficient utilization of this federal tax incentive.
Input must be betwee 0% and 100%.</t>
        </r>
      </text>
    </comment>
    <comment ref="I382" authorId="1" shapeId="0" xr:uid="{362D7B7D-7E7D-44B9-9775-68215005284A}">
      <text>
        <r>
          <rPr>
            <b/>
            <sz val="14"/>
            <color indexed="81"/>
            <rFont val="Tahoma"/>
            <family val="2"/>
          </rPr>
          <t>Note:</t>
        </r>
        <r>
          <rPr>
            <sz val="14"/>
            <color indexed="81"/>
            <rFont val="Tahoma"/>
            <family val="2"/>
          </rPr>
          <t xml:space="preserve">
"Project Management" accounts for the cost of staff time related to managing the project's Power Purchase Agreements, grid integration, and periodic reporting to the system operator and policymakers.  
Input cannot be less than zero.
</t>
        </r>
      </text>
    </comment>
    <comment ref="S382" authorId="0" shapeId="0" xr:uid="{35261772-C762-43B1-9652-895EAD686A63}">
      <text>
        <r>
          <rPr>
            <b/>
            <sz val="14"/>
            <color indexed="81"/>
            <rFont val="Tahoma"/>
            <family val="2"/>
          </rPr>
          <t xml:space="preserve">Note:
</t>
        </r>
        <r>
          <rPr>
            <sz val="14"/>
            <color indexed="81"/>
            <rFont val="Tahoma"/>
            <family val="2"/>
          </rPr>
          <t>Specifies whether the available ITC is realized in a single year or over multiple years. This input will be specified by state-specific law or regulation.
A good resource on available state incentives is:  
http://dsireusa.org/
*See bottom of introduction page for a list of links
Input must be greater than 1 and less than the Project Useful Life.</t>
        </r>
      </text>
    </comment>
    <comment ref="I383" authorId="1" shapeId="0" xr:uid="{73B63452-AEBF-46D6-A896-5ADDDE2C1CF5}">
      <text>
        <r>
          <rPr>
            <b/>
            <sz val="14"/>
            <color indexed="81"/>
            <rFont val="Tahoma"/>
            <family val="2"/>
          </rPr>
          <t xml:space="preserve">Note:
</t>
        </r>
        <r>
          <rPr>
            <sz val="14"/>
            <color indexed="81"/>
            <rFont val="Tahoma"/>
            <family val="2"/>
          </rPr>
          <t xml:space="preserve">"Property Tax or PILOT" accounts for costs associated with any local taxes incurred by the project. Many states offer tax exemptions for renewable energy systems; to check your local applicability, please visit: http://dsireusa.org/ 
This line can also be used to account for any PILOTs or Payment in Leiu of Taxes. Developers often negotiate a PILOT with the local community to secure a fixed, predictable payment that serves both parties appropriately. This model allows the user to input a year-one Property Tax or PILOT value along with an annual property tax adjsutment factor (see next cell down). As a result, taxes can be modeled as flat, increasing, or decreasing annually depending on the value entered in the adjustment factor cell below.
Input cannot be less than zero.
</t>
        </r>
      </text>
    </comment>
    <comment ref="S383" authorId="0" shapeId="0" xr:uid="{2C04873E-BA89-4D08-BE5B-B0AFAC1C0630}">
      <text>
        <r>
          <rPr>
            <b/>
            <sz val="14"/>
            <color indexed="81"/>
            <rFont val="Tahoma"/>
            <family val="2"/>
          </rPr>
          <t xml:space="preserve">Note:
</t>
        </r>
        <r>
          <rPr>
            <sz val="14"/>
            <color indexed="81"/>
            <rFont val="Tahoma"/>
            <family val="2"/>
          </rPr>
          <t xml:space="preserve">Calculates the dollar value of the State Investment Tax Credit, if applicable.
</t>
        </r>
      </text>
    </comment>
    <comment ref="I384" authorId="1" shapeId="0" xr:uid="{81A51EF8-E37E-42D0-B6C5-596AD8FCE685}">
      <text>
        <r>
          <rPr>
            <b/>
            <sz val="14"/>
            <color indexed="81"/>
            <rFont val="Tahoma"/>
            <family val="2"/>
          </rPr>
          <t xml:space="preserve">Note:
</t>
        </r>
        <r>
          <rPr>
            <sz val="14"/>
            <color indexed="81"/>
            <rFont val="Tahoma"/>
            <family val="2"/>
          </rPr>
          <t xml:space="preserve">The Annual Property Tax Adjustment Factor allows the user to specify whether the Year One tax (or PILOT) value will remain fixed and flat, will decrease (a negative percentage value entered in this cell) or increase (a positive percentage value entered in this cell) over time.  </t>
        </r>
        <r>
          <rPr>
            <sz val="8"/>
            <color indexed="81"/>
            <rFont val="Tahoma"/>
            <family val="2"/>
          </rPr>
          <t xml:space="preserve">
</t>
        </r>
      </text>
    </comment>
    <comment ref="S384" authorId="0" shapeId="0" xr:uid="{53073FBA-1E0F-4386-962F-657FBA8EBDC3}">
      <text>
        <r>
          <rPr>
            <b/>
            <sz val="14"/>
            <color indexed="81"/>
            <rFont val="Tahoma"/>
            <family val="2"/>
          </rPr>
          <t xml:space="preserve">Note: </t>
        </r>
        <r>
          <rPr>
            <sz val="14"/>
            <color indexed="81"/>
            <rFont val="Tahoma"/>
            <family val="2"/>
          </rPr>
          <t xml:space="preserve">
This input cell, the "Performance Based Incentive" or "PBI" is another potential incentive available to some specific projects. The PBI would be separate from a feed-in-tariff, but acts similarly in that it is per unit of production (typically kWh) income to a project.
Some examples of PBIs include the Federal Production Tax Credit (applicable to private projects with tax appetites) and the Federal Renewable Energy Production Incentive (REPI), historically available to some public projects.
</t>
        </r>
      </text>
    </comment>
    <comment ref="I385" authorId="1" shapeId="0" xr:uid="{EC709CF6-0DE6-4E9B-9F46-E7B805345FEB}">
      <text>
        <r>
          <rPr>
            <b/>
            <sz val="14"/>
            <color indexed="81"/>
            <rFont val="Tahoma"/>
            <family val="2"/>
          </rPr>
          <t xml:space="preserve">Note:
</t>
        </r>
        <r>
          <rPr>
            <sz val="14"/>
            <color indexed="81"/>
            <rFont val="Tahoma"/>
            <family val="2"/>
          </rPr>
          <t xml:space="preserve">The Land Lease input represents </t>
        </r>
        <r>
          <rPr>
            <b/>
            <u/>
            <sz val="14"/>
            <color indexed="81"/>
            <rFont val="Tahoma"/>
            <family val="2"/>
          </rPr>
          <t>fixed payments</t>
        </r>
        <r>
          <rPr>
            <sz val="14"/>
            <color indexed="81"/>
            <rFont val="Tahoma"/>
            <family val="2"/>
          </rPr>
          <t xml:space="preserve"> to the site host (and possibly other affected parties) for the use of the land on which the project is located.  
Variable royalty payments may be applied in addition to, or in lieu of, the land lease payment through the "Royalties" input below, if applicable.  
Input cannot be less than zero.
</t>
        </r>
      </text>
    </comment>
    <comment ref="S385" authorId="0" shapeId="0" xr:uid="{C9597FDD-27C3-473F-A93F-2B5127ECCAEB}">
      <text>
        <r>
          <rPr>
            <b/>
            <sz val="14"/>
            <color indexed="81"/>
            <rFont val="Tahoma"/>
            <family val="2"/>
          </rPr>
          <t xml:space="preserve">Note:
</t>
        </r>
        <r>
          <rPr>
            <sz val="14"/>
            <color indexed="81"/>
            <rFont val="Tahoma"/>
            <family val="2"/>
          </rPr>
          <t xml:space="preserve">Impacts tax treatment of PBI if owner is a taxable entity.
</t>
        </r>
      </text>
    </comment>
    <comment ref="I386" authorId="1" shapeId="0" xr:uid="{520FC6AA-53E4-4CD4-A840-7F1D89A8B49C}">
      <text>
        <r>
          <rPr>
            <b/>
            <sz val="14"/>
            <color indexed="81"/>
            <rFont val="Tahoma"/>
            <family val="2"/>
          </rPr>
          <t xml:space="preserve">Note:
</t>
        </r>
        <r>
          <rPr>
            <sz val="14"/>
            <color indexed="81"/>
            <rFont val="Tahoma"/>
            <family val="2"/>
          </rPr>
          <t xml:space="preserve">The royalties input accounts for </t>
        </r>
        <r>
          <rPr>
            <b/>
            <u/>
            <sz val="14"/>
            <color indexed="81"/>
            <rFont val="Tahoma"/>
            <family val="2"/>
          </rPr>
          <t>variable</t>
        </r>
        <r>
          <rPr>
            <sz val="14"/>
            <color indexed="81"/>
            <rFont val="Tahoma"/>
            <family val="2"/>
          </rPr>
          <t xml:space="preserve"> payments to site hosts, neighbors, partners, or other parties which may have a stake in the project and which are NOT covered by the fixed "Land Lease" payment. 
Fixed payments may be applied in addition to, or in lieu of, the royalty payment through the "Land Lease" input above, if applicable.  
</t>
        </r>
        <r>
          <rPr>
            <b/>
            <sz val="14"/>
            <color indexed="81"/>
            <rFont val="Tahoma"/>
            <family val="2"/>
          </rPr>
          <t>Inflation is NOT applied to this input</t>
        </r>
        <r>
          <rPr>
            <sz val="14"/>
            <color indexed="81"/>
            <rFont val="Tahoma"/>
            <family val="2"/>
          </rPr>
          <t xml:space="preserve">. However, if tariff escalation is selected, then the assumed royalty payment will increase over time since it is calculated as a function of revenue over time.
If the modeled project's royalty payments are not the same over time, then an average annual royalty payment should be calculated externally and entered in this cell. 
This input cannot be less than zero.
</t>
        </r>
        <r>
          <rPr>
            <sz val="8"/>
            <color indexed="81"/>
            <rFont val="Tahoma"/>
            <family val="2"/>
          </rPr>
          <t xml:space="preserve">
</t>
        </r>
      </text>
    </comment>
    <comment ref="S386" authorId="0" shapeId="0" xr:uid="{F33B5E4A-3669-4A98-99A3-6B58DFE6950B}">
      <text>
        <r>
          <rPr>
            <b/>
            <sz val="14"/>
            <color indexed="81"/>
            <rFont val="Tahoma"/>
            <family val="2"/>
          </rPr>
          <t xml:space="preserve">Note: </t>
        </r>
        <r>
          <rPr>
            <sz val="14"/>
            <color indexed="81"/>
            <rFont val="Tahoma"/>
            <family val="2"/>
          </rPr>
          <t xml:space="preserve">
This cell denotes the value of the Performance Based Incentive applicable to the project's first year of commercial operation. In some cases, this value will need to be calculated external to the model if such PBI is derived from a "base year" and specified inflation index. The following cells can be used to account for inflation and the maximum term of eligibility.
Input cannot be less than zero.
</t>
        </r>
      </text>
    </comment>
    <comment ref="I387" authorId="0" shapeId="0" xr:uid="{B6C12C89-549F-4C0D-BB1C-56FC0E423706}">
      <text>
        <r>
          <rPr>
            <b/>
            <sz val="14"/>
            <color indexed="81"/>
            <rFont val="Tahoma"/>
            <family val="2"/>
          </rPr>
          <t xml:space="preserve">Note:
</t>
        </r>
        <r>
          <rPr>
            <sz val="14"/>
            <color indexed="81"/>
            <rFont val="Tahoma"/>
            <family val="2"/>
          </rPr>
          <t xml:space="preserve">This cell calculates the resulting dollar value cost of royalties paid to landowners or other stakeholders based on the input above and project revenue.  It is provided simply as a reference for the user.
</t>
        </r>
        <r>
          <rPr>
            <sz val="8"/>
            <color indexed="81"/>
            <rFont val="Tahoma"/>
            <family val="2"/>
          </rPr>
          <t xml:space="preserve">
</t>
        </r>
      </text>
    </comment>
    <comment ref="S387" authorId="0" shapeId="0" xr:uid="{2D67E2FE-0B7E-4A01-8571-7C8B920767AF}">
      <text>
        <r>
          <rPr>
            <b/>
            <sz val="14"/>
            <color indexed="81"/>
            <rFont val="Tahoma"/>
            <family val="2"/>
          </rPr>
          <t>Note:</t>
        </r>
        <r>
          <rPr>
            <sz val="14"/>
            <color indexed="81"/>
            <rFont val="Tahoma"/>
            <family val="2"/>
          </rPr>
          <t xml:space="preserve">
This is the length of time that a project would be eligible for any Performance Based Incentives outlined in the cell immediately above. For example, the Federal Renewable Energy Production Incentive and Production Tax Credit incentives are available for the first 10 years of project operation.
Input cannot be less than zero.
</t>
        </r>
      </text>
    </comment>
    <comment ref="S388" authorId="0" shapeId="0" xr:uid="{5063D828-E86C-4A40-A0E5-1A89A7E575E6}">
      <text>
        <r>
          <rPr>
            <b/>
            <sz val="14"/>
            <color indexed="81"/>
            <rFont val="Tahoma"/>
            <family val="2"/>
          </rPr>
          <t xml:space="preserve">Note:
</t>
        </r>
        <r>
          <rPr>
            <sz val="14"/>
            <color indexed="81"/>
            <rFont val="Tahoma"/>
            <family val="2"/>
          </rPr>
          <t xml:space="preserve">Performance Based Incentives are often adjusted to account for inflation. For example, the Federal Production Tax Credit (PTC) is adjusted each year to account for changes in the GDP IPD index. This cell can be used as a proxy for the inflation that would apply to any PBI incentive entered above.
This input cannot be left blank.
</t>
        </r>
      </text>
    </comment>
    <comment ref="F389" authorId="0" shapeId="0" xr:uid="{B2D3FB26-8DC1-418F-9F7D-D6007C244DFB}">
      <text>
        <r>
          <rPr>
            <b/>
            <sz val="8"/>
            <color indexed="81"/>
            <rFont val="Tahoma"/>
            <family val="2"/>
          </rPr>
          <t>See "unit" definitions at the bottom of this worksheet.</t>
        </r>
        <r>
          <rPr>
            <sz val="8"/>
            <color indexed="81"/>
            <rFont val="Tahoma"/>
            <family val="2"/>
          </rPr>
          <t xml:space="preserve">
</t>
        </r>
      </text>
    </comment>
    <comment ref="S389" authorId="0" shapeId="0" xr:uid="{A98A1D3B-E596-4A44-BE01-7381E32BC239}">
      <text>
        <r>
          <rPr>
            <b/>
            <sz val="14"/>
            <color indexed="81"/>
            <rFont val="Tahoma"/>
            <family val="2"/>
          </rPr>
          <t xml:space="preserve">Note:
</t>
        </r>
        <r>
          <rPr>
            <sz val="14"/>
            <color indexed="81"/>
            <rFont val="Tahoma"/>
            <family val="2"/>
          </rPr>
          <t xml:space="preserve">In some cases, due to the nature of the requirements of some Performance Based Incentive programs, project owners are unable to maximize the full revenue stream of the incentive. For example, in the case of the Federal Production Tax Credit (PTC), the project owner may not have sufficienct tax appetite to fully utilize the tax credits. 
This input cell would allow the modeler to account for the owner's inability to fully utilize the PTC and/or the reduction of the PTC (a "haircut") due to the presence of subsidized (below market interest rate) financing.
Input must be between 0% and 100%.
</t>
        </r>
        <r>
          <rPr>
            <sz val="8"/>
            <color indexed="81"/>
            <rFont val="Tahoma"/>
            <family val="2"/>
          </rPr>
          <t xml:space="preserve">
</t>
        </r>
      </text>
    </comment>
    <comment ref="I390" authorId="0" shapeId="0" xr:uid="{B5E91A29-0940-4C07-B0EE-B05F3714647D}">
      <text>
        <r>
          <rPr>
            <b/>
            <sz val="14"/>
            <color indexed="81"/>
            <rFont val="Tahoma"/>
            <family val="2"/>
          </rPr>
          <t xml:space="preserve">Note:
</t>
        </r>
        <r>
          <rPr>
            <sz val="14"/>
            <color indexed="81"/>
            <rFont val="Tahoma"/>
            <family val="2"/>
          </rPr>
          <t xml:space="preserve">The # of months from construction start to commercial operation. This input cannot be less than zero.
</t>
        </r>
      </text>
    </comment>
    <comment ref="S390" authorId="0" shapeId="0" xr:uid="{3025B564-4CE5-4D83-8B2B-7530D0BB6CB4}">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I391" authorId="0" shapeId="0" xr:uid="{D4F1A618-13A4-42E6-8358-EF4CB5757572}">
      <text>
        <r>
          <rPr>
            <b/>
            <sz val="14"/>
            <color indexed="81"/>
            <rFont val="Tahoma"/>
            <family val="2"/>
          </rPr>
          <t xml:space="preserve">Note:
</t>
        </r>
        <r>
          <rPr>
            <sz val="14"/>
            <color indexed="81"/>
            <rFont val="Tahoma"/>
            <family val="2"/>
          </rPr>
          <t xml:space="preserve">The annual interest rate on construction debt. This input cannot be less than zero.
</t>
        </r>
      </text>
    </comment>
    <comment ref="I392" authorId="0" shapeId="0" xr:uid="{1855D49F-D7DA-416A-BBCE-850E11E04753}">
      <text>
        <r>
          <rPr>
            <b/>
            <sz val="14"/>
            <color indexed="81"/>
            <rFont val="Tahoma"/>
            <family val="2"/>
          </rPr>
          <t xml:space="preserve">Note:
</t>
        </r>
        <r>
          <rPr>
            <sz val="14"/>
            <color indexed="81"/>
            <rFont val="Tahoma"/>
            <family val="2"/>
          </rPr>
          <t xml:space="preserve">A calculated value showing the interest accrued during the construction period. Rather than requiring the user to define a detailed construction draw-down schedule, this calculation makes the simplifying assumption that the total project cost is spent in equal parts in each month of the construction period.
IDC is calculated on total project cost, assuming that any grants are collected after construction financing is repaid at time of permanent financing.
This cell is only used with the "Intermediate" and "Complex" capital cost options. The "Simple" capital cost option assumes that all project costs, including IDC, are included in the single input.
</t>
        </r>
      </text>
    </comment>
    <comment ref="S392" authorId="0" shapeId="0" xr:uid="{40CB1F35-2DF7-4CCC-ABE1-305AB220450A}">
      <text>
        <r>
          <rPr>
            <b/>
            <sz val="14"/>
            <color indexed="81"/>
            <rFont val="Tahoma"/>
            <family val="2"/>
          </rPr>
          <t xml:space="preserve">Note:
</t>
        </r>
        <r>
          <rPr>
            <sz val="14"/>
            <color indexed="81"/>
            <rFont val="Tahoma"/>
            <family val="2"/>
          </rPr>
          <t xml:space="preserve">Include here the total dollar value of any state-specific cash grants or rebates.
Input cannot be less than zero.
</t>
        </r>
      </text>
    </comment>
    <comment ref="S393" authorId="0" shapeId="0" xr:uid="{969DABC6-C637-4D43-96DF-DEA0AC200CBF}">
      <text>
        <r>
          <rPr>
            <b/>
            <sz val="14"/>
            <color indexed="81"/>
            <rFont val="Tahoma"/>
            <family val="2"/>
          </rPr>
          <t xml:space="preserve">Note:
</t>
        </r>
        <r>
          <rPr>
            <sz val="14"/>
            <color indexed="81"/>
            <rFont val="Tahoma"/>
            <family val="2"/>
          </rPr>
          <t xml:space="preserve">Select here whether state grants are treated as taxable income.  If no, depreciation basis is reduced. 
</t>
        </r>
      </text>
    </comment>
    <comment ref="F394" authorId="0" shapeId="0" xr:uid="{E21AAACF-7034-4626-A9EC-09249A7F78C5}">
      <text>
        <r>
          <rPr>
            <b/>
            <sz val="8"/>
            <color indexed="81"/>
            <rFont val="Tahoma"/>
            <family val="2"/>
          </rPr>
          <t>See "unit" definitions at the bottom of this worksheet.</t>
        </r>
        <r>
          <rPr>
            <sz val="8"/>
            <color indexed="81"/>
            <rFont val="Tahoma"/>
            <family val="2"/>
          </rPr>
          <t xml:space="preserve">
</t>
        </r>
      </text>
    </comment>
    <comment ref="I395" authorId="0" shapeId="0" xr:uid="{66C89035-9F9D-4F61-B7E2-14452D7E313F}">
      <text>
        <r>
          <rPr>
            <b/>
            <sz val="14"/>
            <color indexed="81"/>
            <rFont val="Tahoma"/>
            <family val="2"/>
          </rPr>
          <t xml:space="preserve">Note:
</t>
        </r>
        <r>
          <rPr>
            <sz val="14"/>
            <color indexed="81"/>
            <rFont val="Tahoma"/>
            <family val="2"/>
          </rPr>
          <t xml:space="preserve">For ease of use and comprehension by a wide range of stakeholders, this model allows the user to define the capital structure, and relies on mortgage-style amortization of the project debt. The "% Debt" input specifies the portion of funds borrowed, as a percentage of the total "hard costs." Equity is assumed to fund the remaining hard costs PLUS all "soft costs" (e.g. transaction costs and funding of initial reserve accounts, if applicable).  This input cannot be less than zero.
Where maximum sustainable leverage is desired, the user must manually adjust the "% Debt" entry upward to the highest point </t>
        </r>
        <r>
          <rPr>
            <b/>
            <i/>
            <sz val="14"/>
            <color indexed="81"/>
            <rFont val="Tahoma"/>
            <family val="2"/>
          </rPr>
          <t>before</t>
        </r>
        <r>
          <rPr>
            <sz val="14"/>
            <color indexed="81"/>
            <rFont val="Tahoma"/>
            <family val="2"/>
          </rPr>
          <t xml:space="preserve"> the DSCRs no longer "Pass."
If a specific % Debt is desired, </t>
        </r>
        <r>
          <rPr>
            <u/>
            <sz val="14"/>
            <color indexed="81"/>
            <rFont val="Tahoma"/>
            <family val="2"/>
          </rPr>
          <t>and such % is higher than the maximum sustainable debt</t>
        </r>
        <r>
          <rPr>
            <sz val="14"/>
            <color indexed="81"/>
            <rFont val="Tahoma"/>
            <family val="2"/>
          </rPr>
          <t xml:space="preserve"> (such that it causes the DSCR to "Fail"), then the user must define the % Debt and then manually adjust the "Target After-Tax Equity IRR" upward until the DSCRs are met.  The user should </t>
        </r>
        <r>
          <rPr>
            <b/>
            <sz val="14"/>
            <color indexed="81"/>
            <rFont val="Tahoma"/>
            <family val="2"/>
          </rPr>
          <t>take note</t>
        </r>
        <r>
          <rPr>
            <sz val="14"/>
            <color indexed="81"/>
            <rFont val="Tahoma"/>
            <family val="2"/>
          </rPr>
          <t xml:space="preserve"> that when leverage becomes very high (and the corresponding equity contribution low), the "Target After-Tax Equity IRR" will need to be adjusted to levels exceeding typical commercial returns </t>
        </r>
        <r>
          <rPr>
            <u/>
            <sz val="14"/>
            <color indexed="81"/>
            <rFont val="Tahoma"/>
            <family val="2"/>
          </rPr>
          <t>in order to maintain the DSCR ratio</t>
        </r>
        <r>
          <rPr>
            <sz val="14"/>
            <color indexed="81"/>
            <rFont val="Tahoma"/>
            <family val="2"/>
          </rPr>
          <t xml:space="preserve"> on such high debt levels.  For this reason, it is not recommended that users solve for the COE associated with a % Debt that is beyond the maximum sustainable leverage.
If a project is expected to be funded either by a pool of corporate funds or back-leveraged after commercial operation, the user might elect to enter 0% in the "% Debt" cell and enter a weighted average cost of capital (WACC) in the "Target After-Tax Equity IRR" cell.
</t>
        </r>
      </text>
    </comment>
    <comment ref="I396" authorId="1" shapeId="0" xr:uid="{8C3A7E10-64F1-45A3-BA4C-8C738C2AEA67}">
      <text>
        <r>
          <rPr>
            <b/>
            <sz val="14"/>
            <color indexed="81"/>
            <rFont val="Tahoma"/>
            <family val="2"/>
          </rPr>
          <t>Note:</t>
        </r>
        <r>
          <rPr>
            <sz val="14"/>
            <color indexed="81"/>
            <rFont val="Tahoma"/>
            <family val="2"/>
          </rPr>
          <t xml:space="preserve">
Debt "tenor" (also casually referred to as "term"), is the number of years in the debt repayment schedule.   
Caution: If the project will utilize debt, this value must be greater than zero but less than or equal to the total FIT contract duration.
</t>
        </r>
      </text>
    </comment>
    <comment ref="S396" authorId="0" shapeId="0" xr:uid="{00F499F7-7543-4BC4-9000-3E021869BECD}">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397" authorId="1" shapeId="0" xr:uid="{57A6AE87-BD32-4614-8E85-7277D5E82E3B}">
      <text>
        <r>
          <rPr>
            <b/>
            <sz val="14"/>
            <color indexed="81"/>
            <rFont val="Tahoma"/>
            <family val="2"/>
          </rPr>
          <t>Note:</t>
        </r>
        <r>
          <rPr>
            <sz val="14"/>
            <color indexed="81"/>
            <rFont val="Tahoma"/>
            <family val="2"/>
          </rPr>
          <t xml:space="preserve">
The all-in interest rate is the financing rate provided by the bank or other debt investor.
This input cannot be less than zero.
</t>
        </r>
      </text>
    </comment>
    <comment ref="S397" authorId="0" shapeId="0" xr:uid="{190DD400-D3FC-4F6C-A901-738A3482C582}">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398" authorId="0" shapeId="0" xr:uid="{06AD7D6D-A375-488A-97B9-725F4D3729CC}">
      <text>
        <r>
          <rPr>
            <b/>
            <sz val="14"/>
            <color indexed="81"/>
            <rFont val="Tahoma"/>
            <family val="2"/>
          </rPr>
          <t xml:space="preserve">Note:
</t>
        </r>
        <r>
          <rPr>
            <sz val="14"/>
            <color indexed="81"/>
            <rFont val="Tahoma"/>
            <family val="2"/>
          </rPr>
          <t xml:space="preserve">A one-time fee collected by the lender and calculated as a % of the total loan amount. This value is typically between 1% and 4%.
This input cannot be less than zero.
</t>
        </r>
      </text>
    </comment>
    <comment ref="S398" authorId="0" shapeId="0" xr:uid="{C5FB26EF-C077-410A-A165-385660D6394F}">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399" authorId="1" shapeId="0" xr:uid="{5B707A6B-BB52-4347-88F2-309EEADCE91E}">
      <text>
        <r>
          <rPr>
            <b/>
            <sz val="14"/>
            <color indexed="81"/>
            <rFont val="Tahoma"/>
            <family val="2"/>
          </rPr>
          <t>Note:</t>
        </r>
        <r>
          <rPr>
            <sz val="14"/>
            <color indexed="81"/>
            <rFont val="Tahoma"/>
            <family val="2"/>
          </rPr>
          <t xml:space="preserve">
The annual Debt Service Coverage Ratio is calculated by dividing the sum of the annual principal and interest payment into that year's operating cash flow. Lenders will require the DSCR to demonstrate the project's ability to easily meet its annual debt service obligation.
Average DSCRs over the life of the loan typically range from 1.2 to 1.5 for private, commercially financed projects, or from 1.1 to 1.3 for publicly owned, bond-financed projects - depending on the level of reserves, or other surety, provided. 
The annual minimum DSCR will depend on the specific terms of the loan and the probability-weighting of the production estimate, but will likely be in the range of 1.0 to 1.3. This input must be greater than 1.
</t>
        </r>
      </text>
    </comment>
    <comment ref="S399" authorId="0" shapeId="0" xr:uid="{5F1C64A5-77E4-4A5B-8E8F-819AA9D2F1E1}">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400" authorId="0" shapeId="0" xr:uid="{8661AA61-59FC-47B6-A09E-2A754EB34270}">
      <text>
        <r>
          <rPr>
            <b/>
            <sz val="14"/>
            <color indexed="81"/>
            <rFont val="Tahoma"/>
            <family val="2"/>
          </rPr>
          <t>Note:</t>
        </r>
        <r>
          <rPr>
            <sz val="14"/>
            <color indexed="81"/>
            <rFont val="Tahoma"/>
            <family val="2"/>
          </rPr>
          <t xml:space="preserve">
If "#N/A" appears, F9 should be pressed until the calculated COE achieves it's final value.</t>
        </r>
      </text>
    </comment>
    <comment ref="S400" authorId="0" shapeId="0" xr:uid="{1698542F-1630-4102-A9D8-A56B59BFD5C5}">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401" authorId="1" shapeId="0" xr:uid="{75AA604D-7457-4F28-A13A-1C891F348F8F}">
      <text>
        <r>
          <rPr>
            <b/>
            <sz val="14"/>
            <color indexed="81"/>
            <rFont val="Tahoma"/>
            <family val="2"/>
          </rPr>
          <t>Note:</t>
        </r>
        <r>
          <rPr>
            <sz val="14"/>
            <color indexed="81"/>
            <rFont val="Tahoma"/>
            <family val="2"/>
          </rPr>
          <t xml:space="preserve">
This cell checks that the debt service coverage ratio exceeds the user-defined minimum in each operating year (see note in DSCR cell for definition and rationale for DSCR). If the test "fails", the user must choose from one of several options in order to cure this deficiency (the extent to which these options are available will be specific to each project):
1. reduce the amount of project level debt, 
2. increase the feed-in tariff rate in order to generate cash flow sufficient to meet the bank's assumed coverage requirement.  In the CREST model, </t>
        </r>
        <r>
          <rPr>
            <u/>
            <sz val="14"/>
            <color indexed="81"/>
            <rFont val="Tahoma"/>
            <family val="2"/>
          </rPr>
          <t>this is done by manually increasing the "Target After-Tax Equity IRR."</t>
        </r>
        <r>
          <rPr>
            <sz val="14"/>
            <color indexed="81"/>
            <rFont val="Tahoma"/>
            <family val="2"/>
          </rPr>
          <t xml:space="preserve">
Other possible, but less likely, mechanisms include:
3. increase the loan tenor
4. decrease the interest rate</t>
        </r>
      </text>
    </comment>
    <comment ref="S401" authorId="0" shapeId="0" xr:uid="{A748C54E-711A-417D-9FF3-85ACEA26D245}">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402" authorId="1" shapeId="0" xr:uid="{F9EAF4D9-AF2B-4DFF-9066-10F927F06B8B}">
      <text>
        <r>
          <rPr>
            <b/>
            <sz val="14"/>
            <color indexed="81"/>
            <rFont val="Tahoma"/>
            <family val="2"/>
          </rPr>
          <t>Note:</t>
        </r>
        <r>
          <rPr>
            <sz val="14"/>
            <color indexed="81"/>
            <rFont val="Tahoma"/>
            <family val="2"/>
          </rPr>
          <t xml:space="preserve">
The annual Debt Service Coverage Ratio is calculated by dividing the sum of the annual principal and interest payment into that year's operating cash flow. Lenders will require the DSCR to demonstrate the project's ability to easily meet its annual debt service obligation.
</t>
        </r>
        <r>
          <rPr>
            <u/>
            <sz val="14"/>
            <color indexed="81"/>
            <rFont val="Tahoma"/>
            <family val="2"/>
          </rPr>
          <t>Average</t>
        </r>
        <r>
          <rPr>
            <sz val="14"/>
            <color indexed="81"/>
            <rFont val="Tahoma"/>
            <family val="2"/>
          </rPr>
          <t xml:space="preserve"> DSCRs over the life of the loan typically range from 1.2 to 1.5 for private, commercially financed projects, or from 1.1 to 1.3 for publicly owned, bond-financed projects - depending on the level of reserves, or other surety, provided. 
The </t>
        </r>
        <r>
          <rPr>
            <u/>
            <sz val="14"/>
            <color indexed="81"/>
            <rFont val="Tahoma"/>
            <family val="2"/>
          </rPr>
          <t>annual minimum</t>
        </r>
        <r>
          <rPr>
            <sz val="14"/>
            <color indexed="81"/>
            <rFont val="Tahoma"/>
            <family val="2"/>
          </rPr>
          <t xml:space="preserve"> DSCR will depend on the specific terms of the loan and the probability-weighting of the production estimate, but will likely be in the range of 1.0 to 1.3. This input must be greater than 1.
</t>
        </r>
      </text>
    </comment>
    <comment ref="S402" authorId="0" shapeId="0" xr:uid="{D7A7C480-7DAC-4EE8-88BE-9818EB342CA2}">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403" authorId="0" shapeId="0" xr:uid="{A0C5C48A-B8F3-45E8-BDD7-2D1B84243C18}">
      <text>
        <r>
          <rPr>
            <b/>
            <sz val="12"/>
            <color indexed="81"/>
            <rFont val="Tahoma"/>
            <family val="2"/>
          </rPr>
          <t>Note:</t>
        </r>
        <r>
          <rPr>
            <sz val="12"/>
            <color indexed="81"/>
            <rFont val="Tahoma"/>
            <family val="2"/>
          </rPr>
          <t xml:space="preserve">
If "#N/A" appears, F9 should be pressed until the calculated COE achieves it's final value.</t>
        </r>
      </text>
    </comment>
    <comment ref="S403" authorId="0" shapeId="0" xr:uid="{C4166D1E-F3E1-4C9C-882C-80FB105BA40C}">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404" authorId="1" shapeId="0" xr:uid="{90E66A20-B5A2-4703-825B-3BECC46B4170}">
      <text>
        <r>
          <rPr>
            <b/>
            <sz val="14"/>
            <color indexed="81"/>
            <rFont val="Tahoma"/>
            <family val="2"/>
          </rPr>
          <t>Note:</t>
        </r>
        <r>
          <rPr>
            <sz val="14"/>
            <color indexed="81"/>
            <rFont val="Tahoma"/>
            <family val="2"/>
          </rPr>
          <t xml:space="preserve">
This cell checks that the average debt service coverage ratio exceeds the user-defined minimum during the period for which debt is outstanding (see note in DSCR cell for definition and rationale for DSCR). If the test "fails", the user must choose from one of several options in order to cure this deficiency (the extent to which these options are available will be specific to each project):
1. reduce the amount of project level debt, 
2. increase the feed-in tariff rate in order to generate cash flow sufficient to meet the bank's assumed coverage requirement.  In the CREST model, </t>
        </r>
        <r>
          <rPr>
            <u/>
            <sz val="14"/>
            <color indexed="81"/>
            <rFont val="Tahoma"/>
            <family val="2"/>
          </rPr>
          <t>this is done by manually increasing the "Target After-Tax Equity IRR."</t>
        </r>
        <r>
          <rPr>
            <sz val="14"/>
            <color indexed="81"/>
            <rFont val="Tahoma"/>
            <family val="2"/>
          </rPr>
          <t xml:space="preserve">
Other possible, but less likely, mechanisms include:
3. increase the loan tenor
4. decrease the interest rate</t>
        </r>
      </text>
    </comment>
    <comment ref="I405" authorId="0" shapeId="0" xr:uid="{7250D1CE-24C1-4B9B-BDD1-9ABC2C9ACF99}">
      <text>
        <r>
          <rPr>
            <b/>
            <sz val="14"/>
            <color indexed="81"/>
            <rFont val="Tahoma"/>
            <family val="2"/>
          </rPr>
          <t xml:space="preserve">Note:
</t>
        </r>
        <r>
          <rPr>
            <sz val="14"/>
            <color indexed="81"/>
            <rFont val="Tahoma"/>
            <family val="2"/>
          </rPr>
          <t xml:space="preserve">The portion of total project cost funded from equity investors. This cell is a calculation and not an input. It is calculated as 100% minus the "% Debt" entered above.
</t>
        </r>
      </text>
    </comment>
    <comment ref="P405" authorId="0" shapeId="0" xr:uid="{73614645-C778-404F-87BB-1B7B7FAD35BE}">
      <text>
        <r>
          <rPr>
            <b/>
            <sz val="8"/>
            <color indexed="81"/>
            <rFont val="Tahoma"/>
            <family val="2"/>
          </rPr>
          <t>See "unit" definitions at the bottom of this worksheet.</t>
        </r>
        <r>
          <rPr>
            <sz val="8"/>
            <color indexed="81"/>
            <rFont val="Tahoma"/>
            <family val="2"/>
          </rPr>
          <t xml:space="preserve">
</t>
        </r>
      </text>
    </comment>
    <comment ref="I406" authorId="1" shapeId="0" xr:uid="{4C08F9A9-1AF3-4009-9081-A296F7BD85F8}">
      <text>
        <r>
          <rPr>
            <b/>
            <sz val="14"/>
            <color indexed="81"/>
            <rFont val="Tahoma"/>
            <family val="2"/>
          </rPr>
          <t>Note:</t>
        </r>
        <r>
          <rPr>
            <sz val="14"/>
            <color indexed="81"/>
            <rFont val="Tahoma"/>
            <family val="2"/>
          </rPr>
          <t xml:space="preserve">
The target after-tax equity IRR is the equity investor's cost of capital -- or "discount rate" -- and is the minimum rate of return that the project owner will seek to attain in order to justify the project compared to alternative investments.  
The user should be explicit in his or her assumption regarding the term over which the target after-tax IRR is assumed to be realized. For example, the user could elect to align the return requirement with the tariff payment duration. In this case, the project useful life should be set equal to the tariff duration in order to calculate the COE associated with the target IRR over that period of time. 
In a second example, the user could elect to align the return requirement with the project's useful life. In this case, the user can either assume a tariff duration equal to the project life, or assume market-based revenue for the period after the tariff and before the end of the assumed project useful life.
This input cannot be less than zero.
If a project is expected to be funded either by a pool of corporate funds or back-leveraged after commercial operation, the user might elect to enter 0% in the "% Debt" cell and enter a weighted average cost of capital (WACC) in the "Target After-Tax Equity IRR" cell.
</t>
        </r>
      </text>
    </comment>
    <comment ref="I407" authorId="0" shapeId="0" xr:uid="{4FFD3904-0D90-4C98-83FB-452AE970DDCD}">
      <text>
        <r>
          <rPr>
            <b/>
            <sz val="14"/>
            <color indexed="81"/>
            <rFont val="Tahoma"/>
            <family val="2"/>
          </rPr>
          <t xml:space="preserve">Note:
</t>
        </r>
        <r>
          <rPr>
            <sz val="14"/>
            <color indexed="81"/>
            <rFont val="Tahoma"/>
            <family val="2"/>
          </rPr>
          <t xml:space="preserve">The weighted average cost of capital combines the after-tax cost of both equity and debt in proportion to their use, and is calculated here for reference.
</t>
        </r>
      </text>
    </comment>
    <comment ref="S407" authorId="1" shapeId="0" xr:uid="{F93AC7A6-DBA4-4152-9690-92B2CD2AEB36}">
      <text>
        <r>
          <rPr>
            <b/>
            <sz val="14"/>
            <color indexed="81"/>
            <rFont val="Tahoma"/>
            <family val="2"/>
          </rPr>
          <t xml:space="preserve">Note:
</t>
        </r>
        <r>
          <rPr>
            <sz val="14"/>
            <color indexed="81"/>
            <rFont val="Tahoma"/>
            <family val="2"/>
          </rPr>
          <t xml:space="preserve">In order to ensure that project owners have sufficient funds to decommission and remove equipment at the end of a project's life, many owners choose to create and fund a reserve account throughout the course of project. 
This input cell allows the modeler to choose whether to pay for project removal by creating and funding a reserve account over the project life by selecting "Operations" or to assume that a project's removal will be funded by selling the equipment, by selecting "Salvage".
</t>
        </r>
      </text>
    </comment>
    <comment ref="I408" authorId="0" shapeId="0" xr:uid="{C57555A5-0238-4077-8065-D57B04D8FD7B}">
      <text>
        <r>
          <rPr>
            <b/>
            <sz val="14"/>
            <color indexed="81"/>
            <rFont val="Tahoma"/>
            <family val="2"/>
          </rPr>
          <t xml:space="preserve">Note:
</t>
        </r>
        <r>
          <rPr>
            <sz val="14"/>
            <color indexed="81"/>
            <rFont val="Tahoma"/>
            <family val="2"/>
          </rPr>
          <t>This cell represents the costs of both equity and debt due diligence (if applicable) and other transaction costs.
Input cannot be less than zero.</t>
        </r>
      </text>
    </comment>
    <comment ref="S408" authorId="0" shapeId="0" xr:uid="{F7878A45-3C36-4611-BCCA-CCEB5DF2B594}">
      <text>
        <r>
          <rPr>
            <b/>
            <sz val="14"/>
            <color indexed="81"/>
            <rFont val="Tahoma"/>
            <family val="2"/>
          </rPr>
          <t>Note:</t>
        </r>
        <r>
          <rPr>
            <sz val="14"/>
            <color indexed="81"/>
            <rFont val="Tahoma"/>
            <family val="2"/>
          </rPr>
          <t xml:space="preserve">
This input cell allows the user to assume the creation of a reserve account. The value entered here will be accounted for in the project's cash flow, and would be funded evenly over the number of years available between the project's commercial operation and the end of its useful life.
Input cannot be less than zero.
</t>
        </r>
      </text>
    </comment>
    <comment ref="P410" authorId="0" shapeId="0" xr:uid="{D0C72120-C4BA-4881-AA5E-048C1A92D280}">
      <text>
        <r>
          <rPr>
            <b/>
            <sz val="8"/>
            <color indexed="81"/>
            <rFont val="Tahoma"/>
            <family val="2"/>
          </rPr>
          <t>See "unit" definitions at the bottom of this worksheet.</t>
        </r>
        <r>
          <rPr>
            <sz val="8"/>
            <color indexed="81"/>
            <rFont val="Tahoma"/>
            <family val="2"/>
          </rPr>
          <t xml:space="preserve">
</t>
        </r>
      </text>
    </comment>
    <comment ref="I411" authorId="0" shapeId="0" xr:uid="{32E3842C-755E-4DE2-B74D-7245739A9516}">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at the project's "Total Installed Cost."
</t>
        </r>
      </text>
    </comment>
    <comment ref="I412" authorId="0" shapeId="0" xr:uid="{21A46E5A-6D43-4E46-AF93-5CFCC69733FC}">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t>
        </r>
      </text>
    </comment>
    <comment ref="S412" authorId="0" shapeId="0" xr:uid="{8C193985-40E9-473B-B929-9FE91F7ED781}">
      <text>
        <r>
          <rPr>
            <b/>
            <sz val="14"/>
            <color indexed="81"/>
            <rFont val="Tahoma"/>
            <family val="2"/>
          </rPr>
          <t>Note:</t>
        </r>
        <r>
          <rPr>
            <sz val="14"/>
            <color indexed="81"/>
            <rFont val="Tahoma"/>
            <family val="2"/>
          </rPr>
          <t xml:space="preserve">
Lenders typically require the project owner to establish a reserve account prior to the commencement of operations to ensure that loan repayments occur in full and on time even if the project has insufficient operating cash flow in a specific period due to lower than expected production, higher costs, or both. The size of the reserve account is typically equal to 6 months of debt service obligation.
Input cannot be less than zero.
</t>
        </r>
      </text>
    </comment>
    <comment ref="I413" authorId="0" shapeId="0" xr:uid="{8FC41F49-8F82-448A-8F99-5A5C7CA07BB6}">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As previously described, this value excludes the ITC Cash Grant, which must be financed prior to commercial operation.  
</t>
        </r>
      </text>
    </comment>
    <comment ref="S413" authorId="0" shapeId="0" xr:uid="{D5FA52AE-7FB3-41ED-98C7-DFA2692A1B59}">
      <text>
        <r>
          <rPr>
            <b/>
            <sz val="14"/>
            <color indexed="81"/>
            <rFont val="Tahoma"/>
            <family val="2"/>
          </rPr>
          <t>Note:</t>
        </r>
        <r>
          <rPr>
            <sz val="14"/>
            <color indexed="81"/>
            <rFont val="Tahoma"/>
            <family val="2"/>
          </rPr>
          <t xml:space="preserve">
Calculated value based on the # months of required reserve and the capital structure and associated periodic debt obligation.
</t>
        </r>
      </text>
    </comment>
    <comment ref="I414" authorId="0" shapeId="0" xr:uid="{36C45D60-E749-4D5D-B592-684A7961F436}">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t>
        </r>
      </text>
    </comment>
    <comment ref="S415" authorId="0" shapeId="0" xr:uid="{D0E26F3B-C603-4738-A5E7-268F688D385F}">
      <text>
        <r>
          <rPr>
            <b/>
            <sz val="14"/>
            <color indexed="81"/>
            <rFont val="Tahoma"/>
            <family val="2"/>
          </rPr>
          <t>Note:</t>
        </r>
        <r>
          <rPr>
            <sz val="14"/>
            <color indexed="81"/>
            <rFont val="Tahoma"/>
            <family val="2"/>
          </rPr>
          <t xml:space="preserve">
Lenders typically require the project owner to establish a reserve account prior to the commencement of operations to ensure that all O&amp;M expenses can be met even if the project has insufficient operating cash flow in a specific period due to lower than expected production, higher costs, or both. The size of the reserve account is typically 3 to 6 months of O&amp;M expenses, and includes all categories of O&amp;M expenses.
Input cannot be less than zero.
</t>
        </r>
      </text>
    </comment>
    <comment ref="F416" authorId="0" shapeId="0" xr:uid="{B866DD57-2A26-42C1-870B-C1E9B4EDEA75}">
      <text>
        <r>
          <rPr>
            <b/>
            <sz val="8"/>
            <color indexed="81"/>
            <rFont val="Tahoma"/>
            <family val="2"/>
          </rPr>
          <t>See "unit" definitions at the bottom of this worksheet.</t>
        </r>
        <r>
          <rPr>
            <sz val="8"/>
            <color indexed="81"/>
            <rFont val="Tahoma"/>
            <family val="2"/>
          </rPr>
          <t xml:space="preserve">
</t>
        </r>
      </text>
    </comment>
    <comment ref="S416" authorId="0" shapeId="0" xr:uid="{69C06E80-02EF-4E29-9556-EF5DD9487EA3}">
      <text>
        <r>
          <rPr>
            <b/>
            <sz val="14"/>
            <color indexed="81"/>
            <rFont val="Tahoma"/>
            <family val="2"/>
          </rPr>
          <t>Note:</t>
        </r>
        <r>
          <rPr>
            <sz val="14"/>
            <color indexed="81"/>
            <rFont val="Tahoma"/>
            <family val="2"/>
          </rPr>
          <t xml:space="preserve">
Calculated value based on the # months of required reserve and all annual operating expenses.
</t>
        </r>
      </text>
    </comment>
    <comment ref="I417" authorId="0" shapeId="0" xr:uid="{2E3BCAAD-09B6-4A33-9FF1-FF7AA06F2F2E}">
      <text>
        <r>
          <rPr>
            <b/>
            <sz val="14"/>
            <color indexed="81"/>
            <rFont val="Tahoma"/>
            <family val="2"/>
          </rPr>
          <t xml:space="preserve">Note:
</t>
        </r>
        <r>
          <rPr>
            <sz val="14"/>
            <color indexed="81"/>
            <rFont val="Tahoma"/>
            <family val="2"/>
          </rPr>
          <t xml:space="preserve">Defines whether the project owner is a taxable or non-taxable entity. This determines the treatment of income taxes and other tax-related items.
</t>
        </r>
      </text>
    </comment>
    <comment ref="S417" authorId="0" shapeId="0" xr:uid="{93578261-B65A-4DF7-AD70-733068480D6E}">
      <text>
        <r>
          <rPr>
            <b/>
            <sz val="14"/>
            <color indexed="81"/>
            <rFont val="Tahoma"/>
            <family val="2"/>
          </rPr>
          <t>Note:</t>
        </r>
        <r>
          <rPr>
            <sz val="14"/>
            <color indexed="81"/>
            <rFont val="Tahoma"/>
            <family val="2"/>
          </rPr>
          <t xml:space="preserve">
Unused reserves earn interest at this rate. Input cannot be less than zero.
</t>
        </r>
      </text>
    </comment>
    <comment ref="I418" authorId="0" shapeId="0" xr:uid="{A5204012-1C34-4EB2-B41B-445FEE372AC9}">
      <text>
        <r>
          <rPr>
            <b/>
            <sz val="14"/>
            <color indexed="81"/>
            <rFont val="Tahoma"/>
            <family val="2"/>
          </rPr>
          <t xml:space="preserve">Note:
</t>
        </r>
        <r>
          <rPr>
            <sz val="14"/>
            <color indexed="81"/>
            <rFont val="Tahoma"/>
            <family val="2"/>
          </rPr>
          <t xml:space="preserve">Defines the project's federal income tax rate, if applicable.
Input cannot be less than zero.
</t>
        </r>
      </text>
    </comment>
    <comment ref="I419" authorId="0" shapeId="0" xr:uid="{B8EF179F-8967-4860-A204-28DAB2BBDF8F}">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I420" authorId="0" shapeId="0" xr:uid="{35F0CC5A-4278-4CB5-8529-B4CC5659A95D}">
      <text>
        <r>
          <rPr>
            <b/>
            <sz val="14"/>
            <color indexed="81"/>
            <rFont val="Tahoma"/>
            <family val="2"/>
          </rPr>
          <t xml:space="preserve">Note:
</t>
        </r>
        <r>
          <rPr>
            <sz val="14"/>
            <color indexed="81"/>
            <rFont val="Tahoma"/>
            <family val="2"/>
          </rPr>
          <t xml:space="preserve">Defines the project's state income tax rate, if applicable.
Input cannot be less than zero.
</t>
        </r>
      </text>
    </comment>
    <comment ref="S420" authorId="0" shapeId="0" xr:uid="{86D5E0C2-8647-464E-A5AF-7A09DE96EC6A}">
      <text>
        <r>
          <rPr>
            <b/>
            <sz val="14"/>
            <color indexed="81"/>
            <rFont val="Tahoma"/>
            <family val="2"/>
          </rPr>
          <t>Note:</t>
        </r>
        <r>
          <rPr>
            <sz val="14"/>
            <color indexed="81"/>
            <rFont val="Tahoma"/>
            <family val="2"/>
          </rPr>
          <t xml:space="preserve">
To qualify for Bonus Depreciation the property must have a recovery period of 20 years or less (under normal federal tax depreciation rules), and the project must commence operation in the year in which bonus depreciation is in effect and under the ownership of the entity claiming the deduction. 
For qualifying projects, the owner is entitled to deduct 50% of the adjusted basis of the property during the tax year the property is first placed in service. The remaining 50% of the adjusted basis of the property is depreciated over the ordinary MACRS depreciation schedule. The bonus depreciation rules do not override the depreciation limit applicable to projects qualifying for the federal ITC. Before calculating depreciation for such a project, including any bonus depreciation, the adjusted basis of the project must be reduced by one-half of the amount of the ITC for which the project qualifies. 
</t>
        </r>
      </text>
    </comment>
    <comment ref="I421" authorId="0" shapeId="0" xr:uid="{A448FE8C-2DE2-4327-9DE3-BF1CDE67E625}">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P421" authorId="0" shapeId="0" xr:uid="{16D6F0AC-39B7-49AB-AEAB-623478688241}">
      <text>
        <r>
          <rPr>
            <b/>
            <sz val="12"/>
            <color indexed="81"/>
            <rFont val="Tahoma"/>
            <family val="2"/>
          </rPr>
          <t>Jason Gifford:</t>
        </r>
        <r>
          <rPr>
            <sz val="12"/>
            <color indexed="81"/>
            <rFont val="Tahoma"/>
            <family val="2"/>
          </rPr>
          <t xml:space="preserve">
The Consolidated Appropriations Act, signed in December 2015, extended the "placed in service" deadline for bonus depreciation. Equipment placed in service before January 1, 2018 can qualify for 50% bonus depreciation. Equipment placed in service during 2018 can qualify for 40% bonus depreciation. And equipment placed in service during 2019 can qualify for 30% bonus depreciation. </t>
        </r>
      </text>
    </comment>
    <comment ref="S421" authorId="0" shapeId="0" xr:uid="{7D32F691-E08C-4A43-976C-70AECAB999CD}">
      <text>
        <r>
          <rPr>
            <b/>
            <sz val="14"/>
            <color indexed="81"/>
            <rFont val="Tahoma"/>
            <family val="2"/>
          </rPr>
          <t>Note:</t>
        </r>
        <r>
          <rPr>
            <sz val="14"/>
            <color indexed="81"/>
            <rFont val="Tahoma"/>
            <family val="2"/>
          </rPr>
          <t xml:space="preserve">
This input allows the user to define the bonus depreciation % applied in Year 1, if applicable.  Historically, federal bonus depreciation has been 50% of the eligible cost basis (after taking into account reductions in such cost basis for the ITC, if applicable).  
Input cannot be less than zero.
</t>
        </r>
      </text>
    </comment>
    <comment ref="I422" authorId="0" shapeId="0" xr:uid="{82EC7332-FF8C-4BBA-A280-F0D41E8FDFF7}">
      <text>
        <r>
          <rPr>
            <b/>
            <sz val="14"/>
            <color indexed="81"/>
            <rFont val="Tahoma"/>
            <family val="2"/>
          </rPr>
          <t xml:space="preserve">Note:
</t>
        </r>
        <r>
          <rPr>
            <sz val="14"/>
            <color indexed="81"/>
            <rFont val="Tahoma"/>
            <family val="2"/>
          </rPr>
          <t xml:space="preserve">Takes into account the interaction between federal and state tax rates. This is a calculated value.
</t>
        </r>
      </text>
    </comment>
    <comment ref="I423" authorId="0" shapeId="0" xr:uid="{8F4EEF9C-BC8C-4534-B009-6D8DAE0BFA80}">
      <text>
        <r>
          <rPr>
            <b/>
            <sz val="14"/>
            <color indexed="81"/>
            <rFont val="Tahoma"/>
            <family val="2"/>
          </rPr>
          <t xml:space="preserve">Note:
</t>
        </r>
        <r>
          <rPr>
            <sz val="14"/>
            <color indexed="81"/>
            <rFont val="Tahoma"/>
            <family val="2"/>
          </rPr>
          <t>Depreciation accounts for the "use" of equipment for tax purposes. The depreciation inputs are provided in the table to the right and on the Complex Capital Costs tab when this option is selected.</t>
        </r>
      </text>
    </comment>
    <comment ref="AB424" authorId="0" shapeId="0" xr:uid="{18E14392-BA95-4B55-B2A7-ACC3941DA74F}">
      <text>
        <r>
          <rPr>
            <b/>
            <sz val="14"/>
            <color indexed="81"/>
            <rFont val="Tahoma"/>
            <family val="2"/>
          </rPr>
          <t>Note:</t>
        </r>
        <r>
          <rPr>
            <sz val="14"/>
            <color indexed="81"/>
            <rFont val="Tahoma"/>
            <family val="2"/>
          </rPr>
          <t xml:space="preserve">
When the "Simple" capital cost option is selected, the depreciation of total project costs is divided among the classifications using this row. The depreciation options associated with other levels of cost detail will be hidden.
</t>
        </r>
        <r>
          <rPr>
            <b/>
            <sz val="14"/>
            <color indexed="81"/>
            <rFont val="Tahoma"/>
            <family val="2"/>
          </rPr>
          <t xml:space="preserve">This row must sum to 100%.
</t>
        </r>
      </text>
    </comment>
    <comment ref="AB425" authorId="0" shapeId="0" xr:uid="{238DFDCA-4EB1-4DA0-A395-4382025B8C4A}">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426" authorId="0" shapeId="0" xr:uid="{9C812612-B3B8-40DA-918C-74EE2DAEA580}">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427" authorId="0" shapeId="0" xr:uid="{DFD387C4-B2CC-4D8D-B609-51236F5027EC}">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428" authorId="0" shapeId="0" xr:uid="{704D630F-B001-4A5E-BCE0-8303276497F6}">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429" authorId="0" shapeId="0" xr:uid="{36592C11-C8C9-4B4D-AE36-660EF698CC62}">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430" authorId="0" shapeId="0" xr:uid="{54C00057-2ABC-4037-9A18-17EF60EF33F1}">
      <text>
        <r>
          <rPr>
            <b/>
            <sz val="14"/>
            <color indexed="81"/>
            <rFont val="Tahoma"/>
            <family val="2"/>
          </rPr>
          <t>Note:</t>
        </r>
        <r>
          <rPr>
            <sz val="14"/>
            <color indexed="81"/>
            <rFont val="Tahoma"/>
            <family val="2"/>
          </rPr>
          <t xml:space="preserve">
When the "Complex" capital cost option is selected, each line items is assigned its own depreciation classification using a drop-down menu on the Complex Capital Costs tab.
</t>
        </r>
      </text>
    </comment>
    <comment ref="C435" authorId="0" shapeId="0" xr:uid="{CCD3D921-8700-42F4-ADC0-57D3EC49C924}">
      <text>
        <r>
          <rPr>
            <sz val="14"/>
            <color indexed="81"/>
            <rFont val="Tahoma"/>
            <family val="2"/>
          </rPr>
          <t xml:space="preserve">The "Check" column evaluates whether or not values have been enterred in all required fields.  Green denotes an accepted entry in a required field or a calculation for which the minimum required precedents have been satisfied.  Red denotes the absence of an entry in a required field, or a calculation for which the minimum required precendents have NOT been satisfied.
</t>
        </r>
        <r>
          <rPr>
            <b/>
            <sz val="14"/>
            <color indexed="81"/>
            <rFont val="Tahoma"/>
            <family val="2"/>
          </rPr>
          <t>Please note</t>
        </r>
        <r>
          <rPr>
            <sz val="14"/>
            <color indexed="81"/>
            <rFont val="Tahoma"/>
            <family val="2"/>
          </rPr>
          <t xml:space="preserve"> that while the "Check" column ensures the population of all required fields, this column does NOT validate the magnitude of such entries.  It is the model user's responsibility to provide inputs which accurately represent the project being modeled.  In some cases, a range of typical values for a specified input are provided in that input's "Notes" cell.</t>
        </r>
      </text>
    </comment>
    <comment ref="I435" authorId="0" shapeId="0" xr:uid="{5DF2C110-01F2-4EE1-A16C-55E1379C6732}">
      <text>
        <r>
          <rPr>
            <sz val="14"/>
            <color indexed="81"/>
            <rFont val="Tahoma"/>
            <family val="2"/>
          </rPr>
          <t xml:space="preserve">Each cell in the "Notes" column provides a brief description of the input in the corresponding row, its application within the model, and (in some cases) the range of values that might be expected to populate that  input cell.  It is the model user's responsibility, however, to research and validate the applicability of, and appropriate value for, each input.
</t>
        </r>
        <r>
          <rPr>
            <sz val="8"/>
            <color indexed="81"/>
            <rFont val="Tahoma"/>
            <family val="2"/>
          </rPr>
          <t xml:space="preserve">
</t>
        </r>
      </text>
    </comment>
    <comment ref="M435" authorId="0" shapeId="0" xr:uid="{D76A81C4-1C60-45AC-8DF2-A25B6A6E18C2}">
      <text>
        <r>
          <rPr>
            <sz val="14"/>
            <color indexed="81"/>
            <rFont val="Tahoma"/>
            <family val="2"/>
          </rPr>
          <t xml:space="preserve">The "Check" column evaluates whether or not values have been enterred in all required fields.  Green denotes an accepted entry in a required field or a calculation for which the minimum required precedents have been satisfied.  Red denotes the absence of an entry in a required field, or a calculation for which the minimum required precendents have NOT been satisfied.
</t>
        </r>
        <r>
          <rPr>
            <b/>
            <sz val="14"/>
            <color indexed="81"/>
            <rFont val="Tahoma"/>
            <family val="2"/>
          </rPr>
          <t>Please note</t>
        </r>
        <r>
          <rPr>
            <sz val="14"/>
            <color indexed="81"/>
            <rFont val="Tahoma"/>
            <family val="2"/>
          </rPr>
          <t xml:space="preserve"> that while the "Check" column ensures the population of all required fields, this column does NOT validate the magnitude of such entries.  It is the model user's responsibility to provide inputs which accurately represent the project being modeled.  In some cases, a range of typical values for a specified input are provided in that input's "Notes" cell.</t>
        </r>
      </text>
    </comment>
    <comment ref="S435" authorId="0" shapeId="0" xr:uid="{C6B9C329-31FE-437A-82DE-4C89034505D9}">
      <text>
        <r>
          <rPr>
            <sz val="14"/>
            <color indexed="81"/>
            <rFont val="Tahoma"/>
            <family val="2"/>
          </rPr>
          <t>Each cell in the "Notes" column provides a brief description of the input in the corresponding row, its application within the model, and (in some cases) the range of values that might be expected to populate that  input cell. It is the model user's responsibility, however, to research and validate the applicability of, and appropriate value for, each input.</t>
        </r>
        <r>
          <rPr>
            <sz val="8"/>
            <color indexed="81"/>
            <rFont val="Tahoma"/>
            <family val="2"/>
          </rPr>
          <t xml:space="preserve">
</t>
        </r>
      </text>
    </comment>
    <comment ref="F437" authorId="0" shapeId="0" xr:uid="{77CC71C7-FA74-405C-B197-5FB14392820C}">
      <text>
        <r>
          <rPr>
            <b/>
            <sz val="8"/>
            <color indexed="81"/>
            <rFont val="Tahoma"/>
            <family val="2"/>
          </rPr>
          <t>See "unit" definitions at the bottom of this worksheet.</t>
        </r>
        <r>
          <rPr>
            <sz val="8"/>
            <color indexed="81"/>
            <rFont val="Tahoma"/>
            <family val="2"/>
          </rPr>
          <t xml:space="preserve">
</t>
        </r>
      </text>
    </comment>
    <comment ref="P437" authorId="0" shapeId="0" xr:uid="{3329FD2F-E2C9-4D75-A850-8F8207FFA54E}">
      <text>
        <r>
          <rPr>
            <b/>
            <sz val="8"/>
            <color indexed="81"/>
            <rFont val="Tahoma"/>
            <family val="2"/>
          </rPr>
          <t>See "unit" definitions at the bottom of this worksheet.</t>
        </r>
        <r>
          <rPr>
            <sz val="8"/>
            <color indexed="81"/>
            <rFont val="Tahoma"/>
            <family val="2"/>
          </rPr>
          <t xml:space="preserve">
</t>
        </r>
      </text>
    </comment>
    <comment ref="I438" authorId="1" shapeId="0" xr:uid="{66169318-D99F-4CC7-A2EE-743558443D13}">
      <text>
        <r>
          <rPr>
            <b/>
            <sz val="14"/>
            <color indexed="81"/>
            <rFont val="Tahoma"/>
            <family val="2"/>
          </rPr>
          <t>Note:</t>
        </r>
        <r>
          <rPr>
            <sz val="14"/>
            <color indexed="81"/>
            <rFont val="Tahoma"/>
            <family val="2"/>
          </rPr>
          <t xml:space="preserve">
This is the aggregate nameplate rating for the entire generating facility.
Input must be greater than zero.
</t>
        </r>
      </text>
    </comment>
    <comment ref="S438" authorId="1" shapeId="0" xr:uid="{1D9CCFBE-488C-4E63-872B-9A2E1E294E1A}">
      <text>
        <r>
          <rPr>
            <b/>
            <sz val="14"/>
            <color indexed="81"/>
            <rFont val="Tahoma"/>
            <family val="2"/>
          </rPr>
          <t xml:space="preserve">Note:
</t>
        </r>
        <r>
          <rPr>
            <sz val="14"/>
            <color indexed="81"/>
            <rFont val="Tahoma"/>
            <family val="2"/>
          </rPr>
          <t xml:space="preserve">The FIT contract length is the number of years for which the rate specified by this model is available. This term is established by policymakers and must be less than or equal to the project's useful life.  
The contract duration is also different than the debt tenor (if applicable), which is specified in the Permanent Financing section below.
</t>
        </r>
      </text>
    </comment>
    <comment ref="I439" authorId="1" shapeId="0" xr:uid="{2D613390-2AB8-4054-B092-467F84EB5B5B}">
      <text>
        <r>
          <rPr>
            <b/>
            <sz val="14"/>
            <color indexed="81"/>
            <rFont val="Tahoma"/>
            <family val="2"/>
          </rPr>
          <t>Note:</t>
        </r>
        <r>
          <rPr>
            <sz val="14"/>
            <color indexed="81"/>
            <rFont val="Tahoma"/>
            <family val="2"/>
          </rPr>
          <t xml:space="preserve">
Capacity Factor is the % representation of the actual production vs. the theoretical maximum annual production of an energy project. This model requires the input of a </t>
        </r>
        <r>
          <rPr>
            <b/>
            <sz val="14"/>
            <color indexed="81"/>
            <rFont val="Tahoma"/>
            <family val="2"/>
          </rPr>
          <t>Net Capacity Factor</t>
        </r>
        <r>
          <rPr>
            <sz val="14"/>
            <color indexed="81"/>
            <rFont val="Tahoma"/>
            <family val="2"/>
          </rPr>
          <t xml:space="preserve">, meaning that the estimate of actual energy production should take into account all electricity losses (including those incurred between the generating facility and the contract delivery point), scheduled and unscheduled maintenance, forced outages, wake effects, icing, and any other factors that could reduce production.
Wind projects typically have a capacity factor between 25% and 40% depending on region and site-specific topography. 
Input must be between 0% and 100%.
</t>
        </r>
      </text>
    </comment>
    <comment ref="S439" authorId="1" shapeId="0" xr:uid="{F1594768-39CE-45DD-B3A0-B00F212AF28F}">
      <text>
        <r>
          <rPr>
            <b/>
            <sz val="14"/>
            <color indexed="81"/>
            <rFont val="Tahoma"/>
            <family val="2"/>
          </rPr>
          <t xml:space="preserve">Note:
</t>
        </r>
        <r>
          <rPr>
            <sz val="14"/>
            <color indexed="81"/>
            <rFont val="Tahoma"/>
            <family val="2"/>
          </rPr>
          <t xml:space="preserve">This is the portion (%) of the tariff which is subject to annual escalation.  
Program administrators may determine that some or all of the tariff rate should be escalated to reflect the uncertainty associated with the future cost of owning and operating an electricity generating facility. This input is separate from the inflation assumed to apply to certain O&amp;M expenses, which is provided as an input in the O&amp;M section below.
Input must be between 0% and 100%.
</t>
        </r>
      </text>
    </comment>
    <comment ref="I440" authorId="1" shapeId="0" xr:uid="{4EBEF3FC-E01D-477D-B1E5-D23E5233ABF8}">
      <text>
        <r>
          <rPr>
            <b/>
            <sz val="14"/>
            <color indexed="81"/>
            <rFont val="Tahoma"/>
            <family val="2"/>
          </rPr>
          <t>Note:</t>
        </r>
        <r>
          <rPr>
            <sz val="14"/>
            <color indexed="81"/>
            <rFont val="Tahoma"/>
            <family val="2"/>
          </rPr>
          <t xml:space="preserve">
This is a calculation, based on the system size and capacity factor provided above. 
</t>
        </r>
      </text>
    </comment>
    <comment ref="S440" authorId="1" shapeId="0" xr:uid="{A8240617-AF23-469B-837D-A39E8D5C0F27}">
      <text>
        <r>
          <rPr>
            <b/>
            <sz val="14"/>
            <color indexed="81"/>
            <rFont val="Tahoma"/>
            <family val="2"/>
          </rPr>
          <t xml:space="preserve">Note:
</t>
        </r>
        <r>
          <rPr>
            <sz val="14"/>
            <color indexed="81"/>
            <rFont val="Tahoma"/>
            <family val="2"/>
          </rPr>
          <t xml:space="preserve">To calculate a </t>
        </r>
        <r>
          <rPr>
            <b/>
            <sz val="14"/>
            <color indexed="81"/>
            <rFont val="Tahoma"/>
            <family val="2"/>
          </rPr>
          <t>nominal levelized tariff rate</t>
        </r>
        <r>
          <rPr>
            <sz val="14"/>
            <color indexed="81"/>
            <rFont val="Tahoma"/>
            <family val="2"/>
          </rPr>
          <t xml:space="preserve">, the "feed-in tariff escalation rate" field should be </t>
        </r>
        <r>
          <rPr>
            <b/>
            <sz val="14"/>
            <color indexed="81"/>
            <rFont val="Tahoma"/>
            <family val="2"/>
          </rPr>
          <t>set to zero</t>
        </r>
        <r>
          <rPr>
            <sz val="14"/>
            <color indexed="81"/>
            <rFont val="Tahoma"/>
            <family val="2"/>
          </rPr>
          <t>.</t>
        </r>
        <r>
          <rPr>
            <b/>
            <sz val="14"/>
            <color indexed="81"/>
            <rFont val="Tahoma"/>
            <family val="2"/>
          </rPr>
          <t xml:space="preserve">
</t>
        </r>
        <r>
          <rPr>
            <sz val="14"/>
            <color indexed="81"/>
            <rFont val="Tahoma"/>
            <family val="2"/>
          </rPr>
          <t xml:space="preserve">Where applied, tariff rate escalation is intended to serve as a risk mitigating tool, at least partially protecting the project investor from the uncertainty associated with the future cost of owning and operating the renewable energy facility. The escalation rate can be used to assume a year over year increase in all, or a portion, of the per unit payment provided to eligible generators. This concept is separate from inflationary adjustments to future operating cost assumptions -- which are input below.
This rate is applied annually.  Note that in this model, calendar years and tariff years are aligned.
</t>
        </r>
        <r>
          <rPr>
            <b/>
            <sz val="14"/>
            <color indexed="81"/>
            <rFont val="Tahoma"/>
            <family val="2"/>
          </rPr>
          <t>Caution:</t>
        </r>
        <r>
          <rPr>
            <sz val="14"/>
            <color indexed="81"/>
            <rFont val="Tahoma"/>
            <family val="2"/>
          </rPr>
          <t xml:space="preserve"> A value must be entered into this cell in order for the model to function properly. The input can be positive or negative (if the FIT value decreases over time), and a typical value may fall between 0% and 5%.  
</t>
        </r>
      </text>
    </comment>
    <comment ref="I441" authorId="1" shapeId="0" xr:uid="{B9551165-CAC4-4056-944D-8DF6ABFB003E}">
      <text>
        <r>
          <rPr>
            <b/>
            <sz val="14"/>
            <color indexed="81"/>
            <rFont val="Tahoma"/>
            <family val="2"/>
          </rPr>
          <t>Note:</t>
        </r>
        <r>
          <rPr>
            <sz val="14"/>
            <color indexed="81"/>
            <rFont val="Tahoma"/>
            <family val="2"/>
          </rPr>
          <t xml:space="preserve">
The natural aging of the mechanical components of a wind turbine generator may lead to a drop in turbine availability (or efficiency), and therefore production, over time.  
This input allows the user to model the potential for such degradation, which may be between 0% and 2% per year.
</t>
        </r>
        <r>
          <rPr>
            <b/>
            <sz val="14"/>
            <color indexed="81"/>
            <rFont val="Tahoma"/>
            <family val="2"/>
          </rPr>
          <t>If the modeled "Net Capacity Factor" is intented to take long-term average availability into account, then the user may wish to enter 0% in the Annual Production Degradation field.</t>
        </r>
        <r>
          <rPr>
            <sz val="14"/>
            <color indexed="81"/>
            <rFont val="Tahoma"/>
            <family val="2"/>
          </rPr>
          <t xml:space="preserve">
Input must be =&gt; 0%.
</t>
        </r>
      </text>
    </comment>
    <comment ref="I442" authorId="1" shapeId="0" xr:uid="{B8D894EF-0277-4C36-986F-F8DD133B6F59}">
      <text>
        <r>
          <rPr>
            <b/>
            <sz val="14"/>
            <color indexed="81"/>
            <rFont val="Tahoma"/>
            <family val="2"/>
          </rPr>
          <t xml:space="preserve">Note:
</t>
        </r>
        <r>
          <rPr>
            <sz val="14"/>
            <color indexed="81"/>
            <rFont val="Tahoma"/>
            <family val="2"/>
          </rPr>
          <t xml:space="preserve">The Project Useful Life is the number of years that the project is expected to be fully operational, reliably delivering electricity to the grid, and generating revenue. This concept is different from the FIT Contract Length, which is administratively determined by policymakers. These two values may be the same if a FIT contract is offered for the project's entire expected useful life. This approach is likely to generate the lowest tariff rate, while successfully attracting investors to renewable energy projects.  
The CREST model is built for a maximum Project Useful Life of 30 years.
Input must be greater than 0 and less than or equal to 30.
</t>
        </r>
      </text>
    </comment>
    <comment ref="S442" authorId="1" shapeId="0" xr:uid="{312E696B-30E7-49B0-AC36-1BCB8CA78556}">
      <text>
        <r>
          <rPr>
            <b/>
            <sz val="14"/>
            <color indexed="81"/>
            <rFont val="Tahoma"/>
            <family val="2"/>
          </rPr>
          <t xml:space="preserve">Note:
</t>
        </r>
        <r>
          <rPr>
            <sz val="14"/>
            <color indexed="81"/>
            <rFont val="Tahoma"/>
            <family val="2"/>
          </rPr>
          <t>If the designated "FIT Contract Length" is less than the defined "Project Useful Life", then this grouping of inputs is used to calculate the project's market-based revenue during the period from FIT contract expiration to the end of the project's life.</t>
        </r>
        <r>
          <rPr>
            <b/>
            <sz val="14"/>
            <color indexed="81"/>
            <rFont val="Tahoma"/>
            <family val="2"/>
          </rPr>
          <t xml:space="preserve">
</t>
        </r>
        <r>
          <rPr>
            <sz val="14"/>
            <color indexed="81"/>
            <rFont val="Tahoma"/>
            <family val="2"/>
          </rPr>
          <t xml:space="preserve">
</t>
        </r>
      </text>
    </comment>
    <comment ref="S443" authorId="1" shapeId="0" xr:uid="{0BDEB027-CF8C-4611-925A-AAB4175421ED}">
      <text>
        <r>
          <rPr>
            <b/>
            <sz val="14"/>
            <color indexed="81"/>
            <rFont val="Tahoma"/>
            <family val="2"/>
          </rPr>
          <t xml:space="preserve">Note:
</t>
        </r>
        <r>
          <rPr>
            <sz val="14"/>
            <color indexed="81"/>
            <rFont val="Tahoma"/>
            <family val="2"/>
          </rPr>
          <t>Selecting "Year One" forecasts the total market value of production based on an estimate of that value in the project's first year of commercial operation and a user-defined escalation rate.  
Selecting "Year-by-Year" enables the user to enter unique annual values for the period after the FIT expires and before the end of the project's useful life.</t>
        </r>
        <r>
          <rPr>
            <b/>
            <sz val="14"/>
            <color indexed="81"/>
            <rFont val="Tahoma"/>
            <family val="2"/>
          </rPr>
          <t xml:space="preserve">
</t>
        </r>
        <r>
          <rPr>
            <sz val="14"/>
            <color indexed="81"/>
            <rFont val="Tahoma"/>
            <family val="2"/>
          </rPr>
          <t xml:space="preserve">
</t>
        </r>
      </text>
    </comment>
    <comment ref="F444" authorId="0" shapeId="0" xr:uid="{8F778306-77F6-4DA2-856B-28AD1C5C6144}">
      <text>
        <r>
          <rPr>
            <b/>
            <sz val="8"/>
            <color indexed="81"/>
            <rFont val="Tahoma"/>
            <family val="2"/>
          </rPr>
          <t>See "unit" definitions at the bottom of this worksheet.</t>
        </r>
        <r>
          <rPr>
            <sz val="8"/>
            <color indexed="81"/>
            <rFont val="Tahoma"/>
            <family val="2"/>
          </rPr>
          <t xml:space="preserve">
</t>
        </r>
      </text>
    </comment>
    <comment ref="S444" authorId="1" shapeId="0" xr:uid="{02B42175-6D91-43BE-A468-88764185A77E}">
      <text>
        <r>
          <rPr>
            <b/>
            <sz val="14"/>
            <color indexed="81"/>
            <rFont val="Tahoma"/>
            <family val="2"/>
          </rPr>
          <t xml:space="preserve">Note:
</t>
        </r>
        <r>
          <rPr>
            <sz val="14"/>
            <color indexed="81"/>
            <rFont val="Tahoma"/>
            <family val="2"/>
          </rPr>
          <t xml:space="preserve">This is the </t>
        </r>
        <r>
          <rPr>
            <b/>
            <sz val="14"/>
            <color indexed="81"/>
            <rFont val="Tahoma"/>
            <family val="2"/>
          </rPr>
          <t>combined</t>
        </r>
        <r>
          <rPr>
            <sz val="14"/>
            <color indexed="81"/>
            <rFont val="Tahoma"/>
            <family val="2"/>
          </rPr>
          <t xml:space="preserve"> (or "bundled") market value of energy + capacity + Renewable Energy Credtis (RECs) in the same year in which the project's first enters commercial operation.
This input must be greater than zero.
</t>
        </r>
      </text>
    </comment>
    <comment ref="I445" authorId="1" shapeId="0" xr:uid="{3C7472EB-684D-4FA7-AE06-E8FA025712F6}">
      <text>
        <r>
          <rPr>
            <b/>
            <sz val="14"/>
            <color indexed="81"/>
            <rFont val="Tahoma"/>
            <family val="2"/>
          </rPr>
          <t>Note:</t>
        </r>
        <r>
          <rPr>
            <sz val="14"/>
            <color indexed="81"/>
            <rFont val="Tahoma"/>
            <family val="2"/>
          </rPr>
          <t xml:space="preserve">
This model alllows the user to input system cost at 1 of 3 levels of detail: "simple", "intermediate" or "complex." Simple offers a single input in $/kW, Intermediate offers five cost subcategories in total dollars, and Complex offers line-by-line project costing with user-defined categories and costs per line-item.  
Select your preferred method and use the cells below to enter your cost information. If you choose the "Complex" option, you will need to follow the link below to the "Complex Capital Costs" tab.</t>
        </r>
      </text>
    </comment>
    <comment ref="S445" authorId="1" shapeId="0" xr:uid="{26A500F2-AC57-469E-BB1E-20066EC004CD}">
      <text>
        <r>
          <rPr>
            <b/>
            <sz val="14"/>
            <color indexed="81"/>
            <rFont val="Tahoma"/>
            <family val="2"/>
          </rPr>
          <t xml:space="preserve">Note:
</t>
        </r>
        <r>
          <rPr>
            <sz val="14"/>
            <color indexed="81"/>
            <rFont val="Tahoma"/>
            <family val="2"/>
          </rPr>
          <t xml:space="preserve">When the "Year One" forecast methodology is selected, this is the user-defined escalation rate at which the market value of production is expected to change.
Input must be greater than zero.
</t>
        </r>
      </text>
    </comment>
    <comment ref="I446" authorId="1" shapeId="0" xr:uid="{C52CD556-006E-458A-B342-264355976AA6}">
      <text>
        <r>
          <rPr>
            <b/>
            <sz val="14"/>
            <color indexed="81"/>
            <rFont val="Tahoma"/>
            <family val="2"/>
          </rPr>
          <t>Note:</t>
        </r>
        <r>
          <rPr>
            <sz val="14"/>
            <color indexed="81"/>
            <rFont val="Tahoma"/>
            <family val="2"/>
          </rPr>
          <t xml:space="preserve">
When "Simple" is selected in the Cost Level of Detail cell, this "Total Installed Cost" row represents the total expected all-in project cost, which should include all hardware, balance of plant, interconnection, design, construction, permitting, development (including developer fee), interest during construction and financing costs. This figure should not account for any tax incentives, grants, or other cash incentives, each of which will be addressed elsewhere in the model. This figure should, however, reflect any applicable sales tax or exemptions thereof.
Input must be greater than zero.
</t>
        </r>
      </text>
    </comment>
    <comment ref="S446" authorId="1" shapeId="0" xr:uid="{6A87A59D-B274-4496-AB66-3B64F1A4EB6B}">
      <text>
        <r>
          <rPr>
            <b/>
            <sz val="14"/>
            <color indexed="81"/>
            <rFont val="Tahoma"/>
            <family val="2"/>
          </rPr>
          <t xml:space="preserve">Note:
</t>
        </r>
        <r>
          <rPr>
            <sz val="14"/>
            <color indexed="81"/>
            <rFont val="Tahoma"/>
            <family val="2"/>
          </rPr>
          <t xml:space="preserve">When "Year-by-Year" market value of production forecast is selected, this link brings the user to another worksheet on which unique annual values may be entered.
</t>
        </r>
      </text>
    </comment>
    <comment ref="I447" authorId="1" shapeId="0" xr:uid="{AF1BAE4D-FFF8-498B-9B4B-D56E182359D0}">
      <text>
        <r>
          <rPr>
            <b/>
            <sz val="14"/>
            <color indexed="81"/>
            <rFont val="Tahoma"/>
            <family val="2"/>
          </rPr>
          <t>Note:</t>
        </r>
        <r>
          <rPr>
            <sz val="14"/>
            <color indexed="81"/>
            <rFont val="Tahoma"/>
            <family val="2"/>
          </rPr>
          <t xml:space="preserve">
"Generation Equipment" should include hardware such as the generator, blades and tower.  
Caution: the model assumes that if "Intermediate" is selected as the level of detail section, the "Generation Equipment" row must have a value greater than zero. 
</t>
        </r>
      </text>
    </comment>
    <comment ref="I448" authorId="1" shapeId="0" xr:uid="{AA2F7F17-3776-47B0-B6AA-A3B96B642DBE}">
      <text>
        <r>
          <rPr>
            <b/>
            <sz val="14"/>
            <color indexed="81"/>
            <rFont val="Tahoma"/>
            <family val="2"/>
          </rPr>
          <t>Note:</t>
        </r>
        <r>
          <rPr>
            <sz val="14"/>
            <color indexed="81"/>
            <rFont val="Tahoma"/>
            <family val="2"/>
          </rPr>
          <t xml:space="preserve">
Balance of Plant (also known as Balance of System) represents all infrastructure, site prep and labor supporting the installation of the generation equipment. BOP costs include foundations, mounting devices, other hardware, and labor not already accounted for in the "Generation Equipment" row.
Input cannot be less than zero.
</t>
        </r>
      </text>
    </comment>
    <comment ref="P448" authorId="0" shapeId="0" xr:uid="{09688E29-3132-4177-BDE7-7ED4814F5B0D}">
      <text>
        <r>
          <rPr>
            <b/>
            <sz val="8"/>
            <color indexed="81"/>
            <rFont val="Tahoma"/>
            <family val="2"/>
          </rPr>
          <t>See "unit" definitions at the bottom of this worksheet.</t>
        </r>
        <r>
          <rPr>
            <sz val="8"/>
            <color indexed="81"/>
            <rFont val="Tahoma"/>
            <family val="2"/>
          </rPr>
          <t xml:space="preserve">
</t>
        </r>
      </text>
    </comment>
    <comment ref="I449" authorId="1" shapeId="0" xr:uid="{B6488726-22E5-42B6-9D78-5EA09BEA6383}">
      <text>
        <r>
          <rPr>
            <b/>
            <sz val="14"/>
            <color indexed="81"/>
            <rFont val="Tahoma"/>
            <family val="2"/>
          </rPr>
          <t>Note:</t>
        </r>
        <r>
          <rPr>
            <sz val="14"/>
            <color indexed="81"/>
            <rFont val="Tahoma"/>
            <family val="2"/>
          </rPr>
          <t xml:space="preserve">
The "Interconnection" row should account for all project costs relating to connecting to the grid, such as the construction of transmission lines, permitting costs with the utility, and start-up costs. This category will also include the cost of a new substation, if necessary.
Regulators wishing to explore the potential that interconnection costs may be recovered from ratepayers separately can elect to enter zeros in this cost category whenever "Intermediate" or "Complex" is selected.
Input cannot be less than zero.
</t>
        </r>
      </text>
    </comment>
    <comment ref="S449" authorId="0" shapeId="0" xr:uid="{F1B6DBC4-03D4-4726-9A96-00CAF09D0EAD}">
      <text>
        <r>
          <rPr>
            <b/>
            <sz val="14"/>
            <color indexed="81"/>
            <rFont val="Tahoma"/>
            <family val="2"/>
          </rPr>
          <t xml:space="preserve">Note:
</t>
        </r>
        <r>
          <rPr>
            <sz val="14"/>
            <color indexed="81"/>
            <rFont val="Tahoma"/>
            <family val="2"/>
          </rPr>
          <t>This drop-down input cell allows the user to specify whether federal incentives are cost-based (e.g. an investment tax credit) or performance-based (e.g. a PTC). The magnitude and terms of these incentives are set in the cells below.
For more information, a useful resource for researching federal and state incentives online is:  
http://dsireusa.org/
*See bottom of introduction page for a list of links</t>
        </r>
      </text>
    </comment>
    <comment ref="E450" authorId="0" shapeId="0" xr:uid="{20263CC8-F1E5-41B7-9564-FBC85FE1FDAE}">
      <text>
        <r>
          <rPr>
            <b/>
            <sz val="14"/>
            <color indexed="81"/>
            <rFont val="Tahoma"/>
            <family val="2"/>
          </rPr>
          <t>Jason Gifford:</t>
        </r>
        <r>
          <rPr>
            <sz val="14"/>
            <color indexed="81"/>
            <rFont val="Tahoma"/>
            <family val="2"/>
          </rPr>
          <t xml:space="preserve">
Converted to "admin cost" for community remote DG</t>
        </r>
      </text>
    </comment>
    <comment ref="I450" authorId="1" shapeId="0" xr:uid="{D5870BA9-F81D-4222-A551-43ADCDBA37E5}">
      <text>
        <r>
          <rPr>
            <b/>
            <sz val="14"/>
            <color indexed="81"/>
            <rFont val="Tahoma"/>
            <family val="2"/>
          </rPr>
          <t>Note:</t>
        </r>
        <r>
          <rPr>
            <sz val="8"/>
            <color indexed="81"/>
            <rFont val="Tahoma"/>
            <family val="2"/>
          </rPr>
          <t xml:space="preserve">
</t>
        </r>
        <r>
          <rPr>
            <sz val="14"/>
            <color indexed="81"/>
            <rFont val="Tahoma"/>
            <family val="2"/>
          </rPr>
          <t xml:space="preserve">The "Development Costs" row should include all costs relating to project management, studies, engineering, permitting, contingencies, success fees, and other soft costs not accounted for elsewhere in the "Intermediate" cost breakdown. 
Input cannot be less than zero.
</t>
        </r>
      </text>
    </comment>
    <comment ref="S450" authorId="1" shapeId="0" xr:uid="{C97932AB-681E-4FE5-9A01-1CC758F68177}">
      <text>
        <r>
          <rPr>
            <b/>
            <sz val="14"/>
            <color indexed="81"/>
            <rFont val="Tahoma"/>
            <family val="2"/>
          </rPr>
          <t xml:space="preserve">Note:
</t>
        </r>
        <r>
          <rPr>
            <sz val="14"/>
            <color indexed="81"/>
            <rFont val="Tahoma"/>
            <family val="2"/>
          </rPr>
          <t>Some renewable energy projects may be eligible to take advantagee of Federal incentives such as the Investment Tax Credit or a Treasury Grant. Information on eligibility for funding opportunities such as these is available online at:
http://dsireusa.org/incentives/incentive.cfm?Incentive_Code=US02F&amp;re=1&amp;ee=1
*See bottom of introduction page for a list of links</t>
        </r>
        <r>
          <rPr>
            <b/>
            <sz val="14"/>
            <color indexed="81"/>
            <rFont val="Tahoma"/>
            <family val="2"/>
          </rPr>
          <t xml:space="preserve">
</t>
        </r>
        <r>
          <rPr>
            <sz val="14"/>
            <color indexed="81"/>
            <rFont val="Tahoma"/>
            <family val="2"/>
          </rPr>
          <t xml:space="preserve">
</t>
        </r>
      </text>
    </comment>
    <comment ref="I451" authorId="1" shapeId="0" xr:uid="{AD63A731-3448-4521-9B54-D66BCB02FB27}">
      <text>
        <r>
          <rPr>
            <b/>
            <sz val="14"/>
            <color indexed="81"/>
            <rFont val="Tahoma"/>
            <family val="2"/>
          </rPr>
          <t>Note:</t>
        </r>
        <r>
          <rPr>
            <sz val="14"/>
            <color indexed="81"/>
            <rFont val="Tahoma"/>
            <family val="2"/>
          </rPr>
          <t xml:space="preserve">
The "Reserves &amp; Financing Costs" row accounts for all costs relating to financing, such as lender fees, closing costs, legal fees, interest during construction, due diligence costs, and any other relevant, financing relating costs. The model calculates this field by aggregating G22 through G25, G51, G54, G63, G66, Q57 and Q60.
</t>
        </r>
      </text>
    </comment>
    <comment ref="S451" authorId="0" shapeId="0" xr:uid="{6F28FF6C-6B18-42CC-8DFA-EFFCF5E19439}">
      <text>
        <r>
          <rPr>
            <b/>
            <sz val="14"/>
            <color indexed="81"/>
            <rFont val="Tahoma"/>
            <family val="2"/>
          </rPr>
          <t xml:space="preserve">NOTE:
</t>
        </r>
        <r>
          <rPr>
            <sz val="14"/>
            <color indexed="81"/>
            <rFont val="Tahoma"/>
            <family val="2"/>
          </rPr>
          <t xml:space="preserve">The maximum potential Investment Tax Credit (ITC) benefit is assumed to be 30% of those project costs which are depreciable on the 5-year MACRS schedule.  This 'eligible costs' assumption is purposefully simplified for this analysis.  Project costs depreciated on other bases may also be eligible for the ITC.  Developers should consult with tax counsel for project-specific depreciation and ITC treatment of each project cost.
</t>
        </r>
        <r>
          <rPr>
            <sz val="8"/>
            <color indexed="81"/>
            <rFont val="Tahoma"/>
            <family val="2"/>
          </rPr>
          <t xml:space="preserve">
</t>
        </r>
      </text>
    </comment>
    <comment ref="I452" authorId="1" shapeId="0" xr:uid="{EDC3CEB3-D926-4B88-8C62-0C4A419F43D0}">
      <text>
        <r>
          <rPr>
            <b/>
            <sz val="14"/>
            <color indexed="81"/>
            <rFont val="Tahoma"/>
            <family val="2"/>
          </rPr>
          <t>Note:</t>
        </r>
        <r>
          <rPr>
            <sz val="14"/>
            <color indexed="81"/>
            <rFont val="Tahoma"/>
            <family val="2"/>
          </rPr>
          <t xml:space="preserve">
If you wish to enter your project costs under the "Complex" format, select Complex from the drop-down menu and use the link to the left to access additional worksheets which provide the opportunitiy to add significant, additional detail on project costs. Once complete, the model will roll up the detailed costs and populate this row with the resultant final project cost. </t>
        </r>
      </text>
    </comment>
    <comment ref="S452" authorId="0" shapeId="0" xr:uid="{4E68C9E6-6B17-4C20-B931-073896586F44}">
      <text>
        <r>
          <rPr>
            <b/>
            <sz val="14"/>
            <color indexed="81"/>
            <rFont val="Tahoma"/>
            <family val="2"/>
          </rPr>
          <t xml:space="preserve">NOTE:
</t>
        </r>
        <r>
          <rPr>
            <sz val="14"/>
            <color indexed="81"/>
            <rFont val="Tahoma"/>
            <family val="2"/>
          </rPr>
          <t xml:space="preserve">As a tax </t>
        </r>
        <r>
          <rPr>
            <u/>
            <sz val="14"/>
            <color indexed="81"/>
            <rFont val="Tahoma"/>
            <family val="2"/>
          </rPr>
          <t>credit</t>
        </r>
        <r>
          <rPr>
            <sz val="14"/>
            <color indexed="81"/>
            <rFont val="Tahoma"/>
            <family val="2"/>
          </rPr>
          <t>, the ITC is only usable by project owners with positive federal income tax liability.  
In cases where the owner's tax liability in the calendar year of the project's first commercial operation exceeds the ITC amount, the user may enter 100% in this field and assume full utilization of the ITC.
If the owner's tax liability is less than the available ITC, the user may either enter a % value less than 100% or select the "carried forward" method in the "Tax Benefits used as generated or carried forward?" cell.  
Input must be between 0% and 100%.</t>
        </r>
        <r>
          <rPr>
            <sz val="8"/>
            <color indexed="81"/>
            <rFont val="Tahoma"/>
            <family val="2"/>
          </rPr>
          <t xml:space="preserve">
</t>
        </r>
      </text>
    </comment>
    <comment ref="I453" authorId="1" shapeId="0" xr:uid="{1E5F96E0-48E6-4494-83B4-C6EB152CC116}">
      <text>
        <r>
          <rPr>
            <b/>
            <sz val="14"/>
            <color indexed="81"/>
            <rFont val="Tahoma"/>
            <family val="2"/>
          </rPr>
          <t>Note:</t>
        </r>
        <r>
          <rPr>
            <sz val="14"/>
            <color indexed="81"/>
            <rFont val="Tahoma"/>
            <family val="2"/>
          </rPr>
          <t xml:space="preserve">
The total system cost is a calculation, based on the level of detail selected and the assocated inputs.
</t>
        </r>
      </text>
    </comment>
    <comment ref="S453" authorId="0" shapeId="0" xr:uid="{D5892EF7-98F8-4BF5-A4FD-12E087191962}">
      <text>
        <r>
          <rPr>
            <b/>
            <sz val="14"/>
            <color indexed="81"/>
            <rFont val="Tahoma"/>
            <family val="2"/>
          </rPr>
          <t xml:space="preserve">Note:
</t>
        </r>
        <r>
          <rPr>
            <sz val="14"/>
            <color indexed="81"/>
            <rFont val="Tahoma"/>
            <family val="2"/>
          </rPr>
          <t xml:space="preserve">Calculates the dollar value of the Investment Tax Credit or Cash Grant, if applicable.
</t>
        </r>
      </text>
    </comment>
    <comment ref="I454" authorId="1" shapeId="0" xr:uid="{B9AA8334-5D92-4EB8-9A32-EBB6E3C57820}">
      <text>
        <r>
          <rPr>
            <b/>
            <sz val="14"/>
            <color indexed="81"/>
            <rFont val="Tahoma"/>
            <family val="2"/>
          </rPr>
          <t>Note:</t>
        </r>
        <r>
          <rPr>
            <sz val="14"/>
            <color indexed="81"/>
            <rFont val="Tahoma"/>
            <family val="2"/>
          </rPr>
          <t xml:space="preserve">
Calculation based on the total system cost in the cell above and the system size reported. Typical costs (as of 2010) fall between $2,000/kW and $3,000/kW.</t>
        </r>
        <r>
          <rPr>
            <sz val="8"/>
            <color indexed="81"/>
            <rFont val="Tahoma"/>
            <family val="2"/>
          </rPr>
          <t xml:space="preserve">
</t>
        </r>
      </text>
    </comment>
    <comment ref="S454" authorId="0" shapeId="0" xr:uid="{C844D829-DDE5-430C-A7C4-0D3FA2F2C053}">
      <text>
        <r>
          <rPr>
            <b/>
            <sz val="14"/>
            <color indexed="81"/>
            <rFont val="Tahoma"/>
            <family val="2"/>
          </rPr>
          <t xml:space="preserve">Note: </t>
        </r>
        <r>
          <rPr>
            <sz val="14"/>
            <color indexed="81"/>
            <rFont val="Tahoma"/>
            <family val="2"/>
          </rPr>
          <t xml:space="preserve">
This input cell, the "Performance Based Incentive" or "PBI" is another potential incentive available to some specific projects. The PBI would be separate from a feed-in-tariff, but acts similarly in that it is per unit of production (typically kWh) income to a project.
Some examples of PBIs include the Federal Production Tax Credit (applicable to private projects with tax appetites) and the Federal Renewable Energy Production Incentive (REPI), historically available to some public projects.
</t>
        </r>
      </text>
    </comment>
    <comment ref="I455" authorId="1" shapeId="0" xr:uid="{C93987BC-79C0-4451-9092-CBDDBD03BF31}">
      <text>
        <r>
          <rPr>
            <b/>
            <sz val="14"/>
            <color indexed="81"/>
            <rFont val="Tahoma"/>
            <family val="2"/>
          </rPr>
          <t xml:space="preserve">Note:
</t>
        </r>
        <r>
          <rPr>
            <sz val="14"/>
            <color indexed="81"/>
            <rFont val="Tahoma"/>
            <family val="2"/>
          </rPr>
          <t xml:space="preserve">This cell calculates the total of all applicable grants, excluding the payment in lieu of the Federal ITC (also known as the ITC Cash Grant, or Cash Grant), if applicable.  The ITC Cash Grant is considered separately because unlike grants issued upfront and used to offset capital costs, the ITC Cash Grant is disbursed approxiamtely 60 days after the start of commercial operations and therefore becomes an integral part of the project's financing.
Where grants are treated as taxable income, this cell calculates the after-tax impact on the total cost of the project.
  </t>
        </r>
        <r>
          <rPr>
            <sz val="8"/>
            <color indexed="81"/>
            <rFont val="Tahoma"/>
            <family val="2"/>
          </rPr>
          <t xml:space="preserve">
</t>
        </r>
      </text>
    </comment>
    <comment ref="S455" authorId="0" shapeId="0" xr:uid="{F3F48368-7AB2-496F-9159-8E4135B17129}">
      <text>
        <r>
          <rPr>
            <b/>
            <sz val="14"/>
            <color indexed="81"/>
            <rFont val="Tahoma"/>
            <family val="2"/>
          </rPr>
          <t xml:space="preserve">Note: </t>
        </r>
        <r>
          <rPr>
            <sz val="14"/>
            <color indexed="81"/>
            <rFont val="Tahoma"/>
            <family val="2"/>
          </rPr>
          <t xml:space="preserve">
This cell denotes the value of the Performance Based Incentive applicable to the project's first year of commercial operation. In some cases, this value will need to be calculated external to the model if such PBI is derived from a "base year" and specified inflation index. The following cells can be used to account for inflation and the maximum term of eligibility.
Input cannot be less than zero.
</t>
        </r>
      </text>
    </comment>
    <comment ref="I456" authorId="1" shapeId="0" xr:uid="{EF3DA5B1-07FF-4029-902D-74AE8D29FF53}">
      <text>
        <r>
          <rPr>
            <b/>
            <sz val="14"/>
            <color indexed="81"/>
            <rFont val="Tahoma"/>
            <family val="2"/>
          </rPr>
          <t>Note:</t>
        </r>
        <r>
          <rPr>
            <sz val="14"/>
            <color indexed="81"/>
            <rFont val="Tahoma"/>
            <family val="2"/>
          </rPr>
          <t xml:space="preserve">
Calculation of total project cost net applicable grants. 
</t>
        </r>
      </text>
    </comment>
    <comment ref="S456" authorId="0" shapeId="0" xr:uid="{4C0C3AB8-D392-4920-B703-F7B034469661}">
      <text>
        <r>
          <rPr>
            <b/>
            <sz val="14"/>
            <color indexed="81"/>
            <rFont val="Tahoma"/>
            <family val="2"/>
          </rPr>
          <t>Note:</t>
        </r>
        <r>
          <rPr>
            <sz val="14"/>
            <color indexed="81"/>
            <rFont val="Tahoma"/>
            <family val="2"/>
          </rPr>
          <t xml:space="preserve">
This is the length of time that a project would be eligible for any Performance Based Incentives outlined in the cell immediately above. For example, the Federal Renewable Energy Production Incentive and Production Tax Credit incentives are available for the first 10 years of project operation.
Input cannot be less than zero.
</t>
        </r>
      </text>
    </comment>
    <comment ref="I457" authorId="1" shapeId="0" xr:uid="{C52B18D9-F08E-4D63-B00D-23CD7B70015A}">
      <text>
        <r>
          <rPr>
            <b/>
            <sz val="14"/>
            <color indexed="81"/>
            <rFont val="Tahoma"/>
            <family val="2"/>
          </rPr>
          <t xml:space="preserve">Note:
</t>
        </r>
        <r>
          <rPr>
            <sz val="14"/>
            <color indexed="81"/>
            <rFont val="Tahoma"/>
            <family val="2"/>
          </rPr>
          <t xml:space="preserve">Calculation, based on net project cost and total installed capacity. 
</t>
        </r>
      </text>
    </comment>
    <comment ref="S457" authorId="0" shapeId="0" xr:uid="{F6575C6F-BEB5-44D5-9A7D-D3784648CBEE}">
      <text>
        <r>
          <rPr>
            <b/>
            <sz val="14"/>
            <color indexed="81"/>
            <rFont val="Tahoma"/>
            <family val="2"/>
          </rPr>
          <t xml:space="preserve">Note:
</t>
        </r>
        <r>
          <rPr>
            <sz val="14"/>
            <color indexed="81"/>
            <rFont val="Tahoma"/>
            <family val="2"/>
          </rPr>
          <t xml:space="preserve">Performance Based Incentives are often adjusted to account for inflation. For example, the Federal Production Tax Credit (PTC) is adjusted each year to account for changes in the GDP IPD index. This cell can be used as a proxy for the inflation that would apply to any PBI incentive entered above.
This input cannot be left blank.
</t>
        </r>
        <r>
          <rPr>
            <sz val="8"/>
            <color indexed="81"/>
            <rFont val="Tahoma"/>
            <family val="2"/>
          </rPr>
          <t xml:space="preserve">
</t>
        </r>
      </text>
    </comment>
    <comment ref="S458" authorId="0" shapeId="0" xr:uid="{49281B42-ACA7-4F1B-9205-8CA367A98EF7}">
      <text>
        <r>
          <rPr>
            <b/>
            <sz val="14"/>
            <color indexed="81"/>
            <rFont val="Tahoma"/>
            <family val="2"/>
          </rPr>
          <t xml:space="preserve">Note:
</t>
        </r>
        <r>
          <rPr>
            <sz val="14"/>
            <color indexed="81"/>
            <rFont val="Tahoma"/>
            <family val="2"/>
          </rPr>
          <t>In some cases, due to the nature of the requirements of some Performance Based Incentive programs, project owners are unable to maximize the full revenue stream of the incentive. For example, in the case of the Federal Production Tax Credit (PTC), the project owner may not have sufficienct tax appetite to fully utilize the tax credits. 
This input cell would allow the modeler to account for the owner's inability to fully utilize the PTC and/or the reduction of the PTC (a "haircut") due to the presence of subsidized (below market interest rate) financing.
Incentive "availability" will likely be a factor if this cell is being used to model the cash-based Renewable Energy Production Incentive (REPI).  The REPI program has historically been underfunded; available monies are allocated pro rata among eligible projects.  In this case, the value entered in this cell should reflect the user's expectation of the fraction of the face value REPI payment that will be available over the applicable incentive term.
Input must be between 0% to 100%.</t>
        </r>
      </text>
    </comment>
    <comment ref="F459" authorId="0" shapeId="0" xr:uid="{03676DD2-331B-4725-B61E-38E4DA555BE8}">
      <text>
        <r>
          <rPr>
            <b/>
            <sz val="8"/>
            <color indexed="81"/>
            <rFont val="Tahoma"/>
            <family val="2"/>
          </rPr>
          <t>See "unit" definitions at the bottom of this worksheet.</t>
        </r>
        <r>
          <rPr>
            <sz val="8"/>
            <color indexed="81"/>
            <rFont val="Tahoma"/>
            <family val="2"/>
          </rPr>
          <t xml:space="preserve">
</t>
        </r>
      </text>
    </comment>
    <comment ref="S459" authorId="0" shapeId="0" xr:uid="{506173A0-97B0-4564-B44D-79B6B0F71DFB}">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I460" authorId="0" shapeId="0" xr:uid="{ADDBDD86-E501-4088-AC0A-3F5A2CEBE27D}">
      <text>
        <r>
          <rPr>
            <b/>
            <sz val="14"/>
            <color indexed="81"/>
            <rFont val="Tahoma"/>
            <family val="2"/>
          </rPr>
          <t>Note:</t>
        </r>
        <r>
          <rPr>
            <sz val="14"/>
            <color indexed="81"/>
            <rFont val="Tahoma"/>
            <family val="2"/>
          </rPr>
          <t xml:space="preserve">
Select either "Simple" or "Intermediate" O&amp;M expense detail using the drop-down menu to the right.
</t>
        </r>
        <r>
          <rPr>
            <sz val="8"/>
            <color indexed="81"/>
            <rFont val="Tahoma"/>
            <family val="2"/>
          </rPr>
          <t xml:space="preserve">
</t>
        </r>
      </text>
    </comment>
    <comment ref="I461" authorId="1" shapeId="0" xr:uid="{534E844B-D0A9-4A16-8109-4763157B8D0A}">
      <text>
        <r>
          <rPr>
            <b/>
            <sz val="14"/>
            <color indexed="81"/>
            <rFont val="Tahoma"/>
            <family val="2"/>
          </rPr>
          <t>Note:</t>
        </r>
        <r>
          <rPr>
            <sz val="14"/>
            <color indexed="81"/>
            <rFont val="Tahoma"/>
            <family val="2"/>
          </rPr>
          <t xml:space="preserve">
If "Simple" is selected in the cell above, then this input should reflect the </t>
        </r>
        <r>
          <rPr>
            <b/>
            <u/>
            <sz val="14"/>
            <color indexed="81"/>
            <rFont val="Tahoma"/>
            <family val="2"/>
          </rPr>
          <t>total</t>
        </r>
        <r>
          <rPr>
            <sz val="14"/>
            <color indexed="81"/>
            <rFont val="Tahoma"/>
            <family val="2"/>
          </rPr>
          <t xml:space="preserve"> expected </t>
        </r>
        <r>
          <rPr>
            <b/>
            <u/>
            <sz val="14"/>
            <color indexed="81"/>
            <rFont val="Tahoma"/>
            <family val="2"/>
          </rPr>
          <t>fixed</t>
        </r>
        <r>
          <rPr>
            <sz val="14"/>
            <color indexed="81"/>
            <rFont val="Tahoma"/>
            <family val="2"/>
          </rPr>
          <t xml:space="preserve"> cost of project operations and maintenance, in $/kW-yr.  This </t>
        </r>
        <r>
          <rPr>
            <u/>
            <sz val="14"/>
            <color indexed="81"/>
            <rFont val="Tahoma"/>
            <family val="2"/>
          </rPr>
          <t>includes</t>
        </r>
        <r>
          <rPr>
            <sz val="14"/>
            <color indexed="81"/>
            <rFont val="Tahoma"/>
            <family val="2"/>
          </rPr>
          <t xml:space="preserve"> the insurance, project management, property tax (or payment in lieu thereof), land lease, and royalty expenses which would have been broken out separately in the "Intermediate" case.  Other labor and spare parts should also be included in this estimate.
If the user has obtained O&amp;M expense estimates from a third-party, it is critical to understand which costs have been included.  If the user is not certain that all of the above-listed expenses are included in the fixed cost estimate, then the "Intermediate" approach should be used and these expenses should be entered separately.
If "Intermediate" is selected, then this input should reflect  the expected annual fixed O&amp;M cost before taking into account the additional listed expenses, which are entered below. 
In all cases, fixed O&amp;M would include - among others - the ongoing cost of obtaining daily, weekly or monthly production estimates based on weather and other factors.
Input value must be greater than zero. 
</t>
        </r>
      </text>
    </comment>
    <comment ref="S461" authorId="1" shapeId="0" xr:uid="{135733E5-6278-44B1-8139-07CB0F896E69}">
      <text>
        <r>
          <rPr>
            <b/>
            <sz val="14"/>
            <color indexed="81"/>
            <rFont val="Tahoma"/>
            <family val="2"/>
          </rPr>
          <t xml:space="preserve">Note:
</t>
        </r>
        <r>
          <rPr>
            <sz val="14"/>
            <color indexed="81"/>
            <rFont val="Tahoma"/>
            <family val="2"/>
          </rPr>
          <t xml:space="preserve">Some renewable energy projects may be eligible for other federal grants as well, such as funding from the U.S. Department of Agriculture. This input cell can be used to capture those funding opportunities, some of which are outlined online at:
http://dsireusa.org/incentives/index.cfm?state=us&amp;re=1&amp;EE=1
*See bottom of introduction page for a list of links
Input cannot be less than zero.
</t>
        </r>
      </text>
    </comment>
    <comment ref="I462" authorId="1" shapeId="0" xr:uid="{AAF79E9C-0C5A-4645-9E0E-737354AE1486}">
      <text>
        <r>
          <rPr>
            <b/>
            <sz val="14"/>
            <color indexed="81"/>
            <rFont val="Tahoma"/>
            <family val="2"/>
          </rPr>
          <t>Note:</t>
        </r>
        <r>
          <rPr>
            <sz val="14"/>
            <color indexed="81"/>
            <rFont val="Tahoma"/>
            <family val="2"/>
          </rPr>
          <t xml:space="preserve">
This cell provides the user with the option of accounting for O&amp;M expenses (such as labor and spare parts) which are more easily estimated and modeled on a variable, cents per kWh basis.  
If "Simple" is selected above, then this cell should also take into account variable costs, such as royalties, </t>
        </r>
        <r>
          <rPr>
            <b/>
            <u/>
            <sz val="14"/>
            <color indexed="81"/>
            <rFont val="Tahoma"/>
            <family val="2"/>
          </rPr>
          <t>if</t>
        </r>
        <r>
          <rPr>
            <sz val="14"/>
            <color indexed="81"/>
            <rFont val="Tahoma"/>
            <family val="2"/>
          </rPr>
          <t xml:space="preserve"> such annual expenses are not already accounted for in the fixed cost input above.
Input cannot be less than zero.
</t>
        </r>
      </text>
    </comment>
    <comment ref="S462" authorId="0" shapeId="0" xr:uid="{49999DD5-727E-4925-980B-213C12E1B043}">
      <text>
        <r>
          <rPr>
            <b/>
            <sz val="14"/>
            <color indexed="81"/>
            <rFont val="Tahoma"/>
            <family val="2"/>
          </rPr>
          <t xml:space="preserve">Note:
</t>
        </r>
        <r>
          <rPr>
            <sz val="14"/>
            <color indexed="81"/>
            <rFont val="Tahoma"/>
            <family val="2"/>
          </rPr>
          <t xml:space="preserve">Select here whether federal grants (other than the section 1603 payment in lieu of the ITC/PTC) are treated as taxable income. If no, depreciation basis is reduced. 
</t>
        </r>
      </text>
    </comment>
    <comment ref="I463" authorId="0" shapeId="0" xr:uid="{D4C7107E-6974-4F01-A582-1D540250B568}">
      <text>
        <r>
          <rPr>
            <b/>
            <sz val="14"/>
            <color indexed="81"/>
            <rFont val="Tahoma"/>
            <family val="2"/>
          </rPr>
          <t>Note:</t>
        </r>
        <r>
          <rPr>
            <sz val="14"/>
            <color indexed="81"/>
            <rFont val="Tahoma"/>
            <family val="2"/>
          </rPr>
          <t xml:space="preserve">
This inflation rate applies to both fixed and variable O&amp;M expense, insurance, and project management costs entered above, if applicable. 
The model allows the user to specify an inflation assumption for an "initial period" and a second inflation assumption "thereafter." These inputs can be used to account for inflation which might be fixed during an initial O&amp;M service contract, but are unknown thereafter.  The final year of the "initial period" is  user-defined (e.g. final year of an O&amp;M service contract). 
The purpose of this feature is also to recognize that inflationary trends may change over time, or that some projects may not expect inflation of O&amp;M expenses for the first several years, but may expect inflation thereafter.
This inflation rate does not apply to PILOT or Royalty costs. Input cannot be less than zero.
</t>
        </r>
      </text>
    </comment>
    <comment ref="I464" authorId="0" shapeId="0" xr:uid="{708561B8-240D-4C01-8D24-E0C49E8FF22A}">
      <text>
        <r>
          <rPr>
            <b/>
            <sz val="14"/>
            <color indexed="81"/>
            <rFont val="Tahoma"/>
            <family val="2"/>
          </rPr>
          <t xml:space="preserve">Note:
</t>
        </r>
        <r>
          <rPr>
            <sz val="14"/>
            <color indexed="81"/>
            <rFont val="Tahoma"/>
            <family val="2"/>
          </rPr>
          <t xml:space="preserve">This feature allows the user to assume that the rate at which expenses change over time is not constant. This cell provides the year in which the first inflation period ends.
Input cannot be less than zero.
</t>
        </r>
      </text>
    </comment>
    <comment ref="P464" authorId="0" shapeId="0" xr:uid="{06AFA857-F3DD-4A8A-AFDD-D79C9E88F967}">
      <text>
        <r>
          <rPr>
            <b/>
            <sz val="8"/>
            <color indexed="81"/>
            <rFont val="Tahoma"/>
            <family val="2"/>
          </rPr>
          <t>See "unit" definitions at the bottom of this worksheet.</t>
        </r>
        <r>
          <rPr>
            <sz val="8"/>
            <color indexed="81"/>
            <rFont val="Tahoma"/>
            <family val="2"/>
          </rPr>
          <t xml:space="preserve">
</t>
        </r>
      </text>
    </comment>
    <comment ref="I465" authorId="0" shapeId="0" xr:uid="{D24F4931-6050-4C64-A579-683578F2EA4D}">
      <text>
        <r>
          <rPr>
            <b/>
            <sz val="14"/>
            <color indexed="81"/>
            <rFont val="Tahoma"/>
            <family val="2"/>
          </rPr>
          <t xml:space="preserve">Note:
</t>
        </r>
        <r>
          <rPr>
            <sz val="14"/>
            <color indexed="81"/>
            <rFont val="Tahoma"/>
            <family val="2"/>
          </rPr>
          <t xml:space="preserve">This cell provides the inflation rate for the remainder of the project's useful life.
Input must be greater than zero.
</t>
        </r>
      </text>
    </comment>
    <comment ref="S465" authorId="1" shapeId="0" xr:uid="{EC30D3AD-23BB-4E59-8E1B-2FABAEA060C6}">
      <text>
        <r>
          <rPr>
            <b/>
            <sz val="14"/>
            <color indexed="81"/>
            <rFont val="Tahoma"/>
            <family val="2"/>
          </rPr>
          <t xml:space="preserve">Note:
</t>
        </r>
        <r>
          <rPr>
            <sz val="14"/>
            <color indexed="81"/>
            <rFont val="Tahoma"/>
            <family val="2"/>
          </rPr>
          <t>This drop-down input cell allows the user to specify whether state incentives are cost-based (e.g. an investment tax credit) or performance-based (e.g. a PTC or cash payment). If no state incentive is available or useable by the modeled project, the user will select "Neither." The magnitude and terms of these incentives are set in the cells below.
For more information, a useful resource for researching federal and state incentives online is:  
http://dsireusa.org/
*See bottom of introduction page for a list of links</t>
        </r>
      </text>
    </comment>
    <comment ref="I466" authorId="1" shapeId="0" xr:uid="{74100661-3DE7-449E-BA38-77C80B0B8D5C}">
      <text>
        <r>
          <rPr>
            <b/>
            <sz val="14"/>
            <color indexed="81"/>
            <rFont val="Tahoma"/>
            <family val="2"/>
          </rPr>
          <t xml:space="preserve">Note:
</t>
        </r>
        <r>
          <rPr>
            <sz val="14"/>
            <color indexed="81"/>
            <rFont val="Tahoma"/>
            <family val="2"/>
          </rPr>
          <t xml:space="preserve">Project owners, or hosts, are required to carry insurance. This input accounts for the estimated cost of insuring the modeled power generating facility.
Input cannot be less than zero.
</t>
        </r>
      </text>
    </comment>
    <comment ref="S466" authorId="0" shapeId="0" xr:uid="{7CA0F2D5-D2BB-4F19-B7EA-677106ADDA50}">
      <text>
        <r>
          <rPr>
            <b/>
            <sz val="14"/>
            <color indexed="81"/>
            <rFont val="Tahoma"/>
            <family val="2"/>
          </rPr>
          <t xml:space="preserve">NOTE:
</t>
        </r>
        <r>
          <rPr>
            <sz val="14"/>
            <color indexed="81"/>
            <rFont val="Tahoma"/>
            <family val="2"/>
          </rPr>
          <t xml:space="preserve">The maximum potential Investment Tax Credit (ITC) benefit is assumed to be 30% of those project costs which are depreciable on the 5-year MACRS schedule.
</t>
        </r>
      </text>
    </comment>
    <comment ref="I467" authorId="0" shapeId="0" xr:uid="{80472337-9CF6-4D8E-B9A7-A3554B34D038}">
      <text>
        <r>
          <rPr>
            <b/>
            <sz val="14"/>
            <color indexed="81"/>
            <rFont val="Tahoma"/>
            <family val="2"/>
          </rPr>
          <t xml:space="preserve">Note:
</t>
        </r>
        <r>
          <rPr>
            <sz val="14"/>
            <color indexed="81"/>
            <rFont val="Tahoma"/>
            <family val="2"/>
          </rPr>
          <t xml:space="preserve">This cell calculates the resulting dollar value cost of insurance based on the input above and the project installed cost (net of financing costs).  It is provided simply as a reference for the user.
</t>
        </r>
        <r>
          <rPr>
            <sz val="8"/>
            <color indexed="81"/>
            <rFont val="Tahoma"/>
            <family val="2"/>
          </rPr>
          <t xml:space="preserve">
</t>
        </r>
      </text>
    </comment>
    <comment ref="S467" authorId="0" shapeId="0" xr:uid="{F3E65E96-AC11-4F28-ACC0-F6E94B737ADB}">
      <text>
        <r>
          <rPr>
            <b/>
            <sz val="14"/>
            <color indexed="81"/>
            <rFont val="Tahoma"/>
            <family val="2"/>
          </rPr>
          <t xml:space="preserve">NOTE:
</t>
        </r>
        <r>
          <rPr>
            <sz val="14"/>
            <color indexed="81"/>
            <rFont val="Tahoma"/>
            <family val="2"/>
          </rPr>
          <t xml:space="preserve">As a tax </t>
        </r>
        <r>
          <rPr>
            <u/>
            <sz val="14"/>
            <color indexed="81"/>
            <rFont val="Tahoma"/>
            <family val="2"/>
          </rPr>
          <t>credit</t>
        </r>
        <r>
          <rPr>
            <sz val="14"/>
            <color indexed="81"/>
            <rFont val="Tahoma"/>
            <family val="2"/>
          </rPr>
          <t>, the ITC is only usable by project owners with positive federal income tax liability.  
In cases where the owner's tax liability in the calendar year of the project's first commercial operation exceeds the ITC amount, the user may enter 100% in this field and assume full utilization of the ITC.
If the owner's tax liability is less than the available ITC, a % less than 100% must be entered in order to represent a less efficient utilization of this federal tax incentive.
Input must be betwee 0% and 100%.</t>
        </r>
      </text>
    </comment>
    <comment ref="I468" authorId="1" shapeId="0" xr:uid="{5D6B7DEE-62D0-45DF-A338-64F30A5F57A6}">
      <text>
        <r>
          <rPr>
            <b/>
            <sz val="14"/>
            <color indexed="81"/>
            <rFont val="Tahoma"/>
            <family val="2"/>
          </rPr>
          <t>Note:</t>
        </r>
        <r>
          <rPr>
            <sz val="14"/>
            <color indexed="81"/>
            <rFont val="Tahoma"/>
            <family val="2"/>
          </rPr>
          <t xml:space="preserve">
"Project Management" accounts for the cost of staff time related to managing the project's Power Purchase Agreements, grid integration, and periodic reporting to the system operator and policymakers.  
Input cannot be less than zero.
</t>
        </r>
      </text>
    </comment>
    <comment ref="S468" authorId="0" shapeId="0" xr:uid="{DB37AEBC-0355-4455-B495-952110A0A571}">
      <text>
        <r>
          <rPr>
            <b/>
            <sz val="14"/>
            <color indexed="81"/>
            <rFont val="Tahoma"/>
            <family val="2"/>
          </rPr>
          <t xml:space="preserve">Note:
</t>
        </r>
        <r>
          <rPr>
            <sz val="14"/>
            <color indexed="81"/>
            <rFont val="Tahoma"/>
            <family val="2"/>
          </rPr>
          <t>Specifies whether the available ITC is realized in a single year or over multiple years. This input will be specified by state-specific law or regulation.
A good resource on available state incentives is:  
http://dsireusa.org/
*See bottom of introduction page for a list of links
Input must be greater than 1 and less than the Project Useful Life.</t>
        </r>
      </text>
    </comment>
    <comment ref="I469" authorId="1" shapeId="0" xr:uid="{52413176-37D6-49F9-A0CE-688FB3FE3B80}">
      <text>
        <r>
          <rPr>
            <b/>
            <sz val="14"/>
            <color indexed="81"/>
            <rFont val="Tahoma"/>
            <family val="2"/>
          </rPr>
          <t xml:space="preserve">Note:
</t>
        </r>
        <r>
          <rPr>
            <sz val="14"/>
            <color indexed="81"/>
            <rFont val="Tahoma"/>
            <family val="2"/>
          </rPr>
          <t xml:space="preserve">"Property Tax or PILOT" accounts for costs associated with any local taxes incurred by the project. Many states offer tax exemptions for renewable energy systems; to check your local applicability, please visit: http://dsireusa.org/ 
This line can also be used to account for any PILOTs or Payment in Leiu of Taxes. Developers often negotiate a PILOT with the local community to secure a fixed, predictable payment that serves both parties appropriately. This model allows the user to input a year-one Property Tax or PILOT value along with an annual property tax adjsutment factor (see next cell down). As a result, taxes can be modeled as flat, increasing, or decreasing annually depending on the value entered in the adjustment factor cell below.
Input cannot be less than zero.
</t>
        </r>
      </text>
    </comment>
    <comment ref="S469" authorId="0" shapeId="0" xr:uid="{00D3E84B-51C7-4CA0-A281-B37166F37E38}">
      <text>
        <r>
          <rPr>
            <b/>
            <sz val="14"/>
            <color indexed="81"/>
            <rFont val="Tahoma"/>
            <family val="2"/>
          </rPr>
          <t xml:space="preserve">Note:
</t>
        </r>
        <r>
          <rPr>
            <sz val="14"/>
            <color indexed="81"/>
            <rFont val="Tahoma"/>
            <family val="2"/>
          </rPr>
          <t xml:space="preserve">Calculates the dollar value of the State Investment Tax Credit, if applicable.
</t>
        </r>
      </text>
    </comment>
    <comment ref="I470" authorId="1" shapeId="0" xr:uid="{A1967256-10C1-45ED-83B2-E7038695897B}">
      <text>
        <r>
          <rPr>
            <b/>
            <sz val="14"/>
            <color indexed="81"/>
            <rFont val="Tahoma"/>
            <family val="2"/>
          </rPr>
          <t xml:space="preserve">Note:
</t>
        </r>
        <r>
          <rPr>
            <sz val="14"/>
            <color indexed="81"/>
            <rFont val="Tahoma"/>
            <family val="2"/>
          </rPr>
          <t xml:space="preserve">The Annual Property Tax Adjustment Factor allows the user to specify whether the Year One tax (or PILOT) value will remain fixed and flat, will decrease (a negative percentage value entered in this cell) or increase (a positive percentage value entered in this cell) over time.  </t>
        </r>
        <r>
          <rPr>
            <sz val="8"/>
            <color indexed="81"/>
            <rFont val="Tahoma"/>
            <family val="2"/>
          </rPr>
          <t xml:space="preserve">
</t>
        </r>
      </text>
    </comment>
    <comment ref="S470" authorId="0" shapeId="0" xr:uid="{20A84F8C-E7FE-4FA6-B789-4EAEA3A68165}">
      <text>
        <r>
          <rPr>
            <b/>
            <sz val="14"/>
            <color indexed="81"/>
            <rFont val="Tahoma"/>
            <family val="2"/>
          </rPr>
          <t xml:space="preserve">Note: </t>
        </r>
        <r>
          <rPr>
            <sz val="14"/>
            <color indexed="81"/>
            <rFont val="Tahoma"/>
            <family val="2"/>
          </rPr>
          <t xml:space="preserve">
This input cell, the "Performance Based Incentive" or "PBI" is another potential incentive available to some specific projects. The PBI would be separate from a feed-in-tariff, but acts similarly in that it is per unit of production (typically kWh) income to a project.
Some examples of PBIs include the Federal Production Tax Credit (applicable to private projects with tax appetites) and the Federal Renewable Energy Production Incentive (REPI), historically available to some public projects.
</t>
        </r>
      </text>
    </comment>
    <comment ref="I471" authorId="1" shapeId="0" xr:uid="{6C7ADE9D-1D0A-4CFC-8EF1-8677EA2EEDCD}">
      <text>
        <r>
          <rPr>
            <b/>
            <sz val="14"/>
            <color indexed="81"/>
            <rFont val="Tahoma"/>
            <family val="2"/>
          </rPr>
          <t xml:space="preserve">Note:
</t>
        </r>
        <r>
          <rPr>
            <sz val="14"/>
            <color indexed="81"/>
            <rFont val="Tahoma"/>
            <family val="2"/>
          </rPr>
          <t xml:space="preserve">The Land Lease input represents </t>
        </r>
        <r>
          <rPr>
            <b/>
            <u/>
            <sz val="14"/>
            <color indexed="81"/>
            <rFont val="Tahoma"/>
            <family val="2"/>
          </rPr>
          <t>fixed payments</t>
        </r>
        <r>
          <rPr>
            <sz val="14"/>
            <color indexed="81"/>
            <rFont val="Tahoma"/>
            <family val="2"/>
          </rPr>
          <t xml:space="preserve"> to the site host (and possibly other affected parties) for the use of the land on which the project is located.  
Variable royalty payments may be applied in addition to, or in lieu of, the land lease payment through the "Royalties" input below, if applicable.  
Input cannot be less than zero.
</t>
        </r>
      </text>
    </comment>
    <comment ref="S471" authorId="0" shapeId="0" xr:uid="{A5E14BF9-2BC1-4A5C-8FFB-C929C7E30B50}">
      <text>
        <r>
          <rPr>
            <b/>
            <sz val="14"/>
            <color indexed="81"/>
            <rFont val="Tahoma"/>
            <family val="2"/>
          </rPr>
          <t xml:space="preserve">Note:
</t>
        </r>
        <r>
          <rPr>
            <sz val="14"/>
            <color indexed="81"/>
            <rFont val="Tahoma"/>
            <family val="2"/>
          </rPr>
          <t xml:space="preserve">Impacts tax treatment of PBI if owner is a taxable entity.
</t>
        </r>
      </text>
    </comment>
    <comment ref="I472" authorId="1" shapeId="0" xr:uid="{4560651E-9BD3-4B9C-AF02-C756EC367F64}">
      <text>
        <r>
          <rPr>
            <b/>
            <sz val="14"/>
            <color indexed="81"/>
            <rFont val="Tahoma"/>
            <family val="2"/>
          </rPr>
          <t xml:space="preserve">Note:
</t>
        </r>
        <r>
          <rPr>
            <sz val="14"/>
            <color indexed="81"/>
            <rFont val="Tahoma"/>
            <family val="2"/>
          </rPr>
          <t xml:space="preserve">The royalties input accounts for </t>
        </r>
        <r>
          <rPr>
            <b/>
            <u/>
            <sz val="14"/>
            <color indexed="81"/>
            <rFont val="Tahoma"/>
            <family val="2"/>
          </rPr>
          <t>variable</t>
        </r>
        <r>
          <rPr>
            <sz val="14"/>
            <color indexed="81"/>
            <rFont val="Tahoma"/>
            <family val="2"/>
          </rPr>
          <t xml:space="preserve"> payments to site hosts, neighbors, partners, or other parties which may have a stake in the project and which are NOT covered by the fixed "Land Lease" payment. 
Fixed payments may be applied in addition to, or in lieu of, the royalty payment through the "Land Lease" input above, if applicable.  
</t>
        </r>
        <r>
          <rPr>
            <b/>
            <sz val="14"/>
            <color indexed="81"/>
            <rFont val="Tahoma"/>
            <family val="2"/>
          </rPr>
          <t>Inflation is NOT applied to this input</t>
        </r>
        <r>
          <rPr>
            <sz val="14"/>
            <color indexed="81"/>
            <rFont val="Tahoma"/>
            <family val="2"/>
          </rPr>
          <t xml:space="preserve">. However, if tariff escalation is selected, then the assumed royalty payment will increase over time since it is calculated as a function of revenue over time.
If the modeled project's royalty payments are not the same over time, then an average annual royalty payment should be calculated externally and entered in this cell. 
This input cannot be less than zero.
</t>
        </r>
        <r>
          <rPr>
            <sz val="8"/>
            <color indexed="81"/>
            <rFont val="Tahoma"/>
            <family val="2"/>
          </rPr>
          <t xml:space="preserve">
</t>
        </r>
      </text>
    </comment>
    <comment ref="S472" authorId="0" shapeId="0" xr:uid="{208A0013-7D4D-4ACD-B4D0-70E1E94F7584}">
      <text>
        <r>
          <rPr>
            <b/>
            <sz val="14"/>
            <color indexed="81"/>
            <rFont val="Tahoma"/>
            <family val="2"/>
          </rPr>
          <t xml:space="preserve">Note: </t>
        </r>
        <r>
          <rPr>
            <sz val="14"/>
            <color indexed="81"/>
            <rFont val="Tahoma"/>
            <family val="2"/>
          </rPr>
          <t xml:space="preserve">
This cell denotes the value of the Performance Based Incentive applicable to the project's first year of commercial operation. In some cases, this value will need to be calculated external to the model if such PBI is derived from a "base year" and specified inflation index. The following cells can be used to account for inflation and the maximum term of eligibility.
Input cannot be less than zero.
</t>
        </r>
      </text>
    </comment>
    <comment ref="I473" authorId="0" shapeId="0" xr:uid="{C689C5D8-A55D-45BA-8D8D-A55F7AB72615}">
      <text>
        <r>
          <rPr>
            <b/>
            <sz val="14"/>
            <color indexed="81"/>
            <rFont val="Tahoma"/>
            <family val="2"/>
          </rPr>
          <t xml:space="preserve">Note:
</t>
        </r>
        <r>
          <rPr>
            <sz val="14"/>
            <color indexed="81"/>
            <rFont val="Tahoma"/>
            <family val="2"/>
          </rPr>
          <t xml:space="preserve">This cell calculates the resulting dollar value cost of royalties paid to landowners or other stakeholders based on the input above and project revenue.  It is provided simply as a reference for the user.
</t>
        </r>
        <r>
          <rPr>
            <sz val="8"/>
            <color indexed="81"/>
            <rFont val="Tahoma"/>
            <family val="2"/>
          </rPr>
          <t xml:space="preserve">
</t>
        </r>
      </text>
    </comment>
    <comment ref="S473" authorId="0" shapeId="0" xr:uid="{BD280FDB-F331-4E5C-9FE3-41E62C55A96D}">
      <text>
        <r>
          <rPr>
            <b/>
            <sz val="14"/>
            <color indexed="81"/>
            <rFont val="Tahoma"/>
            <family val="2"/>
          </rPr>
          <t>Note:</t>
        </r>
        <r>
          <rPr>
            <sz val="14"/>
            <color indexed="81"/>
            <rFont val="Tahoma"/>
            <family val="2"/>
          </rPr>
          <t xml:space="preserve">
This is the length of time that a project would be eligible for any Performance Based Incentives outlined in the cell immediately above. For example, the Federal Renewable Energy Production Incentive and Production Tax Credit incentives are available for the first 10 years of project operation.
Input cannot be less than zero.
</t>
        </r>
      </text>
    </comment>
    <comment ref="S474" authorId="0" shapeId="0" xr:uid="{5A008E3D-3E16-4BAC-8907-7C89CFF2EBBC}">
      <text>
        <r>
          <rPr>
            <b/>
            <sz val="14"/>
            <color indexed="81"/>
            <rFont val="Tahoma"/>
            <family val="2"/>
          </rPr>
          <t xml:space="preserve">Note:
</t>
        </r>
        <r>
          <rPr>
            <sz val="14"/>
            <color indexed="81"/>
            <rFont val="Tahoma"/>
            <family val="2"/>
          </rPr>
          <t xml:space="preserve">Performance Based Incentives are often adjusted to account for inflation. For example, the Federal Production Tax Credit (PTC) is adjusted each year to account for changes in the GDP IPD index. This cell can be used as a proxy for the inflation that would apply to any PBI incentive entered above.
This input cannot be left blank.
</t>
        </r>
      </text>
    </comment>
    <comment ref="F475" authorId="0" shapeId="0" xr:uid="{E62F5B9A-752E-41A8-BC4A-76D824BF6D07}">
      <text>
        <r>
          <rPr>
            <b/>
            <sz val="8"/>
            <color indexed="81"/>
            <rFont val="Tahoma"/>
            <family val="2"/>
          </rPr>
          <t>See "unit" definitions at the bottom of this worksheet.</t>
        </r>
        <r>
          <rPr>
            <sz val="8"/>
            <color indexed="81"/>
            <rFont val="Tahoma"/>
            <family val="2"/>
          </rPr>
          <t xml:space="preserve">
</t>
        </r>
      </text>
    </comment>
    <comment ref="S475" authorId="0" shapeId="0" xr:uid="{69F7D26B-669A-47B7-BB15-40A65568E1BE}">
      <text>
        <r>
          <rPr>
            <b/>
            <sz val="14"/>
            <color indexed="81"/>
            <rFont val="Tahoma"/>
            <family val="2"/>
          </rPr>
          <t xml:space="preserve">Note:
</t>
        </r>
        <r>
          <rPr>
            <sz val="14"/>
            <color indexed="81"/>
            <rFont val="Tahoma"/>
            <family val="2"/>
          </rPr>
          <t xml:space="preserve">In some cases, due to the nature of the requirements of some Performance Based Incentive programs, project owners are unable to maximize the full revenue stream of the incentive. For example, in the case of the Federal Production Tax Credit (PTC), the project owner may not have sufficienct tax appetite to fully utilize the tax credits. 
This input cell would allow the modeler to account for the owner's inability to fully utilize the PTC and/or the reduction of the PTC (a "haircut") due to the presence of subsidized (below market interest rate) financing.
Input must be between 0% and 100%.
</t>
        </r>
        <r>
          <rPr>
            <sz val="8"/>
            <color indexed="81"/>
            <rFont val="Tahoma"/>
            <family val="2"/>
          </rPr>
          <t xml:space="preserve">
</t>
        </r>
      </text>
    </comment>
    <comment ref="I476" authorId="0" shapeId="0" xr:uid="{7738C8EA-A907-443E-97A6-DF23F55DF165}">
      <text>
        <r>
          <rPr>
            <b/>
            <sz val="14"/>
            <color indexed="81"/>
            <rFont val="Tahoma"/>
            <family val="2"/>
          </rPr>
          <t xml:space="preserve">Note:
</t>
        </r>
        <r>
          <rPr>
            <sz val="14"/>
            <color indexed="81"/>
            <rFont val="Tahoma"/>
            <family val="2"/>
          </rPr>
          <t xml:space="preserve">The # of months from construction start to commercial operation. This input cannot be less than zero.
</t>
        </r>
      </text>
    </comment>
    <comment ref="S476" authorId="0" shapeId="0" xr:uid="{45DE9B84-C13C-4FBC-B5D3-007E6BAC1853}">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I477" authorId="0" shapeId="0" xr:uid="{DF583AD8-EA93-450D-84C7-2C66FB1848FE}">
      <text>
        <r>
          <rPr>
            <b/>
            <sz val="14"/>
            <color indexed="81"/>
            <rFont val="Tahoma"/>
            <family val="2"/>
          </rPr>
          <t xml:space="preserve">Note:
</t>
        </r>
        <r>
          <rPr>
            <sz val="14"/>
            <color indexed="81"/>
            <rFont val="Tahoma"/>
            <family val="2"/>
          </rPr>
          <t xml:space="preserve">The annual interest rate on construction debt. This input cannot be less than zero.
</t>
        </r>
      </text>
    </comment>
    <comment ref="I478" authorId="0" shapeId="0" xr:uid="{7A63D2BF-90CF-40EA-B78E-5E3DA079D721}">
      <text>
        <r>
          <rPr>
            <b/>
            <sz val="14"/>
            <color indexed="81"/>
            <rFont val="Tahoma"/>
            <family val="2"/>
          </rPr>
          <t xml:space="preserve">Note:
</t>
        </r>
        <r>
          <rPr>
            <sz val="14"/>
            <color indexed="81"/>
            <rFont val="Tahoma"/>
            <family val="2"/>
          </rPr>
          <t xml:space="preserve">A calculated value showing the interest accrued during the construction period. Rather than requiring the user to define a detailed construction draw-down schedule, this calculation makes the simplifying assumption that the total project cost is spent in equal parts in each month of the construction period.
IDC is calculated on total project cost, assuming that any grants are collected after construction financing is repaid at time of permanent financing.
This cell is only used with the "Intermediate" and "Complex" capital cost options. The "Simple" capital cost option assumes that all project costs, including IDC, are included in the single input.
</t>
        </r>
      </text>
    </comment>
    <comment ref="S478" authorId="0" shapeId="0" xr:uid="{767C6668-CF24-4EBD-B984-296B489D37C8}">
      <text>
        <r>
          <rPr>
            <b/>
            <sz val="14"/>
            <color indexed="81"/>
            <rFont val="Tahoma"/>
            <family val="2"/>
          </rPr>
          <t xml:space="preserve">Note:
</t>
        </r>
        <r>
          <rPr>
            <sz val="14"/>
            <color indexed="81"/>
            <rFont val="Tahoma"/>
            <family val="2"/>
          </rPr>
          <t xml:space="preserve">Include here the total dollar value of any state-specific cash grants or rebates.
Input cannot be less than zero.
</t>
        </r>
      </text>
    </comment>
    <comment ref="S479" authorId="0" shapeId="0" xr:uid="{6C33CBFA-13EC-4772-9EB9-7B6C3EFD3650}">
      <text>
        <r>
          <rPr>
            <b/>
            <sz val="14"/>
            <color indexed="81"/>
            <rFont val="Tahoma"/>
            <family val="2"/>
          </rPr>
          <t xml:space="preserve">Note:
</t>
        </r>
        <r>
          <rPr>
            <sz val="14"/>
            <color indexed="81"/>
            <rFont val="Tahoma"/>
            <family val="2"/>
          </rPr>
          <t xml:space="preserve">Select here whether state grants are treated as taxable income.  If no, depreciation basis is reduced. 
</t>
        </r>
      </text>
    </comment>
    <comment ref="F480" authorId="0" shapeId="0" xr:uid="{9C15348D-C571-414D-90E2-67F420733DA1}">
      <text>
        <r>
          <rPr>
            <b/>
            <sz val="8"/>
            <color indexed="81"/>
            <rFont val="Tahoma"/>
            <family val="2"/>
          </rPr>
          <t>See "unit" definitions at the bottom of this worksheet.</t>
        </r>
        <r>
          <rPr>
            <sz val="8"/>
            <color indexed="81"/>
            <rFont val="Tahoma"/>
            <family val="2"/>
          </rPr>
          <t xml:space="preserve">
</t>
        </r>
      </text>
    </comment>
    <comment ref="I481" authorId="0" shapeId="0" xr:uid="{CF8DED37-8A5A-46BF-BD8D-4764551E27D2}">
      <text>
        <r>
          <rPr>
            <b/>
            <sz val="14"/>
            <color indexed="81"/>
            <rFont val="Tahoma"/>
            <family val="2"/>
          </rPr>
          <t xml:space="preserve">Note:
</t>
        </r>
        <r>
          <rPr>
            <sz val="14"/>
            <color indexed="81"/>
            <rFont val="Tahoma"/>
            <family val="2"/>
          </rPr>
          <t xml:space="preserve">For ease of use and comprehension by a wide range of stakeholders, this model allows the user to define the capital structure, and relies on mortgage-style amortization of the project debt. The "% Debt" input specifies the portion of funds borrowed, as a percentage of the total "hard costs." Equity is assumed to fund the remaining hard costs PLUS all "soft costs" (e.g. transaction costs and funding of initial reserve accounts, if applicable).  This input cannot be less than zero.
Where maximum sustainable leverage is desired, the user must manually adjust the "% Debt" entry upward to the highest point </t>
        </r>
        <r>
          <rPr>
            <b/>
            <i/>
            <sz val="14"/>
            <color indexed="81"/>
            <rFont val="Tahoma"/>
            <family val="2"/>
          </rPr>
          <t>before</t>
        </r>
        <r>
          <rPr>
            <sz val="14"/>
            <color indexed="81"/>
            <rFont val="Tahoma"/>
            <family val="2"/>
          </rPr>
          <t xml:space="preserve"> the DSCRs no longer "Pass."
If a specific % Debt is desired, </t>
        </r>
        <r>
          <rPr>
            <u/>
            <sz val="14"/>
            <color indexed="81"/>
            <rFont val="Tahoma"/>
            <family val="2"/>
          </rPr>
          <t>and such % is higher than the maximum sustainable debt</t>
        </r>
        <r>
          <rPr>
            <sz val="14"/>
            <color indexed="81"/>
            <rFont val="Tahoma"/>
            <family val="2"/>
          </rPr>
          <t xml:space="preserve"> (such that it causes the DSCR to "Fail"), then the user must define the % Debt and then manually adjust the "Target After-Tax Equity IRR" upward until the DSCRs are met.  The user should </t>
        </r>
        <r>
          <rPr>
            <b/>
            <sz val="14"/>
            <color indexed="81"/>
            <rFont val="Tahoma"/>
            <family val="2"/>
          </rPr>
          <t>take note</t>
        </r>
        <r>
          <rPr>
            <sz val="14"/>
            <color indexed="81"/>
            <rFont val="Tahoma"/>
            <family val="2"/>
          </rPr>
          <t xml:space="preserve"> that when leverage becomes very high (and the corresponding equity contribution low), the "Target After-Tax Equity IRR" will need to be adjusted to levels exceeding typical commercial returns </t>
        </r>
        <r>
          <rPr>
            <u/>
            <sz val="14"/>
            <color indexed="81"/>
            <rFont val="Tahoma"/>
            <family val="2"/>
          </rPr>
          <t>in order to maintain the DSCR ratio</t>
        </r>
        <r>
          <rPr>
            <sz val="14"/>
            <color indexed="81"/>
            <rFont val="Tahoma"/>
            <family val="2"/>
          </rPr>
          <t xml:space="preserve"> on such high debt levels.  For this reason, it is not recommended that users solve for the COE associated with a % Debt that is beyond the maximum sustainable leverage.
If a project is expected to be funded either by a pool of corporate funds or back-leveraged after commercial operation, the user might elect to enter 0% in the "% Debt" cell and enter a weighted average cost of capital (WACC) in the "Target After-Tax Equity IRR" cell.
</t>
        </r>
      </text>
    </comment>
    <comment ref="I482" authorId="1" shapeId="0" xr:uid="{665C975D-5F2C-4B97-9929-0CCEB3534D3D}">
      <text>
        <r>
          <rPr>
            <b/>
            <sz val="14"/>
            <color indexed="81"/>
            <rFont val="Tahoma"/>
            <family val="2"/>
          </rPr>
          <t>Note:</t>
        </r>
        <r>
          <rPr>
            <sz val="14"/>
            <color indexed="81"/>
            <rFont val="Tahoma"/>
            <family val="2"/>
          </rPr>
          <t xml:space="preserve">
Debt "tenor" (also casually referred to as "term"), is the number of years in the debt repayment schedule.   
Caution: If the project will utilize debt, this value must be greater than zero but less than or equal to the total FIT contract duration.
</t>
        </r>
      </text>
    </comment>
    <comment ref="S482" authorId="0" shapeId="0" xr:uid="{2E227716-903B-4DBA-A90C-1EE7A382568D}">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483" authorId="1" shapeId="0" xr:uid="{E94AB66A-B22E-403F-AC18-1F946779FC3A}">
      <text>
        <r>
          <rPr>
            <b/>
            <sz val="14"/>
            <color indexed="81"/>
            <rFont val="Tahoma"/>
            <family val="2"/>
          </rPr>
          <t>Note:</t>
        </r>
        <r>
          <rPr>
            <sz val="14"/>
            <color indexed="81"/>
            <rFont val="Tahoma"/>
            <family val="2"/>
          </rPr>
          <t xml:space="preserve">
The all-in interest rate is the financing rate provided by the bank or other debt investor.
This input cannot be less than zero.
</t>
        </r>
      </text>
    </comment>
    <comment ref="S483" authorId="0" shapeId="0" xr:uid="{1A65BB0B-63F8-4C89-AF03-ED7FE127C3F8}">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484" authorId="0" shapeId="0" xr:uid="{702C02DE-C925-4E7D-ACC6-2A2B44EDE392}">
      <text>
        <r>
          <rPr>
            <b/>
            <sz val="14"/>
            <color indexed="81"/>
            <rFont val="Tahoma"/>
            <family val="2"/>
          </rPr>
          <t xml:space="preserve">Note:
</t>
        </r>
        <r>
          <rPr>
            <sz val="14"/>
            <color indexed="81"/>
            <rFont val="Tahoma"/>
            <family val="2"/>
          </rPr>
          <t xml:space="preserve">A one-time fee collected by the lender and calculated as a % of the total loan amount. This value is typically between 1% and 4%.
This input cannot be less than zero.
</t>
        </r>
      </text>
    </comment>
    <comment ref="S484" authorId="0" shapeId="0" xr:uid="{4490F238-FEB4-491B-A35B-A2D7F361F96A}">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485" authorId="1" shapeId="0" xr:uid="{B5CFB8B7-7E66-42CD-A414-304FE41A2A24}">
      <text>
        <r>
          <rPr>
            <b/>
            <sz val="14"/>
            <color indexed="81"/>
            <rFont val="Tahoma"/>
            <family val="2"/>
          </rPr>
          <t>Note:</t>
        </r>
        <r>
          <rPr>
            <sz val="14"/>
            <color indexed="81"/>
            <rFont val="Tahoma"/>
            <family val="2"/>
          </rPr>
          <t xml:space="preserve">
The annual Debt Service Coverage Ratio is calculated by dividing the sum of the annual principal and interest payment into that year's operating cash flow. Lenders will require the DSCR to demonstrate the project's ability to easily meet its annual debt service obligation.
Average DSCRs over the life of the loan typically range from 1.2 to 1.5 for private, commercially financed projects, or from 1.1 to 1.3 for publicly owned, bond-financed projects - depending on the level of reserves, or other surety, provided. 
The annual minimum DSCR will depend on the specific terms of the loan and the probability-weighting of the production estimate, but will likely be in the range of 1.0 to 1.3. This input must be greater than 1.
</t>
        </r>
      </text>
    </comment>
    <comment ref="S485" authorId="0" shapeId="0" xr:uid="{56F73E89-796E-4779-B062-8C6A662FD95E}">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486" authorId="0" shapeId="0" xr:uid="{0A2BB1EF-A019-447D-A10D-1FD4B2F2F380}">
      <text>
        <r>
          <rPr>
            <b/>
            <sz val="14"/>
            <color indexed="81"/>
            <rFont val="Tahoma"/>
            <family val="2"/>
          </rPr>
          <t>Note:</t>
        </r>
        <r>
          <rPr>
            <sz val="14"/>
            <color indexed="81"/>
            <rFont val="Tahoma"/>
            <family val="2"/>
          </rPr>
          <t xml:space="preserve">
If "#N/A" appears, F9 should be pressed until the calculated COE achieves it's final value.</t>
        </r>
      </text>
    </comment>
    <comment ref="S486" authorId="0" shapeId="0" xr:uid="{9519AD61-B1EC-4080-850C-AD455BD4E064}">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487" authorId="1" shapeId="0" xr:uid="{A725E8D0-A8D8-46E0-8FD6-9C6D6FCCB4A0}">
      <text>
        <r>
          <rPr>
            <b/>
            <sz val="14"/>
            <color indexed="81"/>
            <rFont val="Tahoma"/>
            <family val="2"/>
          </rPr>
          <t>Note:</t>
        </r>
        <r>
          <rPr>
            <sz val="14"/>
            <color indexed="81"/>
            <rFont val="Tahoma"/>
            <family val="2"/>
          </rPr>
          <t xml:space="preserve">
This cell checks that the debt service coverage ratio exceeds the user-defined minimum in each operating year (see note in DSCR cell for definition and rationale for DSCR). If the test "fails", the user must choose from one of several options in order to cure this deficiency (the extent to which these options are available will be specific to each project):
1. reduce the amount of project level debt, 
2. increase the feed-in tariff rate in order to generate cash flow sufficient to meet the bank's assumed coverage requirement.  In the CREST model, </t>
        </r>
        <r>
          <rPr>
            <u/>
            <sz val="14"/>
            <color indexed="81"/>
            <rFont val="Tahoma"/>
            <family val="2"/>
          </rPr>
          <t>this is done by manually increasing the "Target After-Tax Equity IRR."</t>
        </r>
        <r>
          <rPr>
            <sz val="14"/>
            <color indexed="81"/>
            <rFont val="Tahoma"/>
            <family val="2"/>
          </rPr>
          <t xml:space="preserve">
Other possible, but less likely, mechanisms include:
3. increase the loan tenor
4. decrease the interest rate</t>
        </r>
      </text>
    </comment>
    <comment ref="S487" authorId="0" shapeId="0" xr:uid="{504A459D-29A9-4F74-AF4D-9CE6CF9D348F}">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488" authorId="1" shapeId="0" xr:uid="{42BD0F68-F5B1-49A2-A610-6E21D434DB20}">
      <text>
        <r>
          <rPr>
            <b/>
            <sz val="14"/>
            <color indexed="81"/>
            <rFont val="Tahoma"/>
            <family val="2"/>
          </rPr>
          <t>Note:</t>
        </r>
        <r>
          <rPr>
            <sz val="14"/>
            <color indexed="81"/>
            <rFont val="Tahoma"/>
            <family val="2"/>
          </rPr>
          <t xml:space="preserve">
The annual Debt Service Coverage Ratio is calculated by dividing the sum of the annual principal and interest payment into that year's operating cash flow. Lenders will require the DSCR to demonstrate the project's ability to easily meet its annual debt service obligation.
</t>
        </r>
        <r>
          <rPr>
            <u/>
            <sz val="14"/>
            <color indexed="81"/>
            <rFont val="Tahoma"/>
            <family val="2"/>
          </rPr>
          <t>Average</t>
        </r>
        <r>
          <rPr>
            <sz val="14"/>
            <color indexed="81"/>
            <rFont val="Tahoma"/>
            <family val="2"/>
          </rPr>
          <t xml:space="preserve"> DSCRs over the life of the loan typically range from 1.2 to 1.5 for private, commercially financed projects, or from 1.1 to 1.3 for publicly owned, bond-financed projects - depending on the level of reserves, or other surety, provided. 
The </t>
        </r>
        <r>
          <rPr>
            <u/>
            <sz val="14"/>
            <color indexed="81"/>
            <rFont val="Tahoma"/>
            <family val="2"/>
          </rPr>
          <t>annual minimum</t>
        </r>
        <r>
          <rPr>
            <sz val="14"/>
            <color indexed="81"/>
            <rFont val="Tahoma"/>
            <family val="2"/>
          </rPr>
          <t xml:space="preserve"> DSCR will depend on the specific terms of the loan and the probability-weighting of the production estimate, but will likely be in the range of 1.0 to 1.3. This input must be greater than 1.
</t>
        </r>
      </text>
    </comment>
    <comment ref="S488" authorId="0" shapeId="0" xr:uid="{CF984C82-5578-4C4A-8310-E334AC5A39C3}">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489" authorId="0" shapeId="0" xr:uid="{F34D329C-EE74-4AE2-8AAE-284B929BECF6}">
      <text>
        <r>
          <rPr>
            <b/>
            <sz val="12"/>
            <color indexed="81"/>
            <rFont val="Tahoma"/>
            <family val="2"/>
          </rPr>
          <t>Note:</t>
        </r>
        <r>
          <rPr>
            <sz val="12"/>
            <color indexed="81"/>
            <rFont val="Tahoma"/>
            <family val="2"/>
          </rPr>
          <t xml:space="preserve">
If "#N/A" appears, F9 should be pressed until the calculated COE achieves it's final value.</t>
        </r>
      </text>
    </comment>
    <comment ref="S489" authorId="0" shapeId="0" xr:uid="{5A80C1AC-B3C7-443C-9F27-A83DD2C2FEE2}">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490" authorId="1" shapeId="0" xr:uid="{3B4A7642-64EB-4EE9-9301-8E681521B2E5}">
      <text>
        <r>
          <rPr>
            <b/>
            <sz val="14"/>
            <color indexed="81"/>
            <rFont val="Tahoma"/>
            <family val="2"/>
          </rPr>
          <t>Note:</t>
        </r>
        <r>
          <rPr>
            <sz val="14"/>
            <color indexed="81"/>
            <rFont val="Tahoma"/>
            <family val="2"/>
          </rPr>
          <t xml:space="preserve">
This cell checks that the average debt service coverage ratio exceeds the user-defined minimum during the period for which debt is outstanding (see note in DSCR cell for definition and rationale for DSCR). If the test "fails", the user must choose from one of several options in order to cure this deficiency (the extent to which these options are available will be specific to each project):
1. reduce the amount of project level debt, 
2. increase the feed-in tariff rate in order to generate cash flow sufficient to meet the bank's assumed coverage requirement.  In the CREST model, </t>
        </r>
        <r>
          <rPr>
            <u/>
            <sz val="14"/>
            <color indexed="81"/>
            <rFont val="Tahoma"/>
            <family val="2"/>
          </rPr>
          <t>this is done by manually increasing the "Target After-Tax Equity IRR."</t>
        </r>
        <r>
          <rPr>
            <sz val="14"/>
            <color indexed="81"/>
            <rFont val="Tahoma"/>
            <family val="2"/>
          </rPr>
          <t xml:space="preserve">
Other possible, but less likely, mechanisms include:
3. increase the loan tenor
4. decrease the interest rate</t>
        </r>
      </text>
    </comment>
    <comment ref="I491" authorId="0" shapeId="0" xr:uid="{FD428A9F-624E-42D2-818D-76A75427031C}">
      <text>
        <r>
          <rPr>
            <b/>
            <sz val="14"/>
            <color indexed="81"/>
            <rFont val="Tahoma"/>
            <family val="2"/>
          </rPr>
          <t xml:space="preserve">Note:
</t>
        </r>
        <r>
          <rPr>
            <sz val="14"/>
            <color indexed="81"/>
            <rFont val="Tahoma"/>
            <family val="2"/>
          </rPr>
          <t xml:space="preserve">The portion of total project cost funded from equity investors. This cell is a calculation and not an input. It is calculated as 100% minus the "% Debt" entered above.
</t>
        </r>
      </text>
    </comment>
    <comment ref="P491" authorId="0" shapeId="0" xr:uid="{E6959BB9-8E46-46F0-B5A7-E49BCBE44153}">
      <text>
        <r>
          <rPr>
            <b/>
            <sz val="8"/>
            <color indexed="81"/>
            <rFont val="Tahoma"/>
            <family val="2"/>
          </rPr>
          <t>See "unit" definitions at the bottom of this worksheet.</t>
        </r>
        <r>
          <rPr>
            <sz val="8"/>
            <color indexed="81"/>
            <rFont val="Tahoma"/>
            <family val="2"/>
          </rPr>
          <t xml:space="preserve">
</t>
        </r>
      </text>
    </comment>
    <comment ref="I492" authorId="1" shapeId="0" xr:uid="{023CC2F0-F25D-45A5-9BF8-6E61B9C37DBC}">
      <text>
        <r>
          <rPr>
            <b/>
            <sz val="14"/>
            <color indexed="81"/>
            <rFont val="Tahoma"/>
            <family val="2"/>
          </rPr>
          <t>Note:</t>
        </r>
        <r>
          <rPr>
            <sz val="14"/>
            <color indexed="81"/>
            <rFont val="Tahoma"/>
            <family val="2"/>
          </rPr>
          <t xml:space="preserve">
The target after-tax equity IRR is the equity investor's cost of capital -- or "discount rate" -- and is the minimum rate of return that the project owner will seek to attain in order to justify the project compared to alternative investments.  
The user should be explicit in his or her assumption regarding the term over which the target after-tax IRR is assumed to be realized. For example, the user could elect to align the return requirement with the tariff payment duration. In this case, the project useful life should be set equal to the tariff duration in order to calculate the COE associated with the target IRR over that period of time. 
In a second example, the user could elect to align the return requirement with the project's useful life. In this case, the user can either assume a tariff duration equal to the project life, or assume market-based revenue for the period after the tariff and before the end of the assumed project useful life.
This input cannot be less than zero.
If a project is expected to be funded either by a pool of corporate funds or back-leveraged after commercial operation, the user might elect to enter 0% in the "% Debt" cell and enter a weighted average cost of capital (WACC) in the "Target After-Tax Equity IRR" cell.
</t>
        </r>
      </text>
    </comment>
    <comment ref="I493" authorId="0" shapeId="0" xr:uid="{BD0C7299-A1E4-432D-8EEF-35F96E439E23}">
      <text>
        <r>
          <rPr>
            <b/>
            <sz val="14"/>
            <color indexed="81"/>
            <rFont val="Tahoma"/>
            <family val="2"/>
          </rPr>
          <t xml:space="preserve">Note:
</t>
        </r>
        <r>
          <rPr>
            <sz val="14"/>
            <color indexed="81"/>
            <rFont val="Tahoma"/>
            <family val="2"/>
          </rPr>
          <t xml:space="preserve">The weighted average cost of capital combines the after-tax cost of both equity and debt in proportion to their use, and is calculated here for reference.
</t>
        </r>
      </text>
    </comment>
    <comment ref="S493" authorId="1" shapeId="0" xr:uid="{BB8B3CBF-ACEB-41A4-8178-4277C6339B60}">
      <text>
        <r>
          <rPr>
            <b/>
            <sz val="14"/>
            <color indexed="81"/>
            <rFont val="Tahoma"/>
            <family val="2"/>
          </rPr>
          <t xml:space="preserve">Note:
</t>
        </r>
        <r>
          <rPr>
            <sz val="14"/>
            <color indexed="81"/>
            <rFont val="Tahoma"/>
            <family val="2"/>
          </rPr>
          <t xml:space="preserve">In order to ensure that project owners have sufficient funds to decommission and remove equipment at the end of a project's life, many owners choose to create and fund a reserve account throughout the course of project. 
This input cell allows the modeler to choose whether to pay for project removal by creating and funding a reserve account over the project life by selecting "Operations" or to assume that a project's removal will be funded by selling the equipment, by selecting "Salvage".
</t>
        </r>
      </text>
    </comment>
    <comment ref="I494" authorId="0" shapeId="0" xr:uid="{89CC5BB5-8570-4BB9-8DBB-6104DCFE44BC}">
      <text>
        <r>
          <rPr>
            <b/>
            <sz val="14"/>
            <color indexed="81"/>
            <rFont val="Tahoma"/>
            <family val="2"/>
          </rPr>
          <t xml:space="preserve">Note:
</t>
        </r>
        <r>
          <rPr>
            <sz val="14"/>
            <color indexed="81"/>
            <rFont val="Tahoma"/>
            <family val="2"/>
          </rPr>
          <t>This cell represents the costs of both equity and debt due diligence (if applicable) and other transaction costs.
Input cannot be less than zero.</t>
        </r>
      </text>
    </comment>
    <comment ref="S494" authorId="0" shapeId="0" xr:uid="{39FAEB75-9628-49F1-AD9D-219DDD45EFCF}">
      <text>
        <r>
          <rPr>
            <b/>
            <sz val="14"/>
            <color indexed="81"/>
            <rFont val="Tahoma"/>
            <family val="2"/>
          </rPr>
          <t>Note:</t>
        </r>
        <r>
          <rPr>
            <sz val="14"/>
            <color indexed="81"/>
            <rFont val="Tahoma"/>
            <family val="2"/>
          </rPr>
          <t xml:space="preserve">
This input cell allows the user to assume the creation of a reserve account. The value entered here will be accounted for in the project's cash flow, and would be funded evenly over the number of years available between the project's commercial operation and the end of its useful life.
Input cannot be less than zero.
</t>
        </r>
      </text>
    </comment>
    <comment ref="P496" authorId="0" shapeId="0" xr:uid="{E7E63A59-B959-460F-B707-A7E30A450CC0}">
      <text>
        <r>
          <rPr>
            <b/>
            <sz val="8"/>
            <color indexed="81"/>
            <rFont val="Tahoma"/>
            <family val="2"/>
          </rPr>
          <t>See "unit" definitions at the bottom of this worksheet.</t>
        </r>
        <r>
          <rPr>
            <sz val="8"/>
            <color indexed="81"/>
            <rFont val="Tahoma"/>
            <family val="2"/>
          </rPr>
          <t xml:space="preserve">
</t>
        </r>
      </text>
    </comment>
    <comment ref="I497" authorId="0" shapeId="0" xr:uid="{86DE7A7D-510F-4F06-A034-1465B01F56E2}">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at the project's "Total Installed Cost."
</t>
        </r>
      </text>
    </comment>
    <comment ref="I498" authorId="0" shapeId="0" xr:uid="{3CE82C11-EF3E-4CE4-ABD4-DAB840C8FB1A}">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t>
        </r>
      </text>
    </comment>
    <comment ref="S498" authorId="0" shapeId="0" xr:uid="{5EB022DF-0F68-4869-8B57-1B1778D456A6}">
      <text>
        <r>
          <rPr>
            <b/>
            <sz val="14"/>
            <color indexed="81"/>
            <rFont val="Tahoma"/>
            <family val="2"/>
          </rPr>
          <t>Note:</t>
        </r>
        <r>
          <rPr>
            <sz val="14"/>
            <color indexed="81"/>
            <rFont val="Tahoma"/>
            <family val="2"/>
          </rPr>
          <t xml:space="preserve">
Lenders typically require the project owner to establish a reserve account prior to the commencement of operations to ensure that loan repayments occur in full and on time even if the project has insufficient operating cash flow in a specific period due to lower than expected production, higher costs, or both. The size of the reserve account is typically equal to 6 months of debt service obligation.
Input cannot be less than zero.
</t>
        </r>
      </text>
    </comment>
    <comment ref="I499" authorId="0" shapeId="0" xr:uid="{9B824938-D080-465A-ABF3-2594228CB44E}">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As previously described, this value excludes the ITC Cash Grant, which must be financed prior to commercial operation.  
</t>
        </r>
      </text>
    </comment>
    <comment ref="S499" authorId="0" shapeId="0" xr:uid="{8162D98E-ED9B-471F-A3E1-554E4CDF29AE}">
      <text>
        <r>
          <rPr>
            <b/>
            <sz val="14"/>
            <color indexed="81"/>
            <rFont val="Tahoma"/>
            <family val="2"/>
          </rPr>
          <t>Note:</t>
        </r>
        <r>
          <rPr>
            <sz val="14"/>
            <color indexed="81"/>
            <rFont val="Tahoma"/>
            <family val="2"/>
          </rPr>
          <t xml:space="preserve">
Calculated value based on the # months of required reserve and the capital structure and associated periodic debt obligation.
</t>
        </r>
      </text>
    </comment>
    <comment ref="I500" authorId="0" shapeId="0" xr:uid="{87D86E17-2226-4AAA-98C9-69C6C62D0A78}">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t>
        </r>
      </text>
    </comment>
    <comment ref="S501" authorId="0" shapeId="0" xr:uid="{3D76D14B-B117-4EA1-9D2D-A4EA7BFA1F85}">
      <text>
        <r>
          <rPr>
            <b/>
            <sz val="14"/>
            <color indexed="81"/>
            <rFont val="Tahoma"/>
            <family val="2"/>
          </rPr>
          <t>Note:</t>
        </r>
        <r>
          <rPr>
            <sz val="14"/>
            <color indexed="81"/>
            <rFont val="Tahoma"/>
            <family val="2"/>
          </rPr>
          <t xml:space="preserve">
Lenders typically require the project owner to establish a reserve account prior to the commencement of operations to ensure that all O&amp;M expenses can be met even if the project has insufficient operating cash flow in a specific period due to lower than expected production, higher costs, or both. The size of the reserve account is typically 3 to 6 months of O&amp;M expenses, and includes all categories of O&amp;M expenses.
Input cannot be less than zero.
</t>
        </r>
      </text>
    </comment>
    <comment ref="F502" authorId="0" shapeId="0" xr:uid="{11E2E2BE-17A4-412D-B4CC-203FBD71F1C1}">
      <text>
        <r>
          <rPr>
            <b/>
            <sz val="8"/>
            <color indexed="81"/>
            <rFont val="Tahoma"/>
            <family val="2"/>
          </rPr>
          <t>See "unit" definitions at the bottom of this worksheet.</t>
        </r>
        <r>
          <rPr>
            <sz val="8"/>
            <color indexed="81"/>
            <rFont val="Tahoma"/>
            <family val="2"/>
          </rPr>
          <t xml:space="preserve">
</t>
        </r>
      </text>
    </comment>
    <comment ref="S502" authorId="0" shapeId="0" xr:uid="{774EE896-22BB-4C54-828F-A04109AE9679}">
      <text>
        <r>
          <rPr>
            <b/>
            <sz val="14"/>
            <color indexed="81"/>
            <rFont val="Tahoma"/>
            <family val="2"/>
          </rPr>
          <t>Note:</t>
        </r>
        <r>
          <rPr>
            <sz val="14"/>
            <color indexed="81"/>
            <rFont val="Tahoma"/>
            <family val="2"/>
          </rPr>
          <t xml:space="preserve">
Calculated value based on the # months of required reserve and all annual operating expenses.
</t>
        </r>
      </text>
    </comment>
    <comment ref="I503" authorId="0" shapeId="0" xr:uid="{68519EB8-1446-49F5-B893-E086CB36DDEE}">
      <text>
        <r>
          <rPr>
            <b/>
            <sz val="14"/>
            <color indexed="81"/>
            <rFont val="Tahoma"/>
            <family val="2"/>
          </rPr>
          <t xml:space="preserve">Note:
</t>
        </r>
        <r>
          <rPr>
            <sz val="14"/>
            <color indexed="81"/>
            <rFont val="Tahoma"/>
            <family val="2"/>
          </rPr>
          <t xml:space="preserve">Defines whether the project owner is a taxable or non-taxable entity. This determines the treatment of income taxes and other tax-related items.
</t>
        </r>
      </text>
    </comment>
    <comment ref="S503" authorId="0" shapeId="0" xr:uid="{0F3ACAA5-8707-48CE-93C1-B90DEEC1DE99}">
      <text>
        <r>
          <rPr>
            <b/>
            <sz val="14"/>
            <color indexed="81"/>
            <rFont val="Tahoma"/>
            <family val="2"/>
          </rPr>
          <t>Note:</t>
        </r>
        <r>
          <rPr>
            <sz val="14"/>
            <color indexed="81"/>
            <rFont val="Tahoma"/>
            <family val="2"/>
          </rPr>
          <t xml:space="preserve">
Unused reserves earn interest at this rate. Input cannot be less than zero.
</t>
        </r>
      </text>
    </comment>
    <comment ref="I504" authorId="0" shapeId="0" xr:uid="{1CC18FD6-BDC1-4E7C-8351-D60AF6E0E30B}">
      <text>
        <r>
          <rPr>
            <b/>
            <sz val="14"/>
            <color indexed="81"/>
            <rFont val="Tahoma"/>
            <family val="2"/>
          </rPr>
          <t xml:space="preserve">Note:
</t>
        </r>
        <r>
          <rPr>
            <sz val="14"/>
            <color indexed="81"/>
            <rFont val="Tahoma"/>
            <family val="2"/>
          </rPr>
          <t xml:space="preserve">Defines the project's federal income tax rate, if applicable.
Input cannot be less than zero.
</t>
        </r>
      </text>
    </comment>
    <comment ref="I505" authorId="0" shapeId="0" xr:uid="{6935FF01-DDA4-4059-9C6F-2EF88AD7638E}">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I506" authorId="0" shapeId="0" xr:uid="{ACAF19AA-33EE-4C93-9DBF-976E8396B571}">
      <text>
        <r>
          <rPr>
            <b/>
            <sz val="14"/>
            <color indexed="81"/>
            <rFont val="Tahoma"/>
            <family val="2"/>
          </rPr>
          <t xml:space="preserve">Note:
</t>
        </r>
        <r>
          <rPr>
            <sz val="14"/>
            <color indexed="81"/>
            <rFont val="Tahoma"/>
            <family val="2"/>
          </rPr>
          <t xml:space="preserve">Defines the project's state income tax rate, if applicable.
Input cannot be less than zero.
</t>
        </r>
      </text>
    </comment>
    <comment ref="S506" authorId="0" shapeId="0" xr:uid="{E85BC71F-7087-45D3-A87E-BCB4C5279E4F}">
      <text>
        <r>
          <rPr>
            <b/>
            <sz val="14"/>
            <color indexed="81"/>
            <rFont val="Tahoma"/>
            <family val="2"/>
          </rPr>
          <t>Note:</t>
        </r>
        <r>
          <rPr>
            <sz val="14"/>
            <color indexed="81"/>
            <rFont val="Tahoma"/>
            <family val="2"/>
          </rPr>
          <t xml:space="preserve">
To qualify for Bonus Depreciation the property must have a recovery period of 20 years or less (under normal federal tax depreciation rules), and the project must commence operation in the year in which bonus depreciation is in effect and under the ownership of the entity claiming the deduction. 
For qualifying projects, the owner is entitled to deduct 50% of the adjusted basis of the property during the tax year the property is first placed in service. The remaining 50% of the adjusted basis of the property is depreciated over the ordinary MACRS depreciation schedule. The bonus depreciation rules do not override the depreciation limit applicable to projects qualifying for the federal ITC. Before calculating depreciation for such a project, including any bonus depreciation, the adjusted basis of the project must be reduced by one-half of the amount of the ITC for which the project qualifies. 
</t>
        </r>
      </text>
    </comment>
    <comment ref="I507" authorId="0" shapeId="0" xr:uid="{A19D73B0-1C4F-4382-8FC1-F774A228AFCB}">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P507" authorId="0" shapeId="0" xr:uid="{9EA619BE-307F-476C-91BB-65C48E24EA5D}">
      <text>
        <r>
          <rPr>
            <b/>
            <sz val="12"/>
            <color indexed="81"/>
            <rFont val="Tahoma"/>
            <family val="2"/>
          </rPr>
          <t>Jason Gifford:</t>
        </r>
        <r>
          <rPr>
            <sz val="12"/>
            <color indexed="81"/>
            <rFont val="Tahoma"/>
            <family val="2"/>
          </rPr>
          <t xml:space="preserve">
The Consolidated Appropriations Act, signed in December 2015, extended the "placed in service" deadline for bonus depreciation. Equipment placed in service before January 1, 2018 can qualify for 50% bonus depreciation. Equipment placed in service during 2018 can qualify for 40% bonus depreciation. And equipment placed in service during 2019 can qualify for 30% bonus depreciation. </t>
        </r>
      </text>
    </comment>
    <comment ref="S507" authorId="0" shapeId="0" xr:uid="{E4FB760B-D8FE-47CE-9EA5-1FA604183DB1}">
      <text>
        <r>
          <rPr>
            <b/>
            <sz val="14"/>
            <color indexed="81"/>
            <rFont val="Tahoma"/>
            <family val="2"/>
          </rPr>
          <t>Note:</t>
        </r>
        <r>
          <rPr>
            <sz val="14"/>
            <color indexed="81"/>
            <rFont val="Tahoma"/>
            <family val="2"/>
          </rPr>
          <t xml:space="preserve">
This input allows the user to define the bonus depreciation % applied in Year 1, if applicable.  Historically, federal bonus depreciation has been 50% of the eligible cost basis (after taking into account reductions in such cost basis for the ITC, if applicable).  
Input cannot be less than zero.
</t>
        </r>
      </text>
    </comment>
    <comment ref="I508" authorId="0" shapeId="0" xr:uid="{36DB6452-3B69-4740-965A-A1A208C02518}">
      <text>
        <r>
          <rPr>
            <b/>
            <sz val="14"/>
            <color indexed="81"/>
            <rFont val="Tahoma"/>
            <family val="2"/>
          </rPr>
          <t xml:space="preserve">Note:
</t>
        </r>
        <r>
          <rPr>
            <sz val="14"/>
            <color indexed="81"/>
            <rFont val="Tahoma"/>
            <family val="2"/>
          </rPr>
          <t xml:space="preserve">Takes into account the interaction between federal and state tax rates. This is a calculated value.
</t>
        </r>
      </text>
    </comment>
    <comment ref="I509" authorId="0" shapeId="0" xr:uid="{9CA50D48-E6A9-48FF-8651-6F901EC55C46}">
      <text>
        <r>
          <rPr>
            <b/>
            <sz val="14"/>
            <color indexed="81"/>
            <rFont val="Tahoma"/>
            <family val="2"/>
          </rPr>
          <t xml:space="preserve">Note:
</t>
        </r>
        <r>
          <rPr>
            <sz val="14"/>
            <color indexed="81"/>
            <rFont val="Tahoma"/>
            <family val="2"/>
          </rPr>
          <t>Depreciation accounts for the "use" of equipment for tax purposes. The depreciation inputs are provided in the table to the right and on the Complex Capital Costs tab when this option is selected.</t>
        </r>
      </text>
    </comment>
    <comment ref="AB510" authorId="0" shapeId="0" xr:uid="{5A7CC3E1-77EB-40E9-B372-FD9A0C76996C}">
      <text>
        <r>
          <rPr>
            <b/>
            <sz val="14"/>
            <color indexed="81"/>
            <rFont val="Tahoma"/>
            <family val="2"/>
          </rPr>
          <t>Note:</t>
        </r>
        <r>
          <rPr>
            <sz val="14"/>
            <color indexed="81"/>
            <rFont val="Tahoma"/>
            <family val="2"/>
          </rPr>
          <t xml:space="preserve">
When the "Simple" capital cost option is selected, the depreciation of total project costs is divided among the classifications using this row. The depreciation options associated with other levels of cost detail will be hidden.
</t>
        </r>
        <r>
          <rPr>
            <b/>
            <sz val="14"/>
            <color indexed="81"/>
            <rFont val="Tahoma"/>
            <family val="2"/>
          </rPr>
          <t xml:space="preserve">This row must sum to 100%.
</t>
        </r>
      </text>
    </comment>
    <comment ref="AB511" authorId="0" shapeId="0" xr:uid="{DB3C8285-6684-40F8-858A-1C35388F8525}">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512" authorId="0" shapeId="0" xr:uid="{3D64E913-0EE7-4DED-83B3-81D70FB4D289}">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513" authorId="0" shapeId="0" xr:uid="{C4E2869F-21B8-4191-A3C1-B2B945492215}">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514" authorId="0" shapeId="0" xr:uid="{92D3E652-2B1E-40B6-A0F2-076444EAAE2F}">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515" authorId="0" shapeId="0" xr:uid="{E99AFE80-EEEE-4861-8378-6E95E390EF5E}">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516" authorId="0" shapeId="0" xr:uid="{14B17DD7-8655-4A60-995C-C55278BD255D}">
      <text>
        <r>
          <rPr>
            <b/>
            <sz val="14"/>
            <color indexed="81"/>
            <rFont val="Tahoma"/>
            <family val="2"/>
          </rPr>
          <t>Note:</t>
        </r>
        <r>
          <rPr>
            <sz val="14"/>
            <color indexed="81"/>
            <rFont val="Tahoma"/>
            <family val="2"/>
          </rPr>
          <t xml:space="preserve">
When the "Complex" capital cost option is selected, each line items is assigned its own depreciation classification using a drop-down menu on the Complex Capital Costs tab.
</t>
        </r>
      </text>
    </comment>
    <comment ref="C521" authorId="0" shapeId="0" xr:uid="{DA916710-90C9-46D4-8EDF-301B3386DFF9}">
      <text>
        <r>
          <rPr>
            <sz val="14"/>
            <color indexed="81"/>
            <rFont val="Tahoma"/>
            <family val="2"/>
          </rPr>
          <t xml:space="preserve">The "Check" column evaluates whether or not values have been enterred in all required fields.  Green denotes an accepted entry in a required field or a calculation for which the minimum required precedents have been satisfied.  Red denotes the absence of an entry in a required field, or a calculation for which the minimum required precendents have NOT been satisfied.
</t>
        </r>
        <r>
          <rPr>
            <b/>
            <sz val="14"/>
            <color indexed="81"/>
            <rFont val="Tahoma"/>
            <family val="2"/>
          </rPr>
          <t>Please note</t>
        </r>
        <r>
          <rPr>
            <sz val="14"/>
            <color indexed="81"/>
            <rFont val="Tahoma"/>
            <family val="2"/>
          </rPr>
          <t xml:space="preserve"> that while the "Check" column ensures the population of all required fields, this column does NOT validate the magnitude of such entries.  It is the model user's responsibility to provide inputs which accurately represent the project being modeled.  In some cases, a range of typical values for a specified input are provided in that input's "Notes" cell.</t>
        </r>
      </text>
    </comment>
    <comment ref="I521" authorId="0" shapeId="0" xr:uid="{B97A1D78-0CD7-4704-9BFA-86EA388E2AE2}">
      <text>
        <r>
          <rPr>
            <sz val="14"/>
            <color indexed="81"/>
            <rFont val="Tahoma"/>
            <family val="2"/>
          </rPr>
          <t xml:space="preserve">Each cell in the "Notes" column provides a brief description of the input in the corresponding row, its application within the model, and (in some cases) the range of values that might be expected to populate that  input cell.  It is the model user's responsibility, however, to research and validate the applicability of, and appropriate value for, each input.
</t>
        </r>
        <r>
          <rPr>
            <sz val="8"/>
            <color indexed="81"/>
            <rFont val="Tahoma"/>
            <family val="2"/>
          </rPr>
          <t xml:space="preserve">
</t>
        </r>
      </text>
    </comment>
    <comment ref="M521" authorId="0" shapeId="0" xr:uid="{615AA8F1-CC28-4298-8267-1CD2A755B7A2}">
      <text>
        <r>
          <rPr>
            <sz val="14"/>
            <color indexed="81"/>
            <rFont val="Tahoma"/>
            <family val="2"/>
          </rPr>
          <t xml:space="preserve">The "Check" column evaluates whether or not values have been enterred in all required fields.  Green denotes an accepted entry in a required field or a calculation for which the minimum required precedents have been satisfied.  Red denotes the absence of an entry in a required field, or a calculation for which the minimum required precendents have NOT been satisfied.
</t>
        </r>
        <r>
          <rPr>
            <b/>
            <sz val="14"/>
            <color indexed="81"/>
            <rFont val="Tahoma"/>
            <family val="2"/>
          </rPr>
          <t>Please note</t>
        </r>
        <r>
          <rPr>
            <sz val="14"/>
            <color indexed="81"/>
            <rFont val="Tahoma"/>
            <family val="2"/>
          </rPr>
          <t xml:space="preserve"> that while the "Check" column ensures the population of all required fields, this column does NOT validate the magnitude of such entries.  It is the model user's responsibility to provide inputs which accurately represent the project being modeled.  In some cases, a range of typical values for a specified input are provided in that input's "Notes" cell.</t>
        </r>
      </text>
    </comment>
    <comment ref="S521" authorId="0" shapeId="0" xr:uid="{D6D317EB-70E1-4F1D-AA65-80CBCB51ACAD}">
      <text>
        <r>
          <rPr>
            <sz val="14"/>
            <color indexed="81"/>
            <rFont val="Tahoma"/>
            <family val="2"/>
          </rPr>
          <t>Each cell in the "Notes" column provides a brief description of the input in the corresponding row, its application within the model, and (in some cases) the range of values that might be expected to populate that  input cell. It is the model user's responsibility, however, to research and validate the applicability of, and appropriate value for, each input.</t>
        </r>
        <r>
          <rPr>
            <sz val="8"/>
            <color indexed="81"/>
            <rFont val="Tahoma"/>
            <family val="2"/>
          </rPr>
          <t xml:space="preserve">
</t>
        </r>
      </text>
    </comment>
    <comment ref="F523" authorId="0" shapeId="0" xr:uid="{F93DFCD0-372B-49BF-B51A-6F1A63A58C3B}">
      <text>
        <r>
          <rPr>
            <b/>
            <sz val="8"/>
            <color indexed="81"/>
            <rFont val="Tahoma"/>
            <family val="2"/>
          </rPr>
          <t>See "unit" definitions at the bottom of this worksheet.</t>
        </r>
        <r>
          <rPr>
            <sz val="8"/>
            <color indexed="81"/>
            <rFont val="Tahoma"/>
            <family val="2"/>
          </rPr>
          <t xml:space="preserve">
</t>
        </r>
      </text>
    </comment>
    <comment ref="P523" authorId="0" shapeId="0" xr:uid="{657F067B-E3E4-4725-95B3-B61ABECAC6D4}">
      <text>
        <r>
          <rPr>
            <b/>
            <sz val="8"/>
            <color indexed="81"/>
            <rFont val="Tahoma"/>
            <family val="2"/>
          </rPr>
          <t>See "unit" definitions at the bottom of this worksheet.</t>
        </r>
        <r>
          <rPr>
            <sz val="8"/>
            <color indexed="81"/>
            <rFont val="Tahoma"/>
            <family val="2"/>
          </rPr>
          <t xml:space="preserve">
</t>
        </r>
      </text>
    </comment>
    <comment ref="I524" authorId="1" shapeId="0" xr:uid="{5BB39DD4-8A63-425F-AF8D-6E9733C25FC8}">
      <text>
        <r>
          <rPr>
            <b/>
            <sz val="14"/>
            <color indexed="81"/>
            <rFont val="Tahoma"/>
            <family val="2"/>
          </rPr>
          <t>Note:</t>
        </r>
        <r>
          <rPr>
            <sz val="14"/>
            <color indexed="81"/>
            <rFont val="Tahoma"/>
            <family val="2"/>
          </rPr>
          <t xml:space="preserve">
This is the aggregate nameplate rating for the entire generating facility.
Input must be greater than zero.
</t>
        </r>
      </text>
    </comment>
    <comment ref="S524" authorId="1" shapeId="0" xr:uid="{15094AE0-2129-42EE-B8B5-518C65844DB1}">
      <text>
        <r>
          <rPr>
            <b/>
            <sz val="14"/>
            <color indexed="81"/>
            <rFont val="Tahoma"/>
            <family val="2"/>
          </rPr>
          <t xml:space="preserve">Note:
</t>
        </r>
        <r>
          <rPr>
            <sz val="14"/>
            <color indexed="81"/>
            <rFont val="Tahoma"/>
            <family val="2"/>
          </rPr>
          <t xml:space="preserve">The FIT contract length is the number of years for which the rate specified by this model is available. This term is established by policymakers and must be less than or equal to the project's useful life.  
The contract duration is also different than the debt tenor (if applicable), which is specified in the Permanent Financing section below.
</t>
        </r>
      </text>
    </comment>
    <comment ref="I525" authorId="1" shapeId="0" xr:uid="{E7A8EDA4-5543-4650-90DE-38F8C0484665}">
      <text>
        <r>
          <rPr>
            <b/>
            <sz val="14"/>
            <color indexed="81"/>
            <rFont val="Tahoma"/>
            <family val="2"/>
          </rPr>
          <t>Note:</t>
        </r>
        <r>
          <rPr>
            <sz val="14"/>
            <color indexed="81"/>
            <rFont val="Tahoma"/>
            <family val="2"/>
          </rPr>
          <t xml:space="preserve">
Capacity Factor is the % representation of the actual production vs. the theoretical maximum annual production of an energy project. This model requires the input of a </t>
        </r>
        <r>
          <rPr>
            <b/>
            <sz val="14"/>
            <color indexed="81"/>
            <rFont val="Tahoma"/>
            <family val="2"/>
          </rPr>
          <t>Net Capacity Factor</t>
        </r>
        <r>
          <rPr>
            <sz val="14"/>
            <color indexed="81"/>
            <rFont val="Tahoma"/>
            <family val="2"/>
          </rPr>
          <t xml:space="preserve">, meaning that the estimate of actual energy production should take into account all electricity losses (including those incurred between the generating facility and the contract delivery point), scheduled and unscheduled maintenance, forced outages, wake effects, icing, and any other factors that could reduce production.
Wind projects typically have a capacity factor between 25% and 40% depending on region and site-specific topography. 
Input must be between 0% and 100%.
</t>
        </r>
      </text>
    </comment>
    <comment ref="S525" authorId="1" shapeId="0" xr:uid="{152D7095-EF8E-48C0-AAD8-67D5A9C53A4C}">
      <text>
        <r>
          <rPr>
            <b/>
            <sz val="14"/>
            <color indexed="81"/>
            <rFont val="Tahoma"/>
            <family val="2"/>
          </rPr>
          <t xml:space="preserve">Note:
</t>
        </r>
        <r>
          <rPr>
            <sz val="14"/>
            <color indexed="81"/>
            <rFont val="Tahoma"/>
            <family val="2"/>
          </rPr>
          <t xml:space="preserve">This is the portion (%) of the tariff which is subject to annual escalation.  
Program administrators may determine that some or all of the tariff rate should be escalated to reflect the uncertainty associated with the future cost of owning and operating an electricity generating facility. This input is separate from the inflation assumed to apply to certain O&amp;M expenses, which is provided as an input in the O&amp;M section below.
Input must be between 0% and 100%.
</t>
        </r>
      </text>
    </comment>
    <comment ref="I526" authorId="1" shapeId="0" xr:uid="{F95BCE6B-C3AD-4D7F-AC6A-AAD929EB08B7}">
      <text>
        <r>
          <rPr>
            <b/>
            <sz val="14"/>
            <color indexed="81"/>
            <rFont val="Tahoma"/>
            <family val="2"/>
          </rPr>
          <t>Note:</t>
        </r>
        <r>
          <rPr>
            <sz val="14"/>
            <color indexed="81"/>
            <rFont val="Tahoma"/>
            <family val="2"/>
          </rPr>
          <t xml:space="preserve">
This is a calculation, based on the system size and capacity factor provided above. 
</t>
        </r>
      </text>
    </comment>
    <comment ref="S526" authorId="1" shapeId="0" xr:uid="{E5E2A62D-0A69-43B4-95EA-6825347AF454}">
      <text>
        <r>
          <rPr>
            <b/>
            <sz val="14"/>
            <color indexed="81"/>
            <rFont val="Tahoma"/>
            <family val="2"/>
          </rPr>
          <t xml:space="preserve">Note:
</t>
        </r>
        <r>
          <rPr>
            <sz val="14"/>
            <color indexed="81"/>
            <rFont val="Tahoma"/>
            <family val="2"/>
          </rPr>
          <t xml:space="preserve">To calculate a </t>
        </r>
        <r>
          <rPr>
            <b/>
            <sz val="14"/>
            <color indexed="81"/>
            <rFont val="Tahoma"/>
            <family val="2"/>
          </rPr>
          <t>nominal levelized tariff rate</t>
        </r>
        <r>
          <rPr>
            <sz val="14"/>
            <color indexed="81"/>
            <rFont val="Tahoma"/>
            <family val="2"/>
          </rPr>
          <t xml:space="preserve">, the "feed-in tariff escalation rate" field should be </t>
        </r>
        <r>
          <rPr>
            <b/>
            <sz val="14"/>
            <color indexed="81"/>
            <rFont val="Tahoma"/>
            <family val="2"/>
          </rPr>
          <t>set to zero</t>
        </r>
        <r>
          <rPr>
            <sz val="14"/>
            <color indexed="81"/>
            <rFont val="Tahoma"/>
            <family val="2"/>
          </rPr>
          <t>.</t>
        </r>
        <r>
          <rPr>
            <b/>
            <sz val="14"/>
            <color indexed="81"/>
            <rFont val="Tahoma"/>
            <family val="2"/>
          </rPr>
          <t xml:space="preserve">
</t>
        </r>
        <r>
          <rPr>
            <sz val="14"/>
            <color indexed="81"/>
            <rFont val="Tahoma"/>
            <family val="2"/>
          </rPr>
          <t xml:space="preserve">Where applied, tariff rate escalation is intended to serve as a risk mitigating tool, at least partially protecting the project investor from the uncertainty associated with the future cost of owning and operating the renewable energy facility. The escalation rate can be used to assume a year over year increase in all, or a portion, of the per unit payment provided to eligible generators. This concept is separate from inflationary adjustments to future operating cost assumptions -- which are input below.
This rate is applied annually.  Note that in this model, calendar years and tariff years are aligned.
</t>
        </r>
        <r>
          <rPr>
            <b/>
            <sz val="14"/>
            <color indexed="81"/>
            <rFont val="Tahoma"/>
            <family val="2"/>
          </rPr>
          <t>Caution:</t>
        </r>
        <r>
          <rPr>
            <sz val="14"/>
            <color indexed="81"/>
            <rFont val="Tahoma"/>
            <family val="2"/>
          </rPr>
          <t xml:space="preserve"> A value must be entered into this cell in order for the model to function properly. The input can be positive or negative (if the FIT value decreases over time), and a typical value may fall between 0% and 5%.  
</t>
        </r>
      </text>
    </comment>
    <comment ref="I527" authorId="1" shapeId="0" xr:uid="{0D102B4F-9F11-405D-8D0F-CA306D23D63E}">
      <text>
        <r>
          <rPr>
            <b/>
            <sz val="14"/>
            <color indexed="81"/>
            <rFont val="Tahoma"/>
            <family val="2"/>
          </rPr>
          <t>Note:</t>
        </r>
        <r>
          <rPr>
            <sz val="14"/>
            <color indexed="81"/>
            <rFont val="Tahoma"/>
            <family val="2"/>
          </rPr>
          <t xml:space="preserve">
The natural aging of the mechanical components of a wind turbine generator may lead to a drop in turbine availability (or efficiency), and therefore production, over time.  
This input allows the user to model the potential for such degradation, which may be between 0% and 2% per year.
</t>
        </r>
        <r>
          <rPr>
            <b/>
            <sz val="14"/>
            <color indexed="81"/>
            <rFont val="Tahoma"/>
            <family val="2"/>
          </rPr>
          <t>If the modeled "Net Capacity Factor" is intented to take long-term average availability into account, then the user may wish to enter 0% in the Annual Production Degradation field.</t>
        </r>
        <r>
          <rPr>
            <sz val="14"/>
            <color indexed="81"/>
            <rFont val="Tahoma"/>
            <family val="2"/>
          </rPr>
          <t xml:space="preserve">
Input must be =&gt; 0%.
</t>
        </r>
      </text>
    </comment>
    <comment ref="I528" authorId="1" shapeId="0" xr:uid="{7EAE3DB7-9589-401F-B60A-A1DB530EB614}">
      <text>
        <r>
          <rPr>
            <b/>
            <sz val="14"/>
            <color indexed="81"/>
            <rFont val="Tahoma"/>
            <family val="2"/>
          </rPr>
          <t xml:space="preserve">Note:
</t>
        </r>
        <r>
          <rPr>
            <sz val="14"/>
            <color indexed="81"/>
            <rFont val="Tahoma"/>
            <family val="2"/>
          </rPr>
          <t xml:space="preserve">The Project Useful Life is the number of years that the project is expected to be fully operational, reliably delivering electricity to the grid, and generating revenue. This concept is different from the FIT Contract Length, which is administratively determined by policymakers. These two values may be the same if a FIT contract is offered for the project's entire expected useful life. This approach is likely to generate the lowest tariff rate, while successfully attracting investors to renewable energy projects.  
The CREST model is built for a maximum Project Useful Life of 30 years.
Input must be greater than 0 and less than or equal to 30.
</t>
        </r>
      </text>
    </comment>
    <comment ref="S528" authorId="1" shapeId="0" xr:uid="{D4629F8A-6373-4304-AA04-290B7743E38F}">
      <text>
        <r>
          <rPr>
            <b/>
            <sz val="14"/>
            <color indexed="81"/>
            <rFont val="Tahoma"/>
            <family val="2"/>
          </rPr>
          <t xml:space="preserve">Note:
</t>
        </r>
        <r>
          <rPr>
            <sz val="14"/>
            <color indexed="81"/>
            <rFont val="Tahoma"/>
            <family val="2"/>
          </rPr>
          <t>If the designated "FIT Contract Length" is less than the defined "Project Useful Life", then this grouping of inputs is used to calculate the project's market-based revenue during the period from FIT contract expiration to the end of the project's life.</t>
        </r>
        <r>
          <rPr>
            <b/>
            <sz val="14"/>
            <color indexed="81"/>
            <rFont val="Tahoma"/>
            <family val="2"/>
          </rPr>
          <t xml:space="preserve">
</t>
        </r>
        <r>
          <rPr>
            <sz val="14"/>
            <color indexed="81"/>
            <rFont val="Tahoma"/>
            <family val="2"/>
          </rPr>
          <t xml:space="preserve">
</t>
        </r>
      </text>
    </comment>
    <comment ref="S529" authorId="1" shapeId="0" xr:uid="{5AF8221B-24F0-42EA-83DB-92F26607D60A}">
      <text>
        <r>
          <rPr>
            <b/>
            <sz val="14"/>
            <color indexed="81"/>
            <rFont val="Tahoma"/>
            <family val="2"/>
          </rPr>
          <t xml:space="preserve">Note:
</t>
        </r>
        <r>
          <rPr>
            <sz val="14"/>
            <color indexed="81"/>
            <rFont val="Tahoma"/>
            <family val="2"/>
          </rPr>
          <t>Selecting "Year One" forecasts the total market value of production based on an estimate of that value in the project's first year of commercial operation and a user-defined escalation rate.  
Selecting "Year-by-Year" enables the user to enter unique annual values for the period after the FIT expires and before the end of the project's useful life.</t>
        </r>
        <r>
          <rPr>
            <b/>
            <sz val="14"/>
            <color indexed="81"/>
            <rFont val="Tahoma"/>
            <family val="2"/>
          </rPr>
          <t xml:space="preserve">
</t>
        </r>
        <r>
          <rPr>
            <sz val="14"/>
            <color indexed="81"/>
            <rFont val="Tahoma"/>
            <family val="2"/>
          </rPr>
          <t xml:space="preserve">
</t>
        </r>
      </text>
    </comment>
    <comment ref="F530" authorId="0" shapeId="0" xr:uid="{CA22D597-6989-4569-82F1-D5ADDF8364B0}">
      <text>
        <r>
          <rPr>
            <b/>
            <sz val="8"/>
            <color indexed="81"/>
            <rFont val="Tahoma"/>
            <family val="2"/>
          </rPr>
          <t>See "unit" definitions at the bottom of this worksheet.</t>
        </r>
        <r>
          <rPr>
            <sz val="8"/>
            <color indexed="81"/>
            <rFont val="Tahoma"/>
            <family val="2"/>
          </rPr>
          <t xml:space="preserve">
</t>
        </r>
      </text>
    </comment>
    <comment ref="S530" authorId="1" shapeId="0" xr:uid="{E81386C5-0EF3-402F-AD59-ECE4AEFDA237}">
      <text>
        <r>
          <rPr>
            <b/>
            <sz val="14"/>
            <color indexed="81"/>
            <rFont val="Tahoma"/>
            <family val="2"/>
          </rPr>
          <t xml:space="preserve">Note:
</t>
        </r>
        <r>
          <rPr>
            <sz val="14"/>
            <color indexed="81"/>
            <rFont val="Tahoma"/>
            <family val="2"/>
          </rPr>
          <t xml:space="preserve">This is the </t>
        </r>
        <r>
          <rPr>
            <b/>
            <sz val="14"/>
            <color indexed="81"/>
            <rFont val="Tahoma"/>
            <family val="2"/>
          </rPr>
          <t>combined</t>
        </r>
        <r>
          <rPr>
            <sz val="14"/>
            <color indexed="81"/>
            <rFont val="Tahoma"/>
            <family val="2"/>
          </rPr>
          <t xml:space="preserve"> (or "bundled") market value of energy + capacity + Renewable Energy Credtis (RECs) in the same year in which the project's first enters commercial operation.
This input must be greater than zero.
</t>
        </r>
      </text>
    </comment>
    <comment ref="I531" authorId="1" shapeId="0" xr:uid="{D8E7BDE4-A096-4859-B929-9CD0E68C8ED9}">
      <text>
        <r>
          <rPr>
            <b/>
            <sz val="14"/>
            <color indexed="81"/>
            <rFont val="Tahoma"/>
            <family val="2"/>
          </rPr>
          <t>Note:</t>
        </r>
        <r>
          <rPr>
            <sz val="14"/>
            <color indexed="81"/>
            <rFont val="Tahoma"/>
            <family val="2"/>
          </rPr>
          <t xml:space="preserve">
This model alllows the user to input system cost at 1 of 3 levels of detail: "simple", "intermediate" or "complex." Simple offers a single input in $/kW, Intermediate offers five cost subcategories in total dollars, and Complex offers line-by-line project costing with user-defined categories and costs per line-item.  
Select your preferred method and use the cells below to enter your cost information. If you choose the "Complex" option, you will need to follow the link below to the "Complex Capital Costs" tab.</t>
        </r>
      </text>
    </comment>
    <comment ref="S531" authorId="1" shapeId="0" xr:uid="{AE0B7F67-9300-43AF-8ACB-1995BCF50FBE}">
      <text>
        <r>
          <rPr>
            <b/>
            <sz val="14"/>
            <color indexed="81"/>
            <rFont val="Tahoma"/>
            <family val="2"/>
          </rPr>
          <t xml:space="preserve">Note:
</t>
        </r>
        <r>
          <rPr>
            <sz val="14"/>
            <color indexed="81"/>
            <rFont val="Tahoma"/>
            <family val="2"/>
          </rPr>
          <t xml:space="preserve">When the "Year One" forecast methodology is selected, this is the user-defined escalation rate at which the market value of production is expected to change.
Input must be greater than zero.
</t>
        </r>
      </text>
    </comment>
    <comment ref="I532" authorId="1" shapeId="0" xr:uid="{B7E2CF7B-EB10-4614-8558-73C6B0E07413}">
      <text>
        <r>
          <rPr>
            <b/>
            <sz val="14"/>
            <color indexed="81"/>
            <rFont val="Tahoma"/>
            <family val="2"/>
          </rPr>
          <t>Note:</t>
        </r>
        <r>
          <rPr>
            <sz val="14"/>
            <color indexed="81"/>
            <rFont val="Tahoma"/>
            <family val="2"/>
          </rPr>
          <t xml:space="preserve">
When "Simple" is selected in the Cost Level of Detail cell, this "Total Installed Cost" row represents the total expected all-in project cost, which should include all hardware, balance of plant, interconnection, design, construction, permitting, development (including developer fee), interest during construction and financing costs. This figure should not account for any tax incentives, grants, or other cash incentives, each of which will be addressed elsewhere in the model. This figure should, however, reflect any applicable sales tax or exemptions thereof.
Input must be greater than zero.
</t>
        </r>
      </text>
    </comment>
    <comment ref="S532" authorId="1" shapeId="0" xr:uid="{1C25B6E9-13D1-4527-8C2E-F5CF29D64F1E}">
      <text>
        <r>
          <rPr>
            <b/>
            <sz val="14"/>
            <color indexed="81"/>
            <rFont val="Tahoma"/>
            <family val="2"/>
          </rPr>
          <t xml:space="preserve">Note:
</t>
        </r>
        <r>
          <rPr>
            <sz val="14"/>
            <color indexed="81"/>
            <rFont val="Tahoma"/>
            <family val="2"/>
          </rPr>
          <t xml:space="preserve">When "Year-by-Year" market value of production forecast is selected, this link brings the user to another worksheet on which unique annual values may be entered.
</t>
        </r>
      </text>
    </comment>
    <comment ref="I533" authorId="1" shapeId="0" xr:uid="{DE9051B4-6BC7-42B5-BD4E-4A519E453580}">
      <text>
        <r>
          <rPr>
            <b/>
            <sz val="14"/>
            <color indexed="81"/>
            <rFont val="Tahoma"/>
            <family val="2"/>
          </rPr>
          <t>Note:</t>
        </r>
        <r>
          <rPr>
            <sz val="14"/>
            <color indexed="81"/>
            <rFont val="Tahoma"/>
            <family val="2"/>
          </rPr>
          <t xml:space="preserve">
"Generation Equipment" should include hardware such as the generator, blades and tower.  
Caution: the model assumes that if "Intermediate" is selected as the level of detail section, the "Generation Equipment" row must have a value greater than zero. 
</t>
        </r>
      </text>
    </comment>
    <comment ref="I534" authorId="1" shapeId="0" xr:uid="{3DD9B737-9D54-4B59-B8A6-08FF74AD6798}">
      <text>
        <r>
          <rPr>
            <b/>
            <sz val="14"/>
            <color indexed="81"/>
            <rFont val="Tahoma"/>
            <family val="2"/>
          </rPr>
          <t>Note:</t>
        </r>
        <r>
          <rPr>
            <sz val="14"/>
            <color indexed="81"/>
            <rFont val="Tahoma"/>
            <family val="2"/>
          </rPr>
          <t xml:space="preserve">
Balance of Plant (also known as Balance of System) represents all infrastructure, site prep and labor supporting the installation of the generation equipment. BOP costs include foundations, mounting devices, other hardware, and labor not already accounted for in the "Generation Equipment" row.
Input cannot be less than zero.
</t>
        </r>
      </text>
    </comment>
    <comment ref="P534" authorId="0" shapeId="0" xr:uid="{21EDC430-5080-4E97-AAA7-959913DAF1D6}">
      <text>
        <r>
          <rPr>
            <b/>
            <sz val="8"/>
            <color indexed="81"/>
            <rFont val="Tahoma"/>
            <family val="2"/>
          </rPr>
          <t>See "unit" definitions at the bottom of this worksheet.</t>
        </r>
        <r>
          <rPr>
            <sz val="8"/>
            <color indexed="81"/>
            <rFont val="Tahoma"/>
            <family val="2"/>
          </rPr>
          <t xml:space="preserve">
</t>
        </r>
      </text>
    </comment>
    <comment ref="I535" authorId="1" shapeId="0" xr:uid="{4629EA2E-9C0D-409B-9334-E5CDDE90096C}">
      <text>
        <r>
          <rPr>
            <b/>
            <sz val="14"/>
            <color indexed="81"/>
            <rFont val="Tahoma"/>
            <family val="2"/>
          </rPr>
          <t>Note:</t>
        </r>
        <r>
          <rPr>
            <sz val="14"/>
            <color indexed="81"/>
            <rFont val="Tahoma"/>
            <family val="2"/>
          </rPr>
          <t xml:space="preserve">
The "Interconnection" row should account for all project costs relating to connecting to the grid, such as the construction of transmission lines, permitting costs with the utility, and start-up costs. This category will also include the cost of a new substation, if necessary.
Regulators wishing to explore the potential that interconnection costs may be recovered from ratepayers separately can elect to enter zeros in this cost category whenever "Intermediate" or "Complex" is selected.
Input cannot be less than zero.
</t>
        </r>
      </text>
    </comment>
    <comment ref="S535" authorId="0" shapeId="0" xr:uid="{B87ADEDA-B7EB-44E1-B0DF-424C83445F15}">
      <text>
        <r>
          <rPr>
            <b/>
            <sz val="14"/>
            <color indexed="81"/>
            <rFont val="Tahoma"/>
            <family val="2"/>
          </rPr>
          <t xml:space="preserve">Note:
</t>
        </r>
        <r>
          <rPr>
            <sz val="14"/>
            <color indexed="81"/>
            <rFont val="Tahoma"/>
            <family val="2"/>
          </rPr>
          <t>This drop-down input cell allows the user to specify whether federal incentives are cost-based (e.g. an investment tax credit) or performance-based (e.g. a PTC). The magnitude and terms of these incentives are set in the cells below.
For more information, a useful resource for researching federal and state incentives online is:  
http://dsireusa.org/
*See bottom of introduction page for a list of links</t>
        </r>
      </text>
    </comment>
    <comment ref="E536" authorId="0" shapeId="0" xr:uid="{E26F717C-817C-4B30-8897-D40011DE73DB}">
      <text>
        <r>
          <rPr>
            <b/>
            <sz val="14"/>
            <color indexed="81"/>
            <rFont val="Tahoma"/>
            <family val="2"/>
          </rPr>
          <t>Jason Gifford:</t>
        </r>
        <r>
          <rPr>
            <sz val="14"/>
            <color indexed="81"/>
            <rFont val="Tahoma"/>
            <family val="2"/>
          </rPr>
          <t xml:space="preserve">
Converted to "admin cost" for community remote DG</t>
        </r>
      </text>
    </comment>
    <comment ref="I536" authorId="1" shapeId="0" xr:uid="{6391D4FC-7252-4057-B649-68CA7DABF8B3}">
      <text>
        <r>
          <rPr>
            <b/>
            <sz val="14"/>
            <color indexed="81"/>
            <rFont val="Tahoma"/>
            <family val="2"/>
          </rPr>
          <t>Note:</t>
        </r>
        <r>
          <rPr>
            <sz val="8"/>
            <color indexed="81"/>
            <rFont val="Tahoma"/>
            <family val="2"/>
          </rPr>
          <t xml:space="preserve">
</t>
        </r>
        <r>
          <rPr>
            <sz val="14"/>
            <color indexed="81"/>
            <rFont val="Tahoma"/>
            <family val="2"/>
          </rPr>
          <t xml:space="preserve">The "Development Costs" row should include all costs relating to project management, studies, engineering, permitting, contingencies, success fees, and other soft costs not accounted for elsewhere in the "Intermediate" cost breakdown. 
Input cannot be less than zero.
</t>
        </r>
      </text>
    </comment>
    <comment ref="S536" authorId="1" shapeId="0" xr:uid="{D21B8081-305F-47DC-AA38-317DC270FB32}">
      <text>
        <r>
          <rPr>
            <b/>
            <sz val="14"/>
            <color indexed="81"/>
            <rFont val="Tahoma"/>
            <family val="2"/>
          </rPr>
          <t xml:space="preserve">Note:
</t>
        </r>
        <r>
          <rPr>
            <sz val="14"/>
            <color indexed="81"/>
            <rFont val="Tahoma"/>
            <family val="2"/>
          </rPr>
          <t>Some renewable energy projects may be eligible to take advantagee of Federal incentives such as the Investment Tax Credit or a Treasury Grant. Information on eligibility for funding opportunities such as these is available online at:
http://dsireusa.org/incentives/incentive.cfm?Incentive_Code=US02F&amp;re=1&amp;ee=1
*See bottom of introduction page for a list of links</t>
        </r>
        <r>
          <rPr>
            <b/>
            <sz val="14"/>
            <color indexed="81"/>
            <rFont val="Tahoma"/>
            <family val="2"/>
          </rPr>
          <t xml:space="preserve">
</t>
        </r>
        <r>
          <rPr>
            <sz val="14"/>
            <color indexed="81"/>
            <rFont val="Tahoma"/>
            <family val="2"/>
          </rPr>
          <t xml:space="preserve">
</t>
        </r>
      </text>
    </comment>
    <comment ref="I537" authorId="1" shapeId="0" xr:uid="{C051F302-9443-4BCF-9872-35DABCB99543}">
      <text>
        <r>
          <rPr>
            <b/>
            <sz val="14"/>
            <color indexed="81"/>
            <rFont val="Tahoma"/>
            <family val="2"/>
          </rPr>
          <t>Note:</t>
        </r>
        <r>
          <rPr>
            <sz val="14"/>
            <color indexed="81"/>
            <rFont val="Tahoma"/>
            <family val="2"/>
          </rPr>
          <t xml:space="preserve">
The "Reserves &amp; Financing Costs" row accounts for all costs relating to financing, such as lender fees, closing costs, legal fees, interest during construction, due diligence costs, and any other relevant, financing relating costs. The model calculates this field by aggregating G22 through G25, G51, G54, G63, G66, Q57 and Q60.
</t>
        </r>
      </text>
    </comment>
    <comment ref="S537" authorId="0" shapeId="0" xr:uid="{33013C4C-E911-4BB0-97CA-BDADA6B88516}">
      <text>
        <r>
          <rPr>
            <b/>
            <sz val="14"/>
            <color indexed="81"/>
            <rFont val="Tahoma"/>
            <family val="2"/>
          </rPr>
          <t xml:space="preserve">NOTE:
</t>
        </r>
        <r>
          <rPr>
            <sz val="14"/>
            <color indexed="81"/>
            <rFont val="Tahoma"/>
            <family val="2"/>
          </rPr>
          <t xml:space="preserve">The maximum potential Investment Tax Credit (ITC) benefit is assumed to be 30% of those project costs which are depreciable on the 5-year MACRS schedule.  This 'eligible costs' assumption is purposefully simplified for this analysis.  Project costs depreciated on other bases may also be eligible for the ITC.  Developers should consult with tax counsel for project-specific depreciation and ITC treatment of each project cost.
</t>
        </r>
        <r>
          <rPr>
            <sz val="8"/>
            <color indexed="81"/>
            <rFont val="Tahoma"/>
            <family val="2"/>
          </rPr>
          <t xml:space="preserve">
</t>
        </r>
      </text>
    </comment>
    <comment ref="I538" authorId="1" shapeId="0" xr:uid="{AFC6E213-14C8-4905-B530-36CF2EE39E7B}">
      <text>
        <r>
          <rPr>
            <b/>
            <sz val="14"/>
            <color indexed="81"/>
            <rFont val="Tahoma"/>
            <family val="2"/>
          </rPr>
          <t>Note:</t>
        </r>
        <r>
          <rPr>
            <sz val="14"/>
            <color indexed="81"/>
            <rFont val="Tahoma"/>
            <family val="2"/>
          </rPr>
          <t xml:space="preserve">
If you wish to enter your project costs under the "Complex" format, select Complex from the drop-down menu and use the link to the left to access additional worksheets which provide the opportunitiy to add significant, additional detail on project costs. Once complete, the model will roll up the detailed costs and populate this row with the resultant final project cost. </t>
        </r>
      </text>
    </comment>
    <comment ref="S538" authorId="0" shapeId="0" xr:uid="{0F24488B-1148-4D36-A502-7A71DE6BEF4E}">
      <text>
        <r>
          <rPr>
            <b/>
            <sz val="14"/>
            <color indexed="81"/>
            <rFont val="Tahoma"/>
            <family val="2"/>
          </rPr>
          <t xml:space="preserve">NOTE:
</t>
        </r>
        <r>
          <rPr>
            <sz val="14"/>
            <color indexed="81"/>
            <rFont val="Tahoma"/>
            <family val="2"/>
          </rPr>
          <t xml:space="preserve">As a tax </t>
        </r>
        <r>
          <rPr>
            <u/>
            <sz val="14"/>
            <color indexed="81"/>
            <rFont val="Tahoma"/>
            <family val="2"/>
          </rPr>
          <t>credit</t>
        </r>
        <r>
          <rPr>
            <sz val="14"/>
            <color indexed="81"/>
            <rFont val="Tahoma"/>
            <family val="2"/>
          </rPr>
          <t>, the ITC is only usable by project owners with positive federal income tax liability.  
In cases where the owner's tax liability in the calendar year of the project's first commercial operation exceeds the ITC amount, the user may enter 100% in this field and assume full utilization of the ITC.
If the owner's tax liability is less than the available ITC, the user may either enter a % value less than 100% or select the "carried forward" method in the "Tax Benefits used as generated or carried forward?" cell.  
Input must be between 0% and 100%.</t>
        </r>
        <r>
          <rPr>
            <sz val="8"/>
            <color indexed="81"/>
            <rFont val="Tahoma"/>
            <family val="2"/>
          </rPr>
          <t xml:space="preserve">
</t>
        </r>
      </text>
    </comment>
    <comment ref="I539" authorId="1" shapeId="0" xr:uid="{D660D651-DF61-4D96-9FC6-A76649299F35}">
      <text>
        <r>
          <rPr>
            <b/>
            <sz val="14"/>
            <color indexed="81"/>
            <rFont val="Tahoma"/>
            <family val="2"/>
          </rPr>
          <t>Note:</t>
        </r>
        <r>
          <rPr>
            <sz val="14"/>
            <color indexed="81"/>
            <rFont val="Tahoma"/>
            <family val="2"/>
          </rPr>
          <t xml:space="preserve">
The total system cost is a calculation, based on the level of detail selected and the assocated inputs.
</t>
        </r>
      </text>
    </comment>
    <comment ref="S539" authorId="0" shapeId="0" xr:uid="{D5AF3504-B03D-41AC-8EEC-9B5FC38BAAD0}">
      <text>
        <r>
          <rPr>
            <b/>
            <sz val="14"/>
            <color indexed="81"/>
            <rFont val="Tahoma"/>
            <family val="2"/>
          </rPr>
          <t xml:space="preserve">Note:
</t>
        </r>
        <r>
          <rPr>
            <sz val="14"/>
            <color indexed="81"/>
            <rFont val="Tahoma"/>
            <family val="2"/>
          </rPr>
          <t xml:space="preserve">Calculates the dollar value of the Investment Tax Credit or Cash Grant, if applicable.
</t>
        </r>
      </text>
    </comment>
    <comment ref="I540" authorId="1" shapeId="0" xr:uid="{1FB230AD-B791-44BE-85DF-78587C786FD1}">
      <text>
        <r>
          <rPr>
            <b/>
            <sz val="14"/>
            <color indexed="81"/>
            <rFont val="Tahoma"/>
            <family val="2"/>
          </rPr>
          <t>Note:</t>
        </r>
        <r>
          <rPr>
            <sz val="14"/>
            <color indexed="81"/>
            <rFont val="Tahoma"/>
            <family val="2"/>
          </rPr>
          <t xml:space="preserve">
Calculation based on the total system cost in the cell above and the system size reported. Typical costs (as of 2010) fall between $2,000/kW and $3,000/kW.</t>
        </r>
        <r>
          <rPr>
            <sz val="8"/>
            <color indexed="81"/>
            <rFont val="Tahoma"/>
            <family val="2"/>
          </rPr>
          <t xml:space="preserve">
</t>
        </r>
      </text>
    </comment>
    <comment ref="S540" authorId="0" shapeId="0" xr:uid="{4EAFA0A7-6931-47E2-8478-84773ED41806}">
      <text>
        <r>
          <rPr>
            <b/>
            <sz val="14"/>
            <color indexed="81"/>
            <rFont val="Tahoma"/>
            <family val="2"/>
          </rPr>
          <t xml:space="preserve">Note: </t>
        </r>
        <r>
          <rPr>
            <sz val="14"/>
            <color indexed="81"/>
            <rFont val="Tahoma"/>
            <family val="2"/>
          </rPr>
          <t xml:space="preserve">
This input cell, the "Performance Based Incentive" or "PBI" is another potential incentive available to some specific projects. The PBI would be separate from a feed-in-tariff, but acts similarly in that it is per unit of production (typically kWh) income to a project.
Some examples of PBIs include the Federal Production Tax Credit (applicable to private projects with tax appetites) and the Federal Renewable Energy Production Incentive (REPI), historically available to some public projects.
</t>
        </r>
      </text>
    </comment>
    <comment ref="I541" authorId="1" shapeId="0" xr:uid="{FD8B4C05-49FF-43DD-BC1B-BF287F3FFBC3}">
      <text>
        <r>
          <rPr>
            <b/>
            <sz val="14"/>
            <color indexed="81"/>
            <rFont val="Tahoma"/>
            <family val="2"/>
          </rPr>
          <t xml:space="preserve">Note:
</t>
        </r>
        <r>
          <rPr>
            <sz val="14"/>
            <color indexed="81"/>
            <rFont val="Tahoma"/>
            <family val="2"/>
          </rPr>
          <t xml:space="preserve">This cell calculates the total of all applicable grants, excluding the payment in lieu of the Federal ITC (also known as the ITC Cash Grant, or Cash Grant), if applicable.  The ITC Cash Grant is considered separately because unlike grants issued upfront and used to offset capital costs, the ITC Cash Grant is disbursed approxiamtely 60 days after the start of commercial operations and therefore becomes an integral part of the project's financing.
Where grants are treated as taxable income, this cell calculates the after-tax impact on the total cost of the project.
  </t>
        </r>
        <r>
          <rPr>
            <sz val="8"/>
            <color indexed="81"/>
            <rFont val="Tahoma"/>
            <family val="2"/>
          </rPr>
          <t xml:space="preserve">
</t>
        </r>
      </text>
    </comment>
    <comment ref="S541" authorId="0" shapeId="0" xr:uid="{251CC7D7-F890-4DCC-8B15-CB769785E658}">
      <text>
        <r>
          <rPr>
            <b/>
            <sz val="14"/>
            <color indexed="81"/>
            <rFont val="Tahoma"/>
            <family val="2"/>
          </rPr>
          <t xml:space="preserve">Note: </t>
        </r>
        <r>
          <rPr>
            <sz val="14"/>
            <color indexed="81"/>
            <rFont val="Tahoma"/>
            <family val="2"/>
          </rPr>
          <t xml:space="preserve">
This cell denotes the value of the Performance Based Incentive applicable to the project's first year of commercial operation. In some cases, this value will need to be calculated external to the model if such PBI is derived from a "base year" and specified inflation index. The following cells can be used to account for inflation and the maximum term of eligibility.
Input cannot be less than zero.
</t>
        </r>
      </text>
    </comment>
    <comment ref="I542" authorId="1" shapeId="0" xr:uid="{09D264C8-D3C0-477A-8EE8-E4E64B177474}">
      <text>
        <r>
          <rPr>
            <b/>
            <sz val="14"/>
            <color indexed="81"/>
            <rFont val="Tahoma"/>
            <family val="2"/>
          </rPr>
          <t>Note:</t>
        </r>
        <r>
          <rPr>
            <sz val="14"/>
            <color indexed="81"/>
            <rFont val="Tahoma"/>
            <family val="2"/>
          </rPr>
          <t xml:space="preserve">
Calculation of total project cost net applicable grants. 
</t>
        </r>
      </text>
    </comment>
    <comment ref="S542" authorId="0" shapeId="0" xr:uid="{949783FA-8ED8-4D00-814C-D8AEBD1A982E}">
      <text>
        <r>
          <rPr>
            <b/>
            <sz val="14"/>
            <color indexed="81"/>
            <rFont val="Tahoma"/>
            <family val="2"/>
          </rPr>
          <t>Note:</t>
        </r>
        <r>
          <rPr>
            <sz val="14"/>
            <color indexed="81"/>
            <rFont val="Tahoma"/>
            <family val="2"/>
          </rPr>
          <t xml:space="preserve">
This is the length of time that a project would be eligible for any Performance Based Incentives outlined in the cell immediately above. For example, the Federal Renewable Energy Production Incentive and Production Tax Credit incentives are available for the first 10 years of project operation.
Input cannot be less than zero.
</t>
        </r>
      </text>
    </comment>
    <comment ref="I543" authorId="1" shapeId="0" xr:uid="{696A4148-FC52-4AC8-8771-5E9171E91270}">
      <text>
        <r>
          <rPr>
            <b/>
            <sz val="14"/>
            <color indexed="81"/>
            <rFont val="Tahoma"/>
            <family val="2"/>
          </rPr>
          <t xml:space="preserve">Note:
</t>
        </r>
        <r>
          <rPr>
            <sz val="14"/>
            <color indexed="81"/>
            <rFont val="Tahoma"/>
            <family val="2"/>
          </rPr>
          <t xml:space="preserve">Calculation, based on net project cost and total installed capacity. 
</t>
        </r>
      </text>
    </comment>
    <comment ref="S543" authorId="0" shapeId="0" xr:uid="{ED8C0854-33BA-4B7A-908B-BA696633E9D3}">
      <text>
        <r>
          <rPr>
            <b/>
            <sz val="14"/>
            <color indexed="81"/>
            <rFont val="Tahoma"/>
            <family val="2"/>
          </rPr>
          <t xml:space="preserve">Note:
</t>
        </r>
        <r>
          <rPr>
            <sz val="14"/>
            <color indexed="81"/>
            <rFont val="Tahoma"/>
            <family val="2"/>
          </rPr>
          <t xml:space="preserve">Performance Based Incentives are often adjusted to account for inflation. For example, the Federal Production Tax Credit (PTC) is adjusted each year to account for changes in the GDP IPD index. This cell can be used as a proxy for the inflation that would apply to any PBI incentive entered above.
This input cannot be left blank.
</t>
        </r>
        <r>
          <rPr>
            <sz val="8"/>
            <color indexed="81"/>
            <rFont val="Tahoma"/>
            <family val="2"/>
          </rPr>
          <t xml:space="preserve">
</t>
        </r>
      </text>
    </comment>
    <comment ref="S544" authorId="0" shapeId="0" xr:uid="{ECB7BC0C-EC9D-4D46-95AC-7AF697C54A14}">
      <text>
        <r>
          <rPr>
            <b/>
            <sz val="14"/>
            <color indexed="81"/>
            <rFont val="Tahoma"/>
            <family val="2"/>
          </rPr>
          <t xml:space="preserve">Note:
</t>
        </r>
        <r>
          <rPr>
            <sz val="14"/>
            <color indexed="81"/>
            <rFont val="Tahoma"/>
            <family val="2"/>
          </rPr>
          <t>In some cases, due to the nature of the requirements of some Performance Based Incentive programs, project owners are unable to maximize the full revenue stream of the incentive. For example, in the case of the Federal Production Tax Credit (PTC), the project owner may not have sufficienct tax appetite to fully utilize the tax credits. 
This input cell would allow the modeler to account for the owner's inability to fully utilize the PTC and/or the reduction of the PTC (a "haircut") due to the presence of subsidized (below market interest rate) financing.
Incentive "availability" will likely be a factor if this cell is being used to model the cash-based Renewable Energy Production Incentive (REPI).  The REPI program has historically been underfunded; available monies are allocated pro rata among eligible projects.  In this case, the value entered in this cell should reflect the user's expectation of the fraction of the face value REPI payment that will be available over the applicable incentive term.
Input must be between 0% to 100%.</t>
        </r>
      </text>
    </comment>
    <comment ref="F545" authorId="0" shapeId="0" xr:uid="{3451EE50-8C42-4792-A14D-C1135BFF8773}">
      <text>
        <r>
          <rPr>
            <b/>
            <sz val="8"/>
            <color indexed="81"/>
            <rFont val="Tahoma"/>
            <family val="2"/>
          </rPr>
          <t>See "unit" definitions at the bottom of this worksheet.</t>
        </r>
        <r>
          <rPr>
            <sz val="8"/>
            <color indexed="81"/>
            <rFont val="Tahoma"/>
            <family val="2"/>
          </rPr>
          <t xml:space="preserve">
</t>
        </r>
      </text>
    </comment>
    <comment ref="S545" authorId="0" shapeId="0" xr:uid="{0F37B5ED-2D45-46CA-BDEE-A3E1ACD3E7A5}">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I546" authorId="0" shapeId="0" xr:uid="{9E6998F6-D9EA-4DC6-96E8-C03441CA81E5}">
      <text>
        <r>
          <rPr>
            <b/>
            <sz val="14"/>
            <color indexed="81"/>
            <rFont val="Tahoma"/>
            <family val="2"/>
          </rPr>
          <t>Note:</t>
        </r>
        <r>
          <rPr>
            <sz val="14"/>
            <color indexed="81"/>
            <rFont val="Tahoma"/>
            <family val="2"/>
          </rPr>
          <t xml:space="preserve">
Select either "Simple" or "Intermediate" O&amp;M expense detail using the drop-down menu to the right.
</t>
        </r>
        <r>
          <rPr>
            <sz val="8"/>
            <color indexed="81"/>
            <rFont val="Tahoma"/>
            <family val="2"/>
          </rPr>
          <t xml:space="preserve">
</t>
        </r>
      </text>
    </comment>
    <comment ref="I547" authorId="1" shapeId="0" xr:uid="{200FBFF5-8AC2-4EED-8779-9156942CB272}">
      <text>
        <r>
          <rPr>
            <b/>
            <sz val="14"/>
            <color indexed="81"/>
            <rFont val="Tahoma"/>
            <family val="2"/>
          </rPr>
          <t>Note:</t>
        </r>
        <r>
          <rPr>
            <sz val="14"/>
            <color indexed="81"/>
            <rFont val="Tahoma"/>
            <family val="2"/>
          </rPr>
          <t xml:space="preserve">
If "Simple" is selected in the cell above, then this input should reflect the </t>
        </r>
        <r>
          <rPr>
            <b/>
            <u/>
            <sz val="14"/>
            <color indexed="81"/>
            <rFont val="Tahoma"/>
            <family val="2"/>
          </rPr>
          <t>total</t>
        </r>
        <r>
          <rPr>
            <sz val="14"/>
            <color indexed="81"/>
            <rFont val="Tahoma"/>
            <family val="2"/>
          </rPr>
          <t xml:space="preserve"> expected </t>
        </r>
        <r>
          <rPr>
            <b/>
            <u/>
            <sz val="14"/>
            <color indexed="81"/>
            <rFont val="Tahoma"/>
            <family val="2"/>
          </rPr>
          <t>fixed</t>
        </r>
        <r>
          <rPr>
            <sz val="14"/>
            <color indexed="81"/>
            <rFont val="Tahoma"/>
            <family val="2"/>
          </rPr>
          <t xml:space="preserve"> cost of project operations and maintenance, in $/kW-yr.  This </t>
        </r>
        <r>
          <rPr>
            <u/>
            <sz val="14"/>
            <color indexed="81"/>
            <rFont val="Tahoma"/>
            <family val="2"/>
          </rPr>
          <t>includes</t>
        </r>
        <r>
          <rPr>
            <sz val="14"/>
            <color indexed="81"/>
            <rFont val="Tahoma"/>
            <family val="2"/>
          </rPr>
          <t xml:space="preserve"> the insurance, project management, property tax (or payment in lieu thereof), land lease, and royalty expenses which would have been broken out separately in the "Intermediate" case.  Other labor and spare parts should also be included in this estimate.
If the user has obtained O&amp;M expense estimates from a third-party, it is critical to understand which costs have been included.  If the user is not certain that all of the above-listed expenses are included in the fixed cost estimate, then the "Intermediate" approach should be used and these expenses should be entered separately.
If "Intermediate" is selected, then this input should reflect  the expected annual fixed O&amp;M cost before taking into account the additional listed expenses, which are entered below. 
In all cases, fixed O&amp;M would include - among others - the ongoing cost of obtaining daily, weekly or monthly production estimates based on weather and other factors.
Input value must be greater than zero. 
</t>
        </r>
      </text>
    </comment>
    <comment ref="S547" authorId="1" shapeId="0" xr:uid="{19D37635-AE31-4690-B9E5-FCA6B8CAED30}">
      <text>
        <r>
          <rPr>
            <b/>
            <sz val="14"/>
            <color indexed="81"/>
            <rFont val="Tahoma"/>
            <family val="2"/>
          </rPr>
          <t xml:space="preserve">Note:
</t>
        </r>
        <r>
          <rPr>
            <sz val="14"/>
            <color indexed="81"/>
            <rFont val="Tahoma"/>
            <family val="2"/>
          </rPr>
          <t xml:space="preserve">Some renewable energy projects may be eligible for other federal grants as well, such as funding from the U.S. Department of Agriculture. This input cell can be used to capture those funding opportunities, some of which are outlined online at:
http://dsireusa.org/incentives/index.cfm?state=us&amp;re=1&amp;EE=1
*See bottom of introduction page for a list of links
Input cannot be less than zero.
</t>
        </r>
      </text>
    </comment>
    <comment ref="I548" authorId="1" shapeId="0" xr:uid="{3B068EE2-57EC-40E8-9524-472DE40FA981}">
      <text>
        <r>
          <rPr>
            <b/>
            <sz val="14"/>
            <color indexed="81"/>
            <rFont val="Tahoma"/>
            <family val="2"/>
          </rPr>
          <t>Note:</t>
        </r>
        <r>
          <rPr>
            <sz val="14"/>
            <color indexed="81"/>
            <rFont val="Tahoma"/>
            <family val="2"/>
          </rPr>
          <t xml:space="preserve">
This cell provides the user with the option of accounting for O&amp;M expenses (such as labor and spare parts) which are more easily estimated and modeled on a variable, cents per kWh basis.  
If "Simple" is selected above, then this cell should also take into account variable costs, such as royalties, </t>
        </r>
        <r>
          <rPr>
            <b/>
            <u/>
            <sz val="14"/>
            <color indexed="81"/>
            <rFont val="Tahoma"/>
            <family val="2"/>
          </rPr>
          <t>if</t>
        </r>
        <r>
          <rPr>
            <sz val="14"/>
            <color indexed="81"/>
            <rFont val="Tahoma"/>
            <family val="2"/>
          </rPr>
          <t xml:space="preserve"> such annual expenses are not already accounted for in the fixed cost input above.
Input cannot be less than zero.
</t>
        </r>
      </text>
    </comment>
    <comment ref="S548" authorId="0" shapeId="0" xr:uid="{F5129E5C-40A5-48F7-A872-9B8C62FF9FC6}">
      <text>
        <r>
          <rPr>
            <b/>
            <sz val="14"/>
            <color indexed="81"/>
            <rFont val="Tahoma"/>
            <family val="2"/>
          </rPr>
          <t xml:space="preserve">Note:
</t>
        </r>
        <r>
          <rPr>
            <sz val="14"/>
            <color indexed="81"/>
            <rFont val="Tahoma"/>
            <family val="2"/>
          </rPr>
          <t xml:space="preserve">Select here whether federal grants (other than the section 1603 payment in lieu of the ITC/PTC) are treated as taxable income. If no, depreciation basis is reduced. 
</t>
        </r>
      </text>
    </comment>
    <comment ref="I549" authorId="0" shapeId="0" xr:uid="{CBC5C751-A6EE-42BB-A42E-177F6A8AC9D1}">
      <text>
        <r>
          <rPr>
            <b/>
            <sz val="14"/>
            <color indexed="81"/>
            <rFont val="Tahoma"/>
            <family val="2"/>
          </rPr>
          <t>Note:</t>
        </r>
        <r>
          <rPr>
            <sz val="14"/>
            <color indexed="81"/>
            <rFont val="Tahoma"/>
            <family val="2"/>
          </rPr>
          <t xml:space="preserve">
This inflation rate applies to both fixed and variable O&amp;M expense, insurance, and project management costs entered above, if applicable. 
The model allows the user to specify an inflation assumption for an "initial period" and a second inflation assumption "thereafter." These inputs can be used to account for inflation which might be fixed during an initial O&amp;M service contract, but are unknown thereafter.  The final year of the "initial period" is  user-defined (e.g. final year of an O&amp;M service contract). 
The purpose of this feature is also to recognize that inflationary trends may change over time, or that some projects may not expect inflation of O&amp;M expenses for the first several years, but may expect inflation thereafter.
This inflation rate does not apply to PILOT or Royalty costs. Input cannot be less than zero.
</t>
        </r>
      </text>
    </comment>
    <comment ref="I550" authorId="0" shapeId="0" xr:uid="{F44BBD23-5176-4228-9E70-3194A0F4F32F}">
      <text>
        <r>
          <rPr>
            <b/>
            <sz val="14"/>
            <color indexed="81"/>
            <rFont val="Tahoma"/>
            <family val="2"/>
          </rPr>
          <t xml:space="preserve">Note:
</t>
        </r>
        <r>
          <rPr>
            <sz val="14"/>
            <color indexed="81"/>
            <rFont val="Tahoma"/>
            <family val="2"/>
          </rPr>
          <t xml:space="preserve">This feature allows the user to assume that the rate at which expenses change over time is not constant. This cell provides the year in which the first inflation period ends.
Input cannot be less than zero.
</t>
        </r>
      </text>
    </comment>
    <comment ref="P550" authorId="0" shapeId="0" xr:uid="{021664DC-C1F1-4486-AED3-B34D8AB9E755}">
      <text>
        <r>
          <rPr>
            <b/>
            <sz val="8"/>
            <color indexed="81"/>
            <rFont val="Tahoma"/>
            <family val="2"/>
          </rPr>
          <t>See "unit" definitions at the bottom of this worksheet.</t>
        </r>
        <r>
          <rPr>
            <sz val="8"/>
            <color indexed="81"/>
            <rFont val="Tahoma"/>
            <family val="2"/>
          </rPr>
          <t xml:space="preserve">
</t>
        </r>
      </text>
    </comment>
    <comment ref="I551" authorId="0" shapeId="0" xr:uid="{9F8CAB97-C87E-49A2-BFB8-C10D9CF34587}">
      <text>
        <r>
          <rPr>
            <b/>
            <sz val="14"/>
            <color indexed="81"/>
            <rFont val="Tahoma"/>
            <family val="2"/>
          </rPr>
          <t xml:space="preserve">Note:
</t>
        </r>
        <r>
          <rPr>
            <sz val="14"/>
            <color indexed="81"/>
            <rFont val="Tahoma"/>
            <family val="2"/>
          </rPr>
          <t xml:space="preserve">This cell provides the inflation rate for the remainder of the project's useful life.
Input must be greater than zero.
</t>
        </r>
      </text>
    </comment>
    <comment ref="S551" authorId="1" shapeId="0" xr:uid="{BF18CFA2-3554-436F-8ED1-F01B3922446F}">
      <text>
        <r>
          <rPr>
            <b/>
            <sz val="14"/>
            <color indexed="81"/>
            <rFont val="Tahoma"/>
            <family val="2"/>
          </rPr>
          <t xml:space="preserve">Note:
</t>
        </r>
        <r>
          <rPr>
            <sz val="14"/>
            <color indexed="81"/>
            <rFont val="Tahoma"/>
            <family val="2"/>
          </rPr>
          <t>This drop-down input cell allows the user to specify whether state incentives are cost-based (e.g. an investment tax credit) or performance-based (e.g. a PTC or cash payment). If no state incentive is available or useable by the modeled project, the user will select "Neither." The magnitude and terms of these incentives are set in the cells below.
For more information, a useful resource for researching federal and state incentives online is:  
http://dsireusa.org/
*See bottom of introduction page for a list of links</t>
        </r>
      </text>
    </comment>
    <comment ref="I552" authorId="1" shapeId="0" xr:uid="{6C121772-FE5F-4D0B-A244-1D07D0DD091E}">
      <text>
        <r>
          <rPr>
            <b/>
            <sz val="14"/>
            <color indexed="81"/>
            <rFont val="Tahoma"/>
            <family val="2"/>
          </rPr>
          <t xml:space="preserve">Note:
</t>
        </r>
        <r>
          <rPr>
            <sz val="14"/>
            <color indexed="81"/>
            <rFont val="Tahoma"/>
            <family val="2"/>
          </rPr>
          <t xml:space="preserve">Project owners, or hosts, are required to carry insurance. This input accounts for the estimated cost of insuring the modeled power generating facility.
Input cannot be less than zero.
</t>
        </r>
      </text>
    </comment>
    <comment ref="S552" authorId="0" shapeId="0" xr:uid="{BA7FD6C1-2B83-428D-AAD5-E8F94639C824}">
      <text>
        <r>
          <rPr>
            <b/>
            <sz val="14"/>
            <color indexed="81"/>
            <rFont val="Tahoma"/>
            <family val="2"/>
          </rPr>
          <t xml:space="preserve">NOTE:
</t>
        </r>
        <r>
          <rPr>
            <sz val="14"/>
            <color indexed="81"/>
            <rFont val="Tahoma"/>
            <family val="2"/>
          </rPr>
          <t xml:space="preserve">The maximum potential Investment Tax Credit (ITC) benefit is assumed to be 30% of those project costs which are depreciable on the 5-year MACRS schedule.
</t>
        </r>
      </text>
    </comment>
    <comment ref="I553" authorId="0" shapeId="0" xr:uid="{E7800BD7-C8C5-40A3-95C6-16B05A615E04}">
      <text>
        <r>
          <rPr>
            <b/>
            <sz val="14"/>
            <color indexed="81"/>
            <rFont val="Tahoma"/>
            <family val="2"/>
          </rPr>
          <t xml:space="preserve">Note:
</t>
        </r>
        <r>
          <rPr>
            <sz val="14"/>
            <color indexed="81"/>
            <rFont val="Tahoma"/>
            <family val="2"/>
          </rPr>
          <t xml:space="preserve">This cell calculates the resulting dollar value cost of insurance based on the input above and the project installed cost (net of financing costs).  It is provided simply as a reference for the user.
</t>
        </r>
        <r>
          <rPr>
            <sz val="8"/>
            <color indexed="81"/>
            <rFont val="Tahoma"/>
            <family val="2"/>
          </rPr>
          <t xml:space="preserve">
</t>
        </r>
      </text>
    </comment>
    <comment ref="S553" authorId="0" shapeId="0" xr:uid="{B5658BF0-2A85-4392-A560-35795F49AB9C}">
      <text>
        <r>
          <rPr>
            <b/>
            <sz val="14"/>
            <color indexed="81"/>
            <rFont val="Tahoma"/>
            <family val="2"/>
          </rPr>
          <t xml:space="preserve">NOTE:
</t>
        </r>
        <r>
          <rPr>
            <sz val="14"/>
            <color indexed="81"/>
            <rFont val="Tahoma"/>
            <family val="2"/>
          </rPr>
          <t xml:space="preserve">As a tax </t>
        </r>
        <r>
          <rPr>
            <u/>
            <sz val="14"/>
            <color indexed="81"/>
            <rFont val="Tahoma"/>
            <family val="2"/>
          </rPr>
          <t>credit</t>
        </r>
        <r>
          <rPr>
            <sz val="14"/>
            <color indexed="81"/>
            <rFont val="Tahoma"/>
            <family val="2"/>
          </rPr>
          <t>, the ITC is only usable by project owners with positive federal income tax liability.  
In cases where the owner's tax liability in the calendar year of the project's first commercial operation exceeds the ITC amount, the user may enter 100% in this field and assume full utilization of the ITC.
If the owner's tax liability is less than the available ITC, a % less than 100% must be entered in order to represent a less efficient utilization of this federal tax incentive.
Input must be betwee 0% and 100%.</t>
        </r>
      </text>
    </comment>
    <comment ref="I554" authorId="1" shapeId="0" xr:uid="{C2ACCAAA-0591-4004-BA64-89F459A994CE}">
      <text>
        <r>
          <rPr>
            <b/>
            <sz val="14"/>
            <color indexed="81"/>
            <rFont val="Tahoma"/>
            <family val="2"/>
          </rPr>
          <t>Note:</t>
        </r>
        <r>
          <rPr>
            <sz val="14"/>
            <color indexed="81"/>
            <rFont val="Tahoma"/>
            <family val="2"/>
          </rPr>
          <t xml:space="preserve">
"Project Management" accounts for the cost of staff time related to managing the project's Power Purchase Agreements, grid integration, and periodic reporting to the system operator and policymakers.  
Input cannot be less than zero.
</t>
        </r>
      </text>
    </comment>
    <comment ref="S554" authorId="0" shapeId="0" xr:uid="{5460D3DA-7301-49B4-BBF2-73CA26AEAF07}">
      <text>
        <r>
          <rPr>
            <b/>
            <sz val="14"/>
            <color indexed="81"/>
            <rFont val="Tahoma"/>
            <family val="2"/>
          </rPr>
          <t xml:space="preserve">Note:
</t>
        </r>
        <r>
          <rPr>
            <sz val="14"/>
            <color indexed="81"/>
            <rFont val="Tahoma"/>
            <family val="2"/>
          </rPr>
          <t>Specifies whether the available ITC is realized in a single year or over multiple years. This input will be specified by state-specific law or regulation.
A good resource on available state incentives is:  
http://dsireusa.org/
*See bottom of introduction page for a list of links
Input must be greater than 1 and less than the Project Useful Life.</t>
        </r>
      </text>
    </comment>
    <comment ref="I555" authorId="1" shapeId="0" xr:uid="{B3B1DAA6-A1C0-4059-8205-BABCB845CF41}">
      <text>
        <r>
          <rPr>
            <b/>
            <sz val="14"/>
            <color indexed="81"/>
            <rFont val="Tahoma"/>
            <family val="2"/>
          </rPr>
          <t xml:space="preserve">Note:
</t>
        </r>
        <r>
          <rPr>
            <sz val="14"/>
            <color indexed="81"/>
            <rFont val="Tahoma"/>
            <family val="2"/>
          </rPr>
          <t xml:space="preserve">"Property Tax or PILOT" accounts for costs associated with any local taxes incurred by the project. Many states offer tax exemptions for renewable energy systems; to check your local applicability, please visit: http://dsireusa.org/ 
This line can also be used to account for any PILOTs or Payment in Leiu of Taxes. Developers often negotiate a PILOT with the local community to secure a fixed, predictable payment that serves both parties appropriately. This model allows the user to input a year-one Property Tax or PILOT value along with an annual property tax adjsutment factor (see next cell down). As a result, taxes can be modeled as flat, increasing, or decreasing annually depending on the value entered in the adjustment factor cell below.
Input cannot be less than zero.
</t>
        </r>
      </text>
    </comment>
    <comment ref="S555" authorId="0" shapeId="0" xr:uid="{EE3AA69E-1008-4EE3-98A5-6CAA3E796F18}">
      <text>
        <r>
          <rPr>
            <b/>
            <sz val="14"/>
            <color indexed="81"/>
            <rFont val="Tahoma"/>
            <family val="2"/>
          </rPr>
          <t xml:space="preserve">Note:
</t>
        </r>
        <r>
          <rPr>
            <sz val="14"/>
            <color indexed="81"/>
            <rFont val="Tahoma"/>
            <family val="2"/>
          </rPr>
          <t xml:space="preserve">Calculates the dollar value of the State Investment Tax Credit, if applicable.
</t>
        </r>
      </text>
    </comment>
    <comment ref="I556" authorId="1" shapeId="0" xr:uid="{F70453A6-44A3-4824-8A88-7ABEBE5771EB}">
      <text>
        <r>
          <rPr>
            <b/>
            <sz val="14"/>
            <color indexed="81"/>
            <rFont val="Tahoma"/>
            <family val="2"/>
          </rPr>
          <t xml:space="preserve">Note:
</t>
        </r>
        <r>
          <rPr>
            <sz val="14"/>
            <color indexed="81"/>
            <rFont val="Tahoma"/>
            <family val="2"/>
          </rPr>
          <t xml:space="preserve">The Annual Property Tax Adjustment Factor allows the user to specify whether the Year One tax (or PILOT) value will remain fixed and flat, will decrease (a negative percentage value entered in this cell) or increase (a positive percentage value entered in this cell) over time.  </t>
        </r>
        <r>
          <rPr>
            <sz val="8"/>
            <color indexed="81"/>
            <rFont val="Tahoma"/>
            <family val="2"/>
          </rPr>
          <t xml:space="preserve">
</t>
        </r>
      </text>
    </comment>
    <comment ref="S556" authorId="0" shapeId="0" xr:uid="{D33534E0-4E5A-4454-A90F-0B55F045ADA2}">
      <text>
        <r>
          <rPr>
            <b/>
            <sz val="14"/>
            <color indexed="81"/>
            <rFont val="Tahoma"/>
            <family val="2"/>
          </rPr>
          <t xml:space="preserve">Note: </t>
        </r>
        <r>
          <rPr>
            <sz val="14"/>
            <color indexed="81"/>
            <rFont val="Tahoma"/>
            <family val="2"/>
          </rPr>
          <t xml:space="preserve">
This input cell, the "Performance Based Incentive" or "PBI" is another potential incentive available to some specific projects. The PBI would be separate from a feed-in-tariff, but acts similarly in that it is per unit of production (typically kWh) income to a project.
Some examples of PBIs include the Federal Production Tax Credit (applicable to private projects with tax appetites) and the Federal Renewable Energy Production Incentive (REPI), historically available to some public projects.
</t>
        </r>
      </text>
    </comment>
    <comment ref="I557" authorId="1" shapeId="0" xr:uid="{4CE09CAB-8FED-4530-AE9A-6C3DBD0926DE}">
      <text>
        <r>
          <rPr>
            <b/>
            <sz val="14"/>
            <color indexed="81"/>
            <rFont val="Tahoma"/>
            <family val="2"/>
          </rPr>
          <t xml:space="preserve">Note:
</t>
        </r>
        <r>
          <rPr>
            <sz val="14"/>
            <color indexed="81"/>
            <rFont val="Tahoma"/>
            <family val="2"/>
          </rPr>
          <t xml:space="preserve">The Land Lease input represents </t>
        </r>
        <r>
          <rPr>
            <b/>
            <u/>
            <sz val="14"/>
            <color indexed="81"/>
            <rFont val="Tahoma"/>
            <family val="2"/>
          </rPr>
          <t>fixed payments</t>
        </r>
        <r>
          <rPr>
            <sz val="14"/>
            <color indexed="81"/>
            <rFont val="Tahoma"/>
            <family val="2"/>
          </rPr>
          <t xml:space="preserve"> to the site host (and possibly other affected parties) for the use of the land on which the project is located.  
Variable royalty payments may be applied in addition to, or in lieu of, the land lease payment through the "Royalties" input below, if applicable.  
Input cannot be less than zero.
</t>
        </r>
      </text>
    </comment>
    <comment ref="S557" authorId="0" shapeId="0" xr:uid="{371881B2-5D08-45D2-BE2C-42693C8BA2B3}">
      <text>
        <r>
          <rPr>
            <b/>
            <sz val="14"/>
            <color indexed="81"/>
            <rFont val="Tahoma"/>
            <family val="2"/>
          </rPr>
          <t xml:space="preserve">Note:
</t>
        </r>
        <r>
          <rPr>
            <sz val="14"/>
            <color indexed="81"/>
            <rFont val="Tahoma"/>
            <family val="2"/>
          </rPr>
          <t xml:space="preserve">Impacts tax treatment of PBI if owner is a taxable entity.
</t>
        </r>
      </text>
    </comment>
    <comment ref="I558" authorId="1" shapeId="0" xr:uid="{EC9ED8A2-7595-40C6-A273-C67E5608FA4E}">
      <text>
        <r>
          <rPr>
            <b/>
            <sz val="14"/>
            <color indexed="81"/>
            <rFont val="Tahoma"/>
            <family val="2"/>
          </rPr>
          <t xml:space="preserve">Note:
</t>
        </r>
        <r>
          <rPr>
            <sz val="14"/>
            <color indexed="81"/>
            <rFont val="Tahoma"/>
            <family val="2"/>
          </rPr>
          <t xml:space="preserve">The royalties input accounts for </t>
        </r>
        <r>
          <rPr>
            <b/>
            <u/>
            <sz val="14"/>
            <color indexed="81"/>
            <rFont val="Tahoma"/>
            <family val="2"/>
          </rPr>
          <t>variable</t>
        </r>
        <r>
          <rPr>
            <sz val="14"/>
            <color indexed="81"/>
            <rFont val="Tahoma"/>
            <family val="2"/>
          </rPr>
          <t xml:space="preserve"> payments to site hosts, neighbors, partners, or other parties which may have a stake in the project and which are NOT covered by the fixed "Land Lease" payment. 
Fixed payments may be applied in addition to, or in lieu of, the royalty payment through the "Land Lease" input above, if applicable.  
</t>
        </r>
        <r>
          <rPr>
            <b/>
            <sz val="14"/>
            <color indexed="81"/>
            <rFont val="Tahoma"/>
            <family val="2"/>
          </rPr>
          <t>Inflation is NOT applied to this input</t>
        </r>
        <r>
          <rPr>
            <sz val="14"/>
            <color indexed="81"/>
            <rFont val="Tahoma"/>
            <family val="2"/>
          </rPr>
          <t xml:space="preserve">. However, if tariff escalation is selected, then the assumed royalty payment will increase over time since it is calculated as a function of revenue over time.
If the modeled project's royalty payments are not the same over time, then an average annual royalty payment should be calculated externally and entered in this cell. 
This input cannot be less than zero.
</t>
        </r>
        <r>
          <rPr>
            <sz val="8"/>
            <color indexed="81"/>
            <rFont val="Tahoma"/>
            <family val="2"/>
          </rPr>
          <t xml:space="preserve">
</t>
        </r>
      </text>
    </comment>
    <comment ref="S558" authorId="0" shapeId="0" xr:uid="{E61ECD35-33AC-4D3E-89A2-F033629919FA}">
      <text>
        <r>
          <rPr>
            <b/>
            <sz val="14"/>
            <color indexed="81"/>
            <rFont val="Tahoma"/>
            <family val="2"/>
          </rPr>
          <t xml:space="preserve">Note: </t>
        </r>
        <r>
          <rPr>
            <sz val="14"/>
            <color indexed="81"/>
            <rFont val="Tahoma"/>
            <family val="2"/>
          </rPr>
          <t xml:space="preserve">
This cell denotes the value of the Performance Based Incentive applicable to the project's first year of commercial operation. In some cases, this value will need to be calculated external to the model if such PBI is derived from a "base year" and specified inflation index. The following cells can be used to account for inflation and the maximum term of eligibility.
Input cannot be less than zero.
</t>
        </r>
      </text>
    </comment>
    <comment ref="I559" authorId="0" shapeId="0" xr:uid="{1DC0C296-BD35-40DB-B796-EA4BE28784E9}">
      <text>
        <r>
          <rPr>
            <b/>
            <sz val="14"/>
            <color indexed="81"/>
            <rFont val="Tahoma"/>
            <family val="2"/>
          </rPr>
          <t xml:space="preserve">Note:
</t>
        </r>
        <r>
          <rPr>
            <sz val="14"/>
            <color indexed="81"/>
            <rFont val="Tahoma"/>
            <family val="2"/>
          </rPr>
          <t xml:space="preserve">This cell calculates the resulting dollar value cost of royalties paid to landowners or other stakeholders based on the input above and project revenue.  It is provided simply as a reference for the user.
</t>
        </r>
        <r>
          <rPr>
            <sz val="8"/>
            <color indexed="81"/>
            <rFont val="Tahoma"/>
            <family val="2"/>
          </rPr>
          <t xml:space="preserve">
</t>
        </r>
      </text>
    </comment>
    <comment ref="S559" authorId="0" shapeId="0" xr:uid="{FB4BF9B2-B868-46BC-BB6B-3B8F39959B8A}">
      <text>
        <r>
          <rPr>
            <b/>
            <sz val="14"/>
            <color indexed="81"/>
            <rFont val="Tahoma"/>
            <family val="2"/>
          </rPr>
          <t>Note:</t>
        </r>
        <r>
          <rPr>
            <sz val="14"/>
            <color indexed="81"/>
            <rFont val="Tahoma"/>
            <family val="2"/>
          </rPr>
          <t xml:space="preserve">
This is the length of time that a project would be eligible for any Performance Based Incentives outlined in the cell immediately above. For example, the Federal Renewable Energy Production Incentive and Production Tax Credit incentives are available for the first 10 years of project operation.
Input cannot be less than zero.
</t>
        </r>
      </text>
    </comment>
    <comment ref="S560" authorId="0" shapeId="0" xr:uid="{69646D87-6E39-4A56-9BCD-69439BF6ABD2}">
      <text>
        <r>
          <rPr>
            <b/>
            <sz val="14"/>
            <color indexed="81"/>
            <rFont val="Tahoma"/>
            <family val="2"/>
          </rPr>
          <t xml:space="preserve">Note:
</t>
        </r>
        <r>
          <rPr>
            <sz val="14"/>
            <color indexed="81"/>
            <rFont val="Tahoma"/>
            <family val="2"/>
          </rPr>
          <t xml:space="preserve">Performance Based Incentives are often adjusted to account for inflation. For example, the Federal Production Tax Credit (PTC) is adjusted each year to account for changes in the GDP IPD index. This cell can be used as a proxy for the inflation that would apply to any PBI incentive entered above.
This input cannot be left blank.
</t>
        </r>
      </text>
    </comment>
    <comment ref="F561" authorId="0" shapeId="0" xr:uid="{A67C219F-A11A-4681-80A2-3A0AFD4731B8}">
      <text>
        <r>
          <rPr>
            <b/>
            <sz val="8"/>
            <color indexed="81"/>
            <rFont val="Tahoma"/>
            <family val="2"/>
          </rPr>
          <t>See "unit" definitions at the bottom of this worksheet.</t>
        </r>
        <r>
          <rPr>
            <sz val="8"/>
            <color indexed="81"/>
            <rFont val="Tahoma"/>
            <family val="2"/>
          </rPr>
          <t xml:space="preserve">
</t>
        </r>
      </text>
    </comment>
    <comment ref="S561" authorId="0" shapeId="0" xr:uid="{777B262C-B017-4675-90EB-CCC1B651CC28}">
      <text>
        <r>
          <rPr>
            <b/>
            <sz val="14"/>
            <color indexed="81"/>
            <rFont val="Tahoma"/>
            <family val="2"/>
          </rPr>
          <t xml:space="preserve">Note:
</t>
        </r>
        <r>
          <rPr>
            <sz val="14"/>
            <color indexed="81"/>
            <rFont val="Tahoma"/>
            <family val="2"/>
          </rPr>
          <t xml:space="preserve">In some cases, due to the nature of the requirements of some Performance Based Incentive programs, project owners are unable to maximize the full revenue stream of the incentive. For example, in the case of the Federal Production Tax Credit (PTC), the project owner may not have sufficienct tax appetite to fully utilize the tax credits. 
This input cell would allow the modeler to account for the owner's inability to fully utilize the PTC and/or the reduction of the PTC (a "haircut") due to the presence of subsidized (below market interest rate) financing.
Input must be between 0% and 100%.
</t>
        </r>
        <r>
          <rPr>
            <sz val="8"/>
            <color indexed="81"/>
            <rFont val="Tahoma"/>
            <family val="2"/>
          </rPr>
          <t xml:space="preserve">
</t>
        </r>
      </text>
    </comment>
    <comment ref="I562" authorId="0" shapeId="0" xr:uid="{74B7A461-1BA0-4D21-BF84-9A440CC676D6}">
      <text>
        <r>
          <rPr>
            <b/>
            <sz val="14"/>
            <color indexed="81"/>
            <rFont val="Tahoma"/>
            <family val="2"/>
          </rPr>
          <t xml:space="preserve">Note:
</t>
        </r>
        <r>
          <rPr>
            <sz val="14"/>
            <color indexed="81"/>
            <rFont val="Tahoma"/>
            <family val="2"/>
          </rPr>
          <t xml:space="preserve">The # of months from construction start to commercial operation. This input cannot be less than zero.
</t>
        </r>
      </text>
    </comment>
    <comment ref="S562" authorId="0" shapeId="0" xr:uid="{55ADAB22-C440-427E-8697-1D37F093AFE6}">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I563" authorId="0" shapeId="0" xr:uid="{5B34B913-84E7-47AC-B92B-32A4580DCFCE}">
      <text>
        <r>
          <rPr>
            <b/>
            <sz val="14"/>
            <color indexed="81"/>
            <rFont val="Tahoma"/>
            <family val="2"/>
          </rPr>
          <t xml:space="preserve">Note:
</t>
        </r>
        <r>
          <rPr>
            <sz val="14"/>
            <color indexed="81"/>
            <rFont val="Tahoma"/>
            <family val="2"/>
          </rPr>
          <t xml:space="preserve">The annual interest rate on construction debt. This input cannot be less than zero.
</t>
        </r>
      </text>
    </comment>
    <comment ref="I564" authorId="0" shapeId="0" xr:uid="{FA9A6027-DB40-4F18-9064-C151F2E66421}">
      <text>
        <r>
          <rPr>
            <b/>
            <sz val="14"/>
            <color indexed="81"/>
            <rFont val="Tahoma"/>
            <family val="2"/>
          </rPr>
          <t xml:space="preserve">Note:
</t>
        </r>
        <r>
          <rPr>
            <sz val="14"/>
            <color indexed="81"/>
            <rFont val="Tahoma"/>
            <family val="2"/>
          </rPr>
          <t xml:space="preserve">A calculated value showing the interest accrued during the construction period. Rather than requiring the user to define a detailed construction draw-down schedule, this calculation makes the simplifying assumption that the total project cost is spent in equal parts in each month of the construction period.
IDC is calculated on total project cost, assuming that any grants are collected after construction financing is repaid at time of permanent financing.
This cell is only used with the "Intermediate" and "Complex" capital cost options. The "Simple" capital cost option assumes that all project costs, including IDC, are included in the single input.
</t>
        </r>
      </text>
    </comment>
    <comment ref="S564" authorId="0" shapeId="0" xr:uid="{AD5FF8B0-B4E6-435F-9F95-661B8F39393A}">
      <text>
        <r>
          <rPr>
            <b/>
            <sz val="14"/>
            <color indexed="81"/>
            <rFont val="Tahoma"/>
            <family val="2"/>
          </rPr>
          <t xml:space="preserve">Note:
</t>
        </r>
        <r>
          <rPr>
            <sz val="14"/>
            <color indexed="81"/>
            <rFont val="Tahoma"/>
            <family val="2"/>
          </rPr>
          <t xml:space="preserve">Include here the total dollar value of any state-specific cash grants or rebates.
Input cannot be less than zero.
</t>
        </r>
      </text>
    </comment>
    <comment ref="S565" authorId="0" shapeId="0" xr:uid="{EB882B2A-289C-4C24-A83A-2AFFEDE5AC20}">
      <text>
        <r>
          <rPr>
            <b/>
            <sz val="14"/>
            <color indexed="81"/>
            <rFont val="Tahoma"/>
            <family val="2"/>
          </rPr>
          <t xml:space="preserve">Note:
</t>
        </r>
        <r>
          <rPr>
            <sz val="14"/>
            <color indexed="81"/>
            <rFont val="Tahoma"/>
            <family val="2"/>
          </rPr>
          <t xml:space="preserve">Select here whether state grants are treated as taxable income.  If no, depreciation basis is reduced. 
</t>
        </r>
      </text>
    </comment>
    <comment ref="F566" authorId="0" shapeId="0" xr:uid="{97616B45-0278-4303-9A2F-0B765990423F}">
      <text>
        <r>
          <rPr>
            <b/>
            <sz val="8"/>
            <color indexed="81"/>
            <rFont val="Tahoma"/>
            <family val="2"/>
          </rPr>
          <t>See "unit" definitions at the bottom of this worksheet.</t>
        </r>
        <r>
          <rPr>
            <sz val="8"/>
            <color indexed="81"/>
            <rFont val="Tahoma"/>
            <family val="2"/>
          </rPr>
          <t xml:space="preserve">
</t>
        </r>
      </text>
    </comment>
    <comment ref="I567" authorId="0" shapeId="0" xr:uid="{D3885F95-D71A-4EEF-88EB-349CE47DFA87}">
      <text>
        <r>
          <rPr>
            <b/>
            <sz val="14"/>
            <color indexed="81"/>
            <rFont val="Tahoma"/>
            <family val="2"/>
          </rPr>
          <t xml:space="preserve">Note:
</t>
        </r>
        <r>
          <rPr>
            <sz val="14"/>
            <color indexed="81"/>
            <rFont val="Tahoma"/>
            <family val="2"/>
          </rPr>
          <t xml:space="preserve">For ease of use and comprehension by a wide range of stakeholders, this model allows the user to define the capital structure, and relies on mortgage-style amortization of the project debt. The "% Debt" input specifies the portion of funds borrowed, as a percentage of the total "hard costs." Equity is assumed to fund the remaining hard costs PLUS all "soft costs" (e.g. transaction costs and funding of initial reserve accounts, if applicable).  This input cannot be less than zero.
Where maximum sustainable leverage is desired, the user must manually adjust the "% Debt" entry upward to the highest point </t>
        </r>
        <r>
          <rPr>
            <b/>
            <i/>
            <sz val="14"/>
            <color indexed="81"/>
            <rFont val="Tahoma"/>
            <family val="2"/>
          </rPr>
          <t>before</t>
        </r>
        <r>
          <rPr>
            <sz val="14"/>
            <color indexed="81"/>
            <rFont val="Tahoma"/>
            <family val="2"/>
          </rPr>
          <t xml:space="preserve"> the DSCRs no longer "Pass."
If a specific % Debt is desired, </t>
        </r>
        <r>
          <rPr>
            <u/>
            <sz val="14"/>
            <color indexed="81"/>
            <rFont val="Tahoma"/>
            <family val="2"/>
          </rPr>
          <t>and such % is higher than the maximum sustainable debt</t>
        </r>
        <r>
          <rPr>
            <sz val="14"/>
            <color indexed="81"/>
            <rFont val="Tahoma"/>
            <family val="2"/>
          </rPr>
          <t xml:space="preserve"> (such that it causes the DSCR to "Fail"), then the user must define the % Debt and then manually adjust the "Target After-Tax Equity IRR" upward until the DSCRs are met.  The user should </t>
        </r>
        <r>
          <rPr>
            <b/>
            <sz val="14"/>
            <color indexed="81"/>
            <rFont val="Tahoma"/>
            <family val="2"/>
          </rPr>
          <t>take note</t>
        </r>
        <r>
          <rPr>
            <sz val="14"/>
            <color indexed="81"/>
            <rFont val="Tahoma"/>
            <family val="2"/>
          </rPr>
          <t xml:space="preserve"> that when leverage becomes very high (and the corresponding equity contribution low), the "Target After-Tax Equity IRR" will need to be adjusted to levels exceeding typical commercial returns </t>
        </r>
        <r>
          <rPr>
            <u/>
            <sz val="14"/>
            <color indexed="81"/>
            <rFont val="Tahoma"/>
            <family val="2"/>
          </rPr>
          <t>in order to maintain the DSCR ratio</t>
        </r>
        <r>
          <rPr>
            <sz val="14"/>
            <color indexed="81"/>
            <rFont val="Tahoma"/>
            <family val="2"/>
          </rPr>
          <t xml:space="preserve"> on such high debt levels.  For this reason, it is not recommended that users solve for the COE associated with a % Debt that is beyond the maximum sustainable leverage.
If a project is expected to be funded either by a pool of corporate funds or back-leveraged after commercial operation, the user might elect to enter 0% in the "% Debt" cell and enter a weighted average cost of capital (WACC) in the "Target After-Tax Equity IRR" cell.
</t>
        </r>
      </text>
    </comment>
    <comment ref="I568" authorId="1" shapeId="0" xr:uid="{1FCBCEC0-F84E-41B7-8478-A741D5787730}">
      <text>
        <r>
          <rPr>
            <b/>
            <sz val="14"/>
            <color indexed="81"/>
            <rFont val="Tahoma"/>
            <family val="2"/>
          </rPr>
          <t>Note:</t>
        </r>
        <r>
          <rPr>
            <sz val="14"/>
            <color indexed="81"/>
            <rFont val="Tahoma"/>
            <family val="2"/>
          </rPr>
          <t xml:space="preserve">
Debt "tenor" (also casually referred to as "term"), is the number of years in the debt repayment schedule.   
Caution: If the project will utilize debt, this value must be greater than zero but less than or equal to the total FIT contract duration.
</t>
        </r>
      </text>
    </comment>
    <comment ref="S568" authorId="0" shapeId="0" xr:uid="{1AD445C1-CC78-4C59-85D3-B72092A2B509}">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569" authorId="1" shapeId="0" xr:uid="{271F9A1B-D3D0-469A-8F26-20239B5E9FC5}">
      <text>
        <r>
          <rPr>
            <b/>
            <sz val="14"/>
            <color indexed="81"/>
            <rFont val="Tahoma"/>
            <family val="2"/>
          </rPr>
          <t>Note:</t>
        </r>
        <r>
          <rPr>
            <sz val="14"/>
            <color indexed="81"/>
            <rFont val="Tahoma"/>
            <family val="2"/>
          </rPr>
          <t xml:space="preserve">
The all-in interest rate is the financing rate provided by the bank or other debt investor.
This input cannot be less than zero.
</t>
        </r>
      </text>
    </comment>
    <comment ref="S569" authorId="0" shapeId="0" xr:uid="{DF4CDD70-93B8-4C6B-9424-887C82688361}">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570" authorId="0" shapeId="0" xr:uid="{E5A2CBDD-B35A-4343-88CF-1D150BC58776}">
      <text>
        <r>
          <rPr>
            <b/>
            <sz val="14"/>
            <color indexed="81"/>
            <rFont val="Tahoma"/>
            <family val="2"/>
          </rPr>
          <t xml:space="preserve">Note:
</t>
        </r>
        <r>
          <rPr>
            <sz val="14"/>
            <color indexed="81"/>
            <rFont val="Tahoma"/>
            <family val="2"/>
          </rPr>
          <t xml:space="preserve">A one-time fee collected by the lender and calculated as a % of the total loan amount. This value is typically between 1% and 4%.
This input cannot be less than zero.
</t>
        </r>
      </text>
    </comment>
    <comment ref="S570" authorId="0" shapeId="0" xr:uid="{18F9DB39-B2D1-456D-8DBF-1702D59B5B47}">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571" authorId="1" shapeId="0" xr:uid="{CA9AF5E5-DD1D-43F9-AA7C-5A413C7C558F}">
      <text>
        <r>
          <rPr>
            <b/>
            <sz val="14"/>
            <color indexed="81"/>
            <rFont val="Tahoma"/>
            <family val="2"/>
          </rPr>
          <t>Note:</t>
        </r>
        <r>
          <rPr>
            <sz val="14"/>
            <color indexed="81"/>
            <rFont val="Tahoma"/>
            <family val="2"/>
          </rPr>
          <t xml:space="preserve">
The annual Debt Service Coverage Ratio is calculated by dividing the sum of the annual principal and interest payment into that year's operating cash flow. Lenders will require the DSCR to demonstrate the project's ability to easily meet its annual debt service obligation.
Average DSCRs over the life of the loan typically range from 1.2 to 1.5 for private, commercially financed projects, or from 1.1 to 1.3 for publicly owned, bond-financed projects - depending on the level of reserves, or other surety, provided. 
The annual minimum DSCR will depend on the specific terms of the loan and the probability-weighting of the production estimate, but will likely be in the range of 1.0 to 1.3. This input must be greater than 1.
</t>
        </r>
      </text>
    </comment>
    <comment ref="S571" authorId="0" shapeId="0" xr:uid="{63294D06-E3D2-4120-9BE1-209405E0F683}">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572" authorId="0" shapeId="0" xr:uid="{F29C6044-302E-4774-A640-A552DDC07CFA}">
      <text>
        <r>
          <rPr>
            <b/>
            <sz val="14"/>
            <color indexed="81"/>
            <rFont val="Tahoma"/>
            <family val="2"/>
          </rPr>
          <t>Note:</t>
        </r>
        <r>
          <rPr>
            <sz val="14"/>
            <color indexed="81"/>
            <rFont val="Tahoma"/>
            <family val="2"/>
          </rPr>
          <t xml:space="preserve">
If "#N/A" appears, F9 should be pressed until the calculated COE achieves it's final value.</t>
        </r>
      </text>
    </comment>
    <comment ref="S572" authorId="0" shapeId="0" xr:uid="{92A0623D-B17C-4002-8DBF-E73DF8C428EE}">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573" authorId="1" shapeId="0" xr:uid="{E471B2ED-FF3B-42CB-86B9-F251DC7B384B}">
      <text>
        <r>
          <rPr>
            <b/>
            <sz val="14"/>
            <color indexed="81"/>
            <rFont val="Tahoma"/>
            <family val="2"/>
          </rPr>
          <t>Note:</t>
        </r>
        <r>
          <rPr>
            <sz val="14"/>
            <color indexed="81"/>
            <rFont val="Tahoma"/>
            <family val="2"/>
          </rPr>
          <t xml:space="preserve">
This cell checks that the debt service coverage ratio exceeds the user-defined minimum in each operating year (see note in DSCR cell for definition and rationale for DSCR). If the test "fails", the user must choose from one of several options in order to cure this deficiency (the extent to which these options are available will be specific to each project):
1. reduce the amount of project level debt, 
2. increase the feed-in tariff rate in order to generate cash flow sufficient to meet the bank's assumed coverage requirement.  In the CREST model, </t>
        </r>
        <r>
          <rPr>
            <u/>
            <sz val="14"/>
            <color indexed="81"/>
            <rFont val="Tahoma"/>
            <family val="2"/>
          </rPr>
          <t>this is done by manually increasing the "Target After-Tax Equity IRR."</t>
        </r>
        <r>
          <rPr>
            <sz val="14"/>
            <color indexed="81"/>
            <rFont val="Tahoma"/>
            <family val="2"/>
          </rPr>
          <t xml:space="preserve">
Other possible, but less likely, mechanisms include:
3. increase the loan tenor
4. decrease the interest rate</t>
        </r>
      </text>
    </comment>
    <comment ref="S573" authorId="0" shapeId="0" xr:uid="{B7900173-98B4-465B-AE4F-45F240DB4DC8}">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574" authorId="1" shapeId="0" xr:uid="{46BFE7FA-B04C-4E43-94A5-D02F3CF3C5A6}">
      <text>
        <r>
          <rPr>
            <b/>
            <sz val="14"/>
            <color indexed="81"/>
            <rFont val="Tahoma"/>
            <family val="2"/>
          </rPr>
          <t>Note:</t>
        </r>
        <r>
          <rPr>
            <sz val="14"/>
            <color indexed="81"/>
            <rFont val="Tahoma"/>
            <family val="2"/>
          </rPr>
          <t xml:space="preserve">
The annual Debt Service Coverage Ratio is calculated by dividing the sum of the annual principal and interest payment into that year's operating cash flow. Lenders will require the DSCR to demonstrate the project's ability to easily meet its annual debt service obligation.
</t>
        </r>
        <r>
          <rPr>
            <u/>
            <sz val="14"/>
            <color indexed="81"/>
            <rFont val="Tahoma"/>
            <family val="2"/>
          </rPr>
          <t>Average</t>
        </r>
        <r>
          <rPr>
            <sz val="14"/>
            <color indexed="81"/>
            <rFont val="Tahoma"/>
            <family val="2"/>
          </rPr>
          <t xml:space="preserve"> DSCRs over the life of the loan typically range from 1.2 to 1.5 for private, commercially financed projects, or from 1.1 to 1.3 for publicly owned, bond-financed projects - depending on the level of reserves, or other surety, provided. 
The </t>
        </r>
        <r>
          <rPr>
            <u/>
            <sz val="14"/>
            <color indexed="81"/>
            <rFont val="Tahoma"/>
            <family val="2"/>
          </rPr>
          <t>annual minimum</t>
        </r>
        <r>
          <rPr>
            <sz val="14"/>
            <color indexed="81"/>
            <rFont val="Tahoma"/>
            <family val="2"/>
          </rPr>
          <t xml:space="preserve"> DSCR will depend on the specific terms of the loan and the probability-weighting of the production estimate, but will likely be in the range of 1.0 to 1.3. This input must be greater than 1.
</t>
        </r>
      </text>
    </comment>
    <comment ref="S574" authorId="0" shapeId="0" xr:uid="{B84C6D30-0CBD-44A7-B728-270215AEB9D3}">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575" authorId="0" shapeId="0" xr:uid="{F75FC6F7-6053-42BC-AA0E-29AAAEDF107F}">
      <text>
        <r>
          <rPr>
            <b/>
            <sz val="12"/>
            <color indexed="81"/>
            <rFont val="Tahoma"/>
            <family val="2"/>
          </rPr>
          <t>Note:</t>
        </r>
        <r>
          <rPr>
            <sz val="12"/>
            <color indexed="81"/>
            <rFont val="Tahoma"/>
            <family val="2"/>
          </rPr>
          <t xml:space="preserve">
If "#N/A" appears, F9 should be pressed until the calculated COE achieves it's final value.</t>
        </r>
      </text>
    </comment>
    <comment ref="S575" authorId="0" shapeId="0" xr:uid="{196A448E-F7A8-4269-AA2E-45488BDA4406}">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576" authorId="1" shapeId="0" xr:uid="{9E0D32D7-E9A9-4E9D-A81A-7AAAEFC151E5}">
      <text>
        <r>
          <rPr>
            <b/>
            <sz val="14"/>
            <color indexed="81"/>
            <rFont val="Tahoma"/>
            <family val="2"/>
          </rPr>
          <t>Note:</t>
        </r>
        <r>
          <rPr>
            <sz val="14"/>
            <color indexed="81"/>
            <rFont val="Tahoma"/>
            <family val="2"/>
          </rPr>
          <t xml:space="preserve">
This cell checks that the average debt service coverage ratio exceeds the user-defined minimum during the period for which debt is outstanding (see note in DSCR cell for definition and rationale for DSCR). If the test "fails", the user must choose from one of several options in order to cure this deficiency (the extent to which these options are available will be specific to each project):
1. reduce the amount of project level debt, 
2. increase the feed-in tariff rate in order to generate cash flow sufficient to meet the bank's assumed coverage requirement.  In the CREST model, </t>
        </r>
        <r>
          <rPr>
            <u/>
            <sz val="14"/>
            <color indexed="81"/>
            <rFont val="Tahoma"/>
            <family val="2"/>
          </rPr>
          <t>this is done by manually increasing the "Target After-Tax Equity IRR."</t>
        </r>
        <r>
          <rPr>
            <sz val="14"/>
            <color indexed="81"/>
            <rFont val="Tahoma"/>
            <family val="2"/>
          </rPr>
          <t xml:space="preserve">
Other possible, but less likely, mechanisms include:
3. increase the loan tenor
4. decrease the interest rate</t>
        </r>
      </text>
    </comment>
    <comment ref="I577" authorId="0" shapeId="0" xr:uid="{221D540C-1FAD-47E1-B543-5EEE154F2996}">
      <text>
        <r>
          <rPr>
            <b/>
            <sz val="14"/>
            <color indexed="81"/>
            <rFont val="Tahoma"/>
            <family val="2"/>
          </rPr>
          <t xml:space="preserve">Note:
</t>
        </r>
        <r>
          <rPr>
            <sz val="14"/>
            <color indexed="81"/>
            <rFont val="Tahoma"/>
            <family val="2"/>
          </rPr>
          <t xml:space="preserve">The portion of total project cost funded from equity investors. This cell is a calculation and not an input. It is calculated as 100% minus the "% Debt" entered above.
</t>
        </r>
      </text>
    </comment>
    <comment ref="P577" authorId="0" shapeId="0" xr:uid="{804EAC91-83E3-4458-B0E3-4063A6F0F19C}">
      <text>
        <r>
          <rPr>
            <b/>
            <sz val="8"/>
            <color indexed="81"/>
            <rFont val="Tahoma"/>
            <family val="2"/>
          </rPr>
          <t>See "unit" definitions at the bottom of this worksheet.</t>
        </r>
        <r>
          <rPr>
            <sz val="8"/>
            <color indexed="81"/>
            <rFont val="Tahoma"/>
            <family val="2"/>
          </rPr>
          <t xml:space="preserve">
</t>
        </r>
      </text>
    </comment>
    <comment ref="I578" authorId="1" shapeId="0" xr:uid="{7A04F97E-3557-40E9-91D5-1EAC3209110E}">
      <text>
        <r>
          <rPr>
            <b/>
            <sz val="14"/>
            <color indexed="81"/>
            <rFont val="Tahoma"/>
            <family val="2"/>
          </rPr>
          <t>Note:</t>
        </r>
        <r>
          <rPr>
            <sz val="14"/>
            <color indexed="81"/>
            <rFont val="Tahoma"/>
            <family val="2"/>
          </rPr>
          <t xml:space="preserve">
The target after-tax equity IRR is the equity investor's cost of capital -- or "discount rate" -- and is the minimum rate of return that the project owner will seek to attain in order to justify the project compared to alternative investments.  
The user should be explicit in his or her assumption regarding the term over which the target after-tax IRR is assumed to be realized. For example, the user could elect to align the return requirement with the tariff payment duration. In this case, the project useful life should be set equal to the tariff duration in order to calculate the COE associated with the target IRR over that period of time. 
In a second example, the user could elect to align the return requirement with the project's useful life. In this case, the user can either assume a tariff duration equal to the project life, or assume market-based revenue for the period after the tariff and before the end of the assumed project useful life.
This input cannot be less than zero.
If a project is expected to be funded either by a pool of corporate funds or back-leveraged after commercial operation, the user might elect to enter 0% in the "% Debt" cell and enter a weighted average cost of capital (WACC) in the "Target After-Tax Equity IRR" cell.
</t>
        </r>
      </text>
    </comment>
    <comment ref="I579" authorId="0" shapeId="0" xr:uid="{E90296DC-8386-4C80-A5CF-8E4E6986D53D}">
      <text>
        <r>
          <rPr>
            <b/>
            <sz val="14"/>
            <color indexed="81"/>
            <rFont val="Tahoma"/>
            <family val="2"/>
          </rPr>
          <t xml:space="preserve">Note:
</t>
        </r>
        <r>
          <rPr>
            <sz val="14"/>
            <color indexed="81"/>
            <rFont val="Tahoma"/>
            <family val="2"/>
          </rPr>
          <t xml:space="preserve">The weighted average cost of capital combines the after-tax cost of both equity and debt in proportion to their use, and is calculated here for reference.
</t>
        </r>
      </text>
    </comment>
    <comment ref="S579" authorId="1" shapeId="0" xr:uid="{205E1EDB-B773-4C24-A4BE-D968FDCAF4FD}">
      <text>
        <r>
          <rPr>
            <b/>
            <sz val="14"/>
            <color indexed="81"/>
            <rFont val="Tahoma"/>
            <family val="2"/>
          </rPr>
          <t xml:space="preserve">Note:
</t>
        </r>
        <r>
          <rPr>
            <sz val="14"/>
            <color indexed="81"/>
            <rFont val="Tahoma"/>
            <family val="2"/>
          </rPr>
          <t xml:space="preserve">In order to ensure that project owners have sufficient funds to decommission and remove equipment at the end of a project's life, many owners choose to create and fund a reserve account throughout the course of project. 
This input cell allows the modeler to choose whether to pay for project removal by creating and funding a reserve account over the project life by selecting "Operations" or to assume that a project's removal will be funded by selling the equipment, by selecting "Salvage".
</t>
        </r>
      </text>
    </comment>
    <comment ref="I580" authorId="0" shapeId="0" xr:uid="{7C8F7C55-B79F-4E78-8017-2EA694F00CA4}">
      <text>
        <r>
          <rPr>
            <b/>
            <sz val="14"/>
            <color indexed="81"/>
            <rFont val="Tahoma"/>
            <family val="2"/>
          </rPr>
          <t xml:space="preserve">Note:
</t>
        </r>
        <r>
          <rPr>
            <sz val="14"/>
            <color indexed="81"/>
            <rFont val="Tahoma"/>
            <family val="2"/>
          </rPr>
          <t>This cell represents the costs of both equity and debt due diligence (if applicable) and other transaction costs.
Input cannot be less than zero.</t>
        </r>
      </text>
    </comment>
    <comment ref="S580" authorId="0" shapeId="0" xr:uid="{30F8D0FE-EA42-44A7-B489-BB1AB17A8BBF}">
      <text>
        <r>
          <rPr>
            <b/>
            <sz val="14"/>
            <color indexed="81"/>
            <rFont val="Tahoma"/>
            <family val="2"/>
          </rPr>
          <t>Note:</t>
        </r>
        <r>
          <rPr>
            <sz val="14"/>
            <color indexed="81"/>
            <rFont val="Tahoma"/>
            <family val="2"/>
          </rPr>
          <t xml:space="preserve">
This input cell allows the user to assume the creation of a reserve account. The value entered here will be accounted for in the project's cash flow, and would be funded evenly over the number of years available between the project's commercial operation and the end of its useful life.
Input cannot be less than zero.
</t>
        </r>
      </text>
    </comment>
    <comment ref="P582" authorId="0" shapeId="0" xr:uid="{F534563C-325F-42D3-BB9A-F270580DAE7D}">
      <text>
        <r>
          <rPr>
            <b/>
            <sz val="8"/>
            <color indexed="81"/>
            <rFont val="Tahoma"/>
            <family val="2"/>
          </rPr>
          <t>See "unit" definitions at the bottom of this worksheet.</t>
        </r>
        <r>
          <rPr>
            <sz val="8"/>
            <color indexed="81"/>
            <rFont val="Tahoma"/>
            <family val="2"/>
          </rPr>
          <t xml:space="preserve">
</t>
        </r>
      </text>
    </comment>
    <comment ref="I583" authorId="0" shapeId="0" xr:uid="{5BF6AF60-093A-4F99-B59D-7A972A421893}">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at the project's "Total Installed Cost."
</t>
        </r>
      </text>
    </comment>
    <comment ref="I584" authorId="0" shapeId="0" xr:uid="{1CE3D183-3B08-4839-8F7D-FA0833ABC773}">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t>
        </r>
      </text>
    </comment>
    <comment ref="S584" authorId="0" shapeId="0" xr:uid="{1B0BA780-2217-407B-A737-6FE21B055A78}">
      <text>
        <r>
          <rPr>
            <b/>
            <sz val="14"/>
            <color indexed="81"/>
            <rFont val="Tahoma"/>
            <family val="2"/>
          </rPr>
          <t>Note:</t>
        </r>
        <r>
          <rPr>
            <sz val="14"/>
            <color indexed="81"/>
            <rFont val="Tahoma"/>
            <family val="2"/>
          </rPr>
          <t xml:space="preserve">
Lenders typically require the project owner to establish a reserve account prior to the commencement of operations to ensure that loan repayments occur in full and on time even if the project has insufficient operating cash flow in a specific period due to lower than expected production, higher costs, or both. The size of the reserve account is typically equal to 6 months of debt service obligation.
Input cannot be less than zero.
</t>
        </r>
      </text>
    </comment>
    <comment ref="I585" authorId="0" shapeId="0" xr:uid="{F97A881E-170A-4EF2-BE01-F3328AC5063C}">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As previously described, this value excludes the ITC Cash Grant, which must be financed prior to commercial operation.  
</t>
        </r>
      </text>
    </comment>
    <comment ref="S585" authorId="0" shapeId="0" xr:uid="{1F4C5A6B-5A4C-419E-9B7F-1F5E64E2C1CD}">
      <text>
        <r>
          <rPr>
            <b/>
            <sz val="14"/>
            <color indexed="81"/>
            <rFont val="Tahoma"/>
            <family val="2"/>
          </rPr>
          <t>Note:</t>
        </r>
        <r>
          <rPr>
            <sz val="14"/>
            <color indexed="81"/>
            <rFont val="Tahoma"/>
            <family val="2"/>
          </rPr>
          <t xml:space="preserve">
Calculated value based on the # months of required reserve and the capital structure and associated periodic debt obligation.
</t>
        </r>
      </text>
    </comment>
    <comment ref="I586" authorId="0" shapeId="0" xr:uid="{59FFFD02-90B3-40A2-8051-53A2EA3CC6EC}">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t>
        </r>
      </text>
    </comment>
    <comment ref="S587" authorId="0" shapeId="0" xr:uid="{4842AD45-B81B-4142-BA30-2CF0625DEC46}">
      <text>
        <r>
          <rPr>
            <b/>
            <sz val="14"/>
            <color indexed="81"/>
            <rFont val="Tahoma"/>
            <family val="2"/>
          </rPr>
          <t>Note:</t>
        </r>
        <r>
          <rPr>
            <sz val="14"/>
            <color indexed="81"/>
            <rFont val="Tahoma"/>
            <family val="2"/>
          </rPr>
          <t xml:space="preserve">
Lenders typically require the project owner to establish a reserve account prior to the commencement of operations to ensure that all O&amp;M expenses can be met even if the project has insufficient operating cash flow in a specific period due to lower than expected production, higher costs, or both. The size of the reserve account is typically 3 to 6 months of O&amp;M expenses, and includes all categories of O&amp;M expenses.
Input cannot be less than zero.
</t>
        </r>
      </text>
    </comment>
    <comment ref="F588" authorId="0" shapeId="0" xr:uid="{DFDF1327-EEBE-4240-AEC1-92150CFEFC82}">
      <text>
        <r>
          <rPr>
            <b/>
            <sz val="8"/>
            <color indexed="81"/>
            <rFont val="Tahoma"/>
            <family val="2"/>
          </rPr>
          <t>See "unit" definitions at the bottom of this worksheet.</t>
        </r>
        <r>
          <rPr>
            <sz val="8"/>
            <color indexed="81"/>
            <rFont val="Tahoma"/>
            <family val="2"/>
          </rPr>
          <t xml:space="preserve">
</t>
        </r>
      </text>
    </comment>
    <comment ref="S588" authorId="0" shapeId="0" xr:uid="{0F6DC6A3-B8D8-41C5-9D1E-DDE4E07BD059}">
      <text>
        <r>
          <rPr>
            <b/>
            <sz val="14"/>
            <color indexed="81"/>
            <rFont val="Tahoma"/>
            <family val="2"/>
          </rPr>
          <t>Note:</t>
        </r>
        <r>
          <rPr>
            <sz val="14"/>
            <color indexed="81"/>
            <rFont val="Tahoma"/>
            <family val="2"/>
          </rPr>
          <t xml:space="preserve">
Calculated value based on the # months of required reserve and all annual operating expenses.
</t>
        </r>
      </text>
    </comment>
    <comment ref="I589" authorId="0" shapeId="0" xr:uid="{B3564ECA-E3C5-48F8-9A85-4446A9B4B5C1}">
      <text>
        <r>
          <rPr>
            <b/>
            <sz val="14"/>
            <color indexed="81"/>
            <rFont val="Tahoma"/>
            <family val="2"/>
          </rPr>
          <t xml:space="preserve">Note:
</t>
        </r>
        <r>
          <rPr>
            <sz val="14"/>
            <color indexed="81"/>
            <rFont val="Tahoma"/>
            <family val="2"/>
          </rPr>
          <t xml:space="preserve">Defines whether the project owner is a taxable or non-taxable entity. This determines the treatment of income taxes and other tax-related items.
</t>
        </r>
      </text>
    </comment>
    <comment ref="S589" authorId="0" shapeId="0" xr:uid="{96F4D515-94F2-4B01-A8A9-00D2F822DDC6}">
      <text>
        <r>
          <rPr>
            <b/>
            <sz val="14"/>
            <color indexed="81"/>
            <rFont val="Tahoma"/>
            <family val="2"/>
          </rPr>
          <t>Note:</t>
        </r>
        <r>
          <rPr>
            <sz val="14"/>
            <color indexed="81"/>
            <rFont val="Tahoma"/>
            <family val="2"/>
          </rPr>
          <t xml:space="preserve">
Unused reserves earn interest at this rate. Input cannot be less than zero.
</t>
        </r>
      </text>
    </comment>
    <comment ref="I590" authorId="0" shapeId="0" xr:uid="{E4BF4E98-2AD8-4B50-8065-9515569F7956}">
      <text>
        <r>
          <rPr>
            <b/>
            <sz val="14"/>
            <color indexed="81"/>
            <rFont val="Tahoma"/>
            <family val="2"/>
          </rPr>
          <t xml:space="preserve">Note:
</t>
        </r>
        <r>
          <rPr>
            <sz val="14"/>
            <color indexed="81"/>
            <rFont val="Tahoma"/>
            <family val="2"/>
          </rPr>
          <t xml:space="preserve">Defines the project's federal income tax rate, if applicable.
Input cannot be less than zero.
</t>
        </r>
      </text>
    </comment>
    <comment ref="I591" authorId="0" shapeId="0" xr:uid="{345D7359-7ED7-43E5-BCB8-5A19F737783E}">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I592" authorId="0" shapeId="0" xr:uid="{7CA71542-756B-4390-985B-1E18F47C9E2A}">
      <text>
        <r>
          <rPr>
            <b/>
            <sz val="14"/>
            <color indexed="81"/>
            <rFont val="Tahoma"/>
            <family val="2"/>
          </rPr>
          <t xml:space="preserve">Note:
</t>
        </r>
        <r>
          <rPr>
            <sz val="14"/>
            <color indexed="81"/>
            <rFont val="Tahoma"/>
            <family val="2"/>
          </rPr>
          <t xml:space="preserve">Defines the project's state income tax rate, if applicable.
Input cannot be less than zero.
</t>
        </r>
      </text>
    </comment>
    <comment ref="S592" authorId="0" shapeId="0" xr:uid="{12C2DB39-97A3-4DB1-A508-1865E845DBB8}">
      <text>
        <r>
          <rPr>
            <b/>
            <sz val="14"/>
            <color indexed="81"/>
            <rFont val="Tahoma"/>
            <family val="2"/>
          </rPr>
          <t>Note:</t>
        </r>
        <r>
          <rPr>
            <sz val="14"/>
            <color indexed="81"/>
            <rFont val="Tahoma"/>
            <family val="2"/>
          </rPr>
          <t xml:space="preserve">
To qualify for Bonus Depreciation the property must have a recovery period of 20 years or less (under normal federal tax depreciation rules), and the project must commence operation in the year in which bonus depreciation is in effect and under the ownership of the entity claiming the deduction. 
For qualifying projects, the owner is entitled to deduct 50% of the adjusted basis of the property during the tax year the property is first placed in service. The remaining 50% of the adjusted basis of the property is depreciated over the ordinary MACRS depreciation schedule. The bonus depreciation rules do not override the depreciation limit applicable to projects qualifying for the federal ITC. Before calculating depreciation for such a project, including any bonus depreciation, the adjusted basis of the project must be reduced by one-half of the amount of the ITC for which the project qualifies. 
</t>
        </r>
      </text>
    </comment>
    <comment ref="I593" authorId="0" shapeId="0" xr:uid="{12082BA7-F75B-4AD7-B058-B78466564793}">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P593" authorId="0" shapeId="0" xr:uid="{F0A2929F-4E92-4673-A732-6A095E36DB69}">
      <text>
        <r>
          <rPr>
            <b/>
            <sz val="12"/>
            <color indexed="81"/>
            <rFont val="Tahoma"/>
            <family val="2"/>
          </rPr>
          <t>Jason Gifford:</t>
        </r>
        <r>
          <rPr>
            <sz val="12"/>
            <color indexed="81"/>
            <rFont val="Tahoma"/>
            <family val="2"/>
          </rPr>
          <t xml:space="preserve">
The Consolidated Appropriations Act, signed in December 2015, extended the "placed in service" deadline for bonus depreciation. Equipment placed in service before January 1, 2018 can qualify for 50% bonus depreciation. Equipment placed in service during 2018 can qualify for 40% bonus depreciation. And equipment placed in service during 2019 can qualify for 30% bonus depreciation. </t>
        </r>
      </text>
    </comment>
    <comment ref="S593" authorId="0" shapeId="0" xr:uid="{CFFAE823-C0D0-4B66-B9CC-5157698A1ABF}">
      <text>
        <r>
          <rPr>
            <b/>
            <sz val="14"/>
            <color indexed="81"/>
            <rFont val="Tahoma"/>
            <family val="2"/>
          </rPr>
          <t>Note:</t>
        </r>
        <r>
          <rPr>
            <sz val="14"/>
            <color indexed="81"/>
            <rFont val="Tahoma"/>
            <family val="2"/>
          </rPr>
          <t xml:space="preserve">
This input allows the user to define the bonus depreciation % applied in Year 1, if applicable.  Historically, federal bonus depreciation has been 50% of the eligible cost basis (after taking into account reductions in such cost basis for the ITC, if applicable).  
Input cannot be less than zero.
</t>
        </r>
      </text>
    </comment>
    <comment ref="I594" authorId="0" shapeId="0" xr:uid="{17F1E761-B903-4F0E-ABCE-9639EBD101B1}">
      <text>
        <r>
          <rPr>
            <b/>
            <sz val="14"/>
            <color indexed="81"/>
            <rFont val="Tahoma"/>
            <family val="2"/>
          </rPr>
          <t xml:space="preserve">Note:
</t>
        </r>
        <r>
          <rPr>
            <sz val="14"/>
            <color indexed="81"/>
            <rFont val="Tahoma"/>
            <family val="2"/>
          </rPr>
          <t xml:space="preserve">Takes into account the interaction between federal and state tax rates. This is a calculated value.
</t>
        </r>
      </text>
    </comment>
    <comment ref="I595" authorId="0" shapeId="0" xr:uid="{9D8824D5-5DA0-4FDC-BE03-73A70D45D357}">
      <text>
        <r>
          <rPr>
            <b/>
            <sz val="14"/>
            <color indexed="81"/>
            <rFont val="Tahoma"/>
            <family val="2"/>
          </rPr>
          <t xml:space="preserve">Note:
</t>
        </r>
        <r>
          <rPr>
            <sz val="14"/>
            <color indexed="81"/>
            <rFont val="Tahoma"/>
            <family val="2"/>
          </rPr>
          <t>Depreciation accounts for the "use" of equipment for tax purposes. The depreciation inputs are provided in the table to the right and on the Complex Capital Costs tab when this option is selected.</t>
        </r>
      </text>
    </comment>
    <comment ref="AB596" authorId="0" shapeId="0" xr:uid="{B11D6371-5840-4288-A002-4D4A5F78E9D4}">
      <text>
        <r>
          <rPr>
            <b/>
            <sz val="14"/>
            <color indexed="81"/>
            <rFont val="Tahoma"/>
            <family val="2"/>
          </rPr>
          <t>Note:</t>
        </r>
        <r>
          <rPr>
            <sz val="14"/>
            <color indexed="81"/>
            <rFont val="Tahoma"/>
            <family val="2"/>
          </rPr>
          <t xml:space="preserve">
When the "Simple" capital cost option is selected, the depreciation of total project costs is divided among the classifications using this row. The depreciation options associated with other levels of cost detail will be hidden.
</t>
        </r>
        <r>
          <rPr>
            <b/>
            <sz val="14"/>
            <color indexed="81"/>
            <rFont val="Tahoma"/>
            <family val="2"/>
          </rPr>
          <t xml:space="preserve">This row must sum to 100%.
</t>
        </r>
      </text>
    </comment>
    <comment ref="AB597" authorId="0" shapeId="0" xr:uid="{04F53AEC-D834-4E25-9507-90A7B5D8BD74}">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598" authorId="0" shapeId="0" xr:uid="{F8336A5F-21C5-4998-A240-323020FB0BFD}">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599" authorId="0" shapeId="0" xr:uid="{A7D43596-E9C5-4F5F-B17D-52006536F850}">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600" authorId="0" shapeId="0" xr:uid="{EFCD0ACE-F381-4639-9D9B-EDB175F71242}">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601" authorId="0" shapeId="0" xr:uid="{6568E2AE-F3AE-4359-ACF1-24AEBF22418A}">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602" authorId="0" shapeId="0" xr:uid="{16F4D671-7D63-4932-B23A-661ADADA1BF0}">
      <text>
        <r>
          <rPr>
            <b/>
            <sz val="14"/>
            <color indexed="81"/>
            <rFont val="Tahoma"/>
            <family val="2"/>
          </rPr>
          <t>Note:</t>
        </r>
        <r>
          <rPr>
            <sz val="14"/>
            <color indexed="81"/>
            <rFont val="Tahoma"/>
            <family val="2"/>
          </rPr>
          <t xml:space="preserve">
When the "Complex" capital cost option is selected, each line items is assigned its own depreciation classification using a drop-down menu on the Complex Capital Costs tab.
</t>
        </r>
      </text>
    </comment>
    <comment ref="C607" authorId="0" shapeId="0" xr:uid="{902D2FD9-AC54-4621-A5A5-D7289A57C15E}">
      <text>
        <r>
          <rPr>
            <sz val="14"/>
            <color indexed="81"/>
            <rFont val="Tahoma"/>
            <family val="2"/>
          </rPr>
          <t xml:space="preserve">The "Check" column evaluates whether or not values have been enterred in all required fields.  Green denotes an accepted entry in a required field or a calculation for which the minimum required precedents have been satisfied.  Red denotes the absence of an entry in a required field, or a calculation for which the minimum required precendents have NOT been satisfied.
</t>
        </r>
        <r>
          <rPr>
            <b/>
            <sz val="14"/>
            <color indexed="81"/>
            <rFont val="Tahoma"/>
            <family val="2"/>
          </rPr>
          <t>Please note</t>
        </r>
        <r>
          <rPr>
            <sz val="14"/>
            <color indexed="81"/>
            <rFont val="Tahoma"/>
            <family val="2"/>
          </rPr>
          <t xml:space="preserve"> that while the "Check" column ensures the population of all required fields, this column does NOT validate the magnitude of such entries.  It is the model user's responsibility to provide inputs which accurately represent the project being modeled.  In some cases, a range of typical values for a specified input are provided in that input's "Notes" cell.</t>
        </r>
      </text>
    </comment>
    <comment ref="I607" authorId="0" shapeId="0" xr:uid="{E64840DC-02FB-469D-BE2B-A6411D4137AE}">
      <text>
        <r>
          <rPr>
            <sz val="14"/>
            <color indexed="81"/>
            <rFont val="Tahoma"/>
            <family val="2"/>
          </rPr>
          <t xml:space="preserve">Each cell in the "Notes" column provides a brief description of the input in the corresponding row, its application within the model, and (in some cases) the range of values that might be expected to populate that  input cell.  It is the model user's responsibility, however, to research and validate the applicability of, and appropriate value for, each input.
</t>
        </r>
        <r>
          <rPr>
            <sz val="8"/>
            <color indexed="81"/>
            <rFont val="Tahoma"/>
            <family val="2"/>
          </rPr>
          <t xml:space="preserve">
</t>
        </r>
      </text>
    </comment>
    <comment ref="M607" authorId="0" shapeId="0" xr:uid="{51C21AB3-6070-4560-98A9-5F8409CA6704}">
      <text>
        <r>
          <rPr>
            <sz val="14"/>
            <color indexed="81"/>
            <rFont val="Tahoma"/>
            <family val="2"/>
          </rPr>
          <t xml:space="preserve">The "Check" column evaluates whether or not values have been enterred in all required fields.  Green denotes an accepted entry in a required field or a calculation for which the minimum required precedents have been satisfied.  Red denotes the absence of an entry in a required field, or a calculation for which the minimum required precendents have NOT been satisfied.
</t>
        </r>
        <r>
          <rPr>
            <b/>
            <sz val="14"/>
            <color indexed="81"/>
            <rFont val="Tahoma"/>
            <family val="2"/>
          </rPr>
          <t>Please note</t>
        </r>
        <r>
          <rPr>
            <sz val="14"/>
            <color indexed="81"/>
            <rFont val="Tahoma"/>
            <family val="2"/>
          </rPr>
          <t xml:space="preserve"> that while the "Check" column ensures the population of all required fields, this column does NOT validate the magnitude of such entries.  It is the model user's responsibility to provide inputs which accurately represent the project being modeled.  In some cases, a range of typical values for a specified input are provided in that input's "Notes" cell.</t>
        </r>
      </text>
    </comment>
    <comment ref="S607" authorId="0" shapeId="0" xr:uid="{DDDCB88E-14F7-4F20-9272-A5A759A7956E}">
      <text>
        <r>
          <rPr>
            <sz val="14"/>
            <color indexed="81"/>
            <rFont val="Tahoma"/>
            <family val="2"/>
          </rPr>
          <t>Each cell in the "Notes" column provides a brief description of the input in the corresponding row, its application within the model, and (in some cases) the range of values that might be expected to populate that  input cell. It is the model user's responsibility, however, to research and validate the applicability of, and appropriate value for, each input.</t>
        </r>
        <r>
          <rPr>
            <sz val="8"/>
            <color indexed="81"/>
            <rFont val="Tahoma"/>
            <family val="2"/>
          </rPr>
          <t xml:space="preserve">
</t>
        </r>
      </text>
    </comment>
    <comment ref="F609" authorId="0" shapeId="0" xr:uid="{60A01B9C-4176-49F0-BC46-41F4B25B3520}">
      <text>
        <r>
          <rPr>
            <b/>
            <sz val="8"/>
            <color indexed="81"/>
            <rFont val="Tahoma"/>
            <family val="2"/>
          </rPr>
          <t>See "unit" definitions at the bottom of this worksheet.</t>
        </r>
        <r>
          <rPr>
            <sz val="8"/>
            <color indexed="81"/>
            <rFont val="Tahoma"/>
            <family val="2"/>
          </rPr>
          <t xml:space="preserve">
</t>
        </r>
      </text>
    </comment>
    <comment ref="P609" authorId="0" shapeId="0" xr:uid="{B7659E30-BB0C-4CD5-AA44-E48B6AA85DF9}">
      <text>
        <r>
          <rPr>
            <b/>
            <sz val="8"/>
            <color indexed="81"/>
            <rFont val="Tahoma"/>
            <family val="2"/>
          </rPr>
          <t>See "unit" definitions at the bottom of this worksheet.</t>
        </r>
        <r>
          <rPr>
            <sz val="8"/>
            <color indexed="81"/>
            <rFont val="Tahoma"/>
            <family val="2"/>
          </rPr>
          <t xml:space="preserve">
</t>
        </r>
      </text>
    </comment>
    <comment ref="I610" authorId="1" shapeId="0" xr:uid="{8ACED206-224D-44F6-B17D-62BDCF96F19C}">
      <text>
        <r>
          <rPr>
            <b/>
            <sz val="14"/>
            <color indexed="81"/>
            <rFont val="Tahoma"/>
            <family val="2"/>
          </rPr>
          <t>Note:</t>
        </r>
        <r>
          <rPr>
            <sz val="14"/>
            <color indexed="81"/>
            <rFont val="Tahoma"/>
            <family val="2"/>
          </rPr>
          <t xml:space="preserve">
This is the aggregate nameplate rating for the entire generating facility.
Input must be greater than zero.
</t>
        </r>
      </text>
    </comment>
    <comment ref="S610" authorId="1" shapeId="0" xr:uid="{C15C16EE-1609-4449-B68C-373E03F4B428}">
      <text>
        <r>
          <rPr>
            <b/>
            <sz val="14"/>
            <color indexed="81"/>
            <rFont val="Tahoma"/>
            <family val="2"/>
          </rPr>
          <t xml:space="preserve">Note:
</t>
        </r>
        <r>
          <rPr>
            <sz val="14"/>
            <color indexed="81"/>
            <rFont val="Tahoma"/>
            <family val="2"/>
          </rPr>
          <t xml:space="preserve">The FIT contract length is the number of years for which the rate specified by this model is available. This term is established by policymakers and must be less than or equal to the project's useful life.  
The contract duration is also different than the debt tenor (if applicable), which is specified in the Permanent Financing section below.
</t>
        </r>
      </text>
    </comment>
    <comment ref="I611" authorId="1" shapeId="0" xr:uid="{424E9C09-252C-4C2A-8182-9EBAC111712C}">
      <text>
        <r>
          <rPr>
            <b/>
            <sz val="14"/>
            <color indexed="81"/>
            <rFont val="Tahoma"/>
            <family val="2"/>
          </rPr>
          <t>Note:</t>
        </r>
        <r>
          <rPr>
            <sz val="14"/>
            <color indexed="81"/>
            <rFont val="Tahoma"/>
            <family val="2"/>
          </rPr>
          <t xml:space="preserve">
Capacity Factor is the % representation of the actual production vs. the theoretical maximum annual production of an energy project. This model requires the input of a </t>
        </r>
        <r>
          <rPr>
            <b/>
            <sz val="14"/>
            <color indexed="81"/>
            <rFont val="Tahoma"/>
            <family val="2"/>
          </rPr>
          <t>Net Capacity Factor</t>
        </r>
        <r>
          <rPr>
            <sz val="14"/>
            <color indexed="81"/>
            <rFont val="Tahoma"/>
            <family val="2"/>
          </rPr>
          <t xml:space="preserve">, meaning that the estimate of actual energy production should take into account all electricity losses (including those incurred between the generating facility and the contract delivery point), scheduled and unscheduled maintenance, forced outages, wake effects, icing, and any other factors that could reduce production.
Wind projects typically have a capacity factor between 25% and 40% depending on region and site-specific topography. 
Input must be between 0% and 100%.
</t>
        </r>
      </text>
    </comment>
    <comment ref="S611" authorId="1" shapeId="0" xr:uid="{5B51C122-007B-4710-B3B6-952D0E4B1D5A}">
      <text>
        <r>
          <rPr>
            <b/>
            <sz val="14"/>
            <color indexed="81"/>
            <rFont val="Tahoma"/>
            <family val="2"/>
          </rPr>
          <t xml:space="preserve">Note:
</t>
        </r>
        <r>
          <rPr>
            <sz val="14"/>
            <color indexed="81"/>
            <rFont val="Tahoma"/>
            <family val="2"/>
          </rPr>
          <t xml:space="preserve">This is the portion (%) of the tariff which is subject to annual escalation.  
Program administrators may determine that some or all of the tariff rate should be escalated to reflect the uncertainty associated with the future cost of owning and operating an electricity generating facility. This input is separate from the inflation assumed to apply to certain O&amp;M expenses, which is provided as an input in the O&amp;M section below.
Input must be between 0% and 100%.
</t>
        </r>
      </text>
    </comment>
    <comment ref="I612" authorId="1" shapeId="0" xr:uid="{FD45FA12-127C-4EB0-AB3E-6C7747D8BFF2}">
      <text>
        <r>
          <rPr>
            <b/>
            <sz val="14"/>
            <color indexed="81"/>
            <rFont val="Tahoma"/>
            <family val="2"/>
          </rPr>
          <t>Note:</t>
        </r>
        <r>
          <rPr>
            <sz val="14"/>
            <color indexed="81"/>
            <rFont val="Tahoma"/>
            <family val="2"/>
          </rPr>
          <t xml:space="preserve">
This is a calculation, based on the system size and capacity factor provided above. 
</t>
        </r>
      </text>
    </comment>
    <comment ref="S612" authorId="1" shapeId="0" xr:uid="{BB121D94-4246-4A6C-82DB-1B75B78EBA3D}">
      <text>
        <r>
          <rPr>
            <b/>
            <sz val="14"/>
            <color indexed="81"/>
            <rFont val="Tahoma"/>
            <family val="2"/>
          </rPr>
          <t xml:space="preserve">Note:
</t>
        </r>
        <r>
          <rPr>
            <sz val="14"/>
            <color indexed="81"/>
            <rFont val="Tahoma"/>
            <family val="2"/>
          </rPr>
          <t xml:space="preserve">To calculate a </t>
        </r>
        <r>
          <rPr>
            <b/>
            <sz val="14"/>
            <color indexed="81"/>
            <rFont val="Tahoma"/>
            <family val="2"/>
          </rPr>
          <t>nominal levelized tariff rate</t>
        </r>
        <r>
          <rPr>
            <sz val="14"/>
            <color indexed="81"/>
            <rFont val="Tahoma"/>
            <family val="2"/>
          </rPr>
          <t xml:space="preserve">, the "feed-in tariff escalation rate" field should be </t>
        </r>
        <r>
          <rPr>
            <b/>
            <sz val="14"/>
            <color indexed="81"/>
            <rFont val="Tahoma"/>
            <family val="2"/>
          </rPr>
          <t>set to zero</t>
        </r>
        <r>
          <rPr>
            <sz val="14"/>
            <color indexed="81"/>
            <rFont val="Tahoma"/>
            <family val="2"/>
          </rPr>
          <t>.</t>
        </r>
        <r>
          <rPr>
            <b/>
            <sz val="14"/>
            <color indexed="81"/>
            <rFont val="Tahoma"/>
            <family val="2"/>
          </rPr>
          <t xml:space="preserve">
</t>
        </r>
        <r>
          <rPr>
            <sz val="14"/>
            <color indexed="81"/>
            <rFont val="Tahoma"/>
            <family val="2"/>
          </rPr>
          <t xml:space="preserve">Where applied, tariff rate escalation is intended to serve as a risk mitigating tool, at least partially protecting the project investor from the uncertainty associated with the future cost of owning and operating the renewable energy facility. The escalation rate can be used to assume a year over year increase in all, or a portion, of the per unit payment provided to eligible generators. This concept is separate from inflationary adjustments to future operating cost assumptions -- which are input below.
This rate is applied annually.  Note that in this model, calendar years and tariff years are aligned.
</t>
        </r>
        <r>
          <rPr>
            <b/>
            <sz val="14"/>
            <color indexed="81"/>
            <rFont val="Tahoma"/>
            <family val="2"/>
          </rPr>
          <t>Caution:</t>
        </r>
        <r>
          <rPr>
            <sz val="14"/>
            <color indexed="81"/>
            <rFont val="Tahoma"/>
            <family val="2"/>
          </rPr>
          <t xml:space="preserve"> A value must be entered into this cell in order for the model to function properly. The input can be positive or negative (if the FIT value decreases over time), and a typical value may fall between 0% and 5%.  
</t>
        </r>
      </text>
    </comment>
    <comment ref="I613" authorId="1" shapeId="0" xr:uid="{94E1A411-3D8E-4394-B5EB-E07344D0335D}">
      <text>
        <r>
          <rPr>
            <b/>
            <sz val="14"/>
            <color indexed="81"/>
            <rFont val="Tahoma"/>
            <family val="2"/>
          </rPr>
          <t>Note:</t>
        </r>
        <r>
          <rPr>
            <sz val="14"/>
            <color indexed="81"/>
            <rFont val="Tahoma"/>
            <family val="2"/>
          </rPr>
          <t xml:space="preserve">
The natural aging of the mechanical components of a wind turbine generator may lead to a drop in turbine availability (or efficiency), and therefore production, over time.  
This input allows the user to model the potential for such degradation, which may be between 0% and 2% per year.
</t>
        </r>
        <r>
          <rPr>
            <b/>
            <sz val="14"/>
            <color indexed="81"/>
            <rFont val="Tahoma"/>
            <family val="2"/>
          </rPr>
          <t>If the modeled "Net Capacity Factor" is intented to take long-term average availability into account, then the user may wish to enter 0% in the Annual Production Degradation field.</t>
        </r>
        <r>
          <rPr>
            <sz val="14"/>
            <color indexed="81"/>
            <rFont val="Tahoma"/>
            <family val="2"/>
          </rPr>
          <t xml:space="preserve">
Input must be =&gt; 0%.
</t>
        </r>
      </text>
    </comment>
    <comment ref="I614" authorId="1" shapeId="0" xr:uid="{BEEBC3F3-2324-4AD5-A444-869D0727D15E}">
      <text>
        <r>
          <rPr>
            <b/>
            <sz val="14"/>
            <color indexed="81"/>
            <rFont val="Tahoma"/>
            <family val="2"/>
          </rPr>
          <t xml:space="preserve">Note:
</t>
        </r>
        <r>
          <rPr>
            <sz val="14"/>
            <color indexed="81"/>
            <rFont val="Tahoma"/>
            <family val="2"/>
          </rPr>
          <t xml:space="preserve">The Project Useful Life is the number of years that the project is expected to be fully operational, reliably delivering electricity to the grid, and generating revenue. This concept is different from the FIT Contract Length, which is administratively determined by policymakers. These two values may be the same if a FIT contract is offered for the project's entire expected useful life. This approach is likely to generate the lowest tariff rate, while successfully attracting investors to renewable energy projects.  
The CREST model is built for a maximum Project Useful Life of 30 years.
Input must be greater than 0 and less than or equal to 30.
</t>
        </r>
      </text>
    </comment>
    <comment ref="S614" authorId="1" shapeId="0" xr:uid="{47F7B6D1-ADF7-4B24-9E49-F220840DF7D9}">
      <text>
        <r>
          <rPr>
            <b/>
            <sz val="14"/>
            <color indexed="81"/>
            <rFont val="Tahoma"/>
            <family val="2"/>
          </rPr>
          <t xml:space="preserve">Note:
</t>
        </r>
        <r>
          <rPr>
            <sz val="14"/>
            <color indexed="81"/>
            <rFont val="Tahoma"/>
            <family val="2"/>
          </rPr>
          <t>If the designated "FIT Contract Length" is less than the defined "Project Useful Life", then this grouping of inputs is used to calculate the project's market-based revenue during the period from FIT contract expiration to the end of the project's life.</t>
        </r>
        <r>
          <rPr>
            <b/>
            <sz val="14"/>
            <color indexed="81"/>
            <rFont val="Tahoma"/>
            <family val="2"/>
          </rPr>
          <t xml:space="preserve">
</t>
        </r>
        <r>
          <rPr>
            <sz val="14"/>
            <color indexed="81"/>
            <rFont val="Tahoma"/>
            <family val="2"/>
          </rPr>
          <t xml:space="preserve">
</t>
        </r>
      </text>
    </comment>
    <comment ref="S615" authorId="1" shapeId="0" xr:uid="{4C2644DE-2465-4126-8049-4EA3CC126CE0}">
      <text>
        <r>
          <rPr>
            <b/>
            <sz val="14"/>
            <color indexed="81"/>
            <rFont val="Tahoma"/>
            <family val="2"/>
          </rPr>
          <t xml:space="preserve">Note:
</t>
        </r>
        <r>
          <rPr>
            <sz val="14"/>
            <color indexed="81"/>
            <rFont val="Tahoma"/>
            <family val="2"/>
          </rPr>
          <t>Selecting "Year One" forecasts the total market value of production based on an estimate of that value in the project's first year of commercial operation and a user-defined escalation rate.  
Selecting "Year-by-Year" enables the user to enter unique annual values for the period after the FIT expires and before the end of the project's useful life.</t>
        </r>
        <r>
          <rPr>
            <b/>
            <sz val="14"/>
            <color indexed="81"/>
            <rFont val="Tahoma"/>
            <family val="2"/>
          </rPr>
          <t xml:space="preserve">
</t>
        </r>
        <r>
          <rPr>
            <sz val="14"/>
            <color indexed="81"/>
            <rFont val="Tahoma"/>
            <family val="2"/>
          </rPr>
          <t xml:space="preserve">
</t>
        </r>
      </text>
    </comment>
    <comment ref="F616" authorId="0" shapeId="0" xr:uid="{8DF7D7DE-6F08-47DB-96EF-E37984D74085}">
      <text>
        <r>
          <rPr>
            <b/>
            <sz val="8"/>
            <color indexed="81"/>
            <rFont val="Tahoma"/>
            <family val="2"/>
          </rPr>
          <t>See "unit" definitions at the bottom of this worksheet.</t>
        </r>
        <r>
          <rPr>
            <sz val="8"/>
            <color indexed="81"/>
            <rFont val="Tahoma"/>
            <family val="2"/>
          </rPr>
          <t xml:space="preserve">
</t>
        </r>
      </text>
    </comment>
    <comment ref="S616" authorId="1" shapeId="0" xr:uid="{D4CA2B3D-46F9-4F70-A732-30A0F46FB5CE}">
      <text>
        <r>
          <rPr>
            <b/>
            <sz val="14"/>
            <color indexed="81"/>
            <rFont val="Tahoma"/>
            <family val="2"/>
          </rPr>
          <t xml:space="preserve">Note:
</t>
        </r>
        <r>
          <rPr>
            <sz val="14"/>
            <color indexed="81"/>
            <rFont val="Tahoma"/>
            <family val="2"/>
          </rPr>
          <t xml:space="preserve">This is the </t>
        </r>
        <r>
          <rPr>
            <b/>
            <sz val="14"/>
            <color indexed="81"/>
            <rFont val="Tahoma"/>
            <family val="2"/>
          </rPr>
          <t>combined</t>
        </r>
        <r>
          <rPr>
            <sz val="14"/>
            <color indexed="81"/>
            <rFont val="Tahoma"/>
            <family val="2"/>
          </rPr>
          <t xml:space="preserve"> (or "bundled") market value of energy + capacity + Renewable Energy Credtis (RECs) in the same year in which the project's first enters commercial operation.
This input must be greater than zero.
</t>
        </r>
      </text>
    </comment>
    <comment ref="I617" authorId="1" shapeId="0" xr:uid="{28263A72-1D05-4DC4-9E71-3B6DE5EEEACE}">
      <text>
        <r>
          <rPr>
            <b/>
            <sz val="14"/>
            <color indexed="81"/>
            <rFont val="Tahoma"/>
            <family val="2"/>
          </rPr>
          <t>Note:</t>
        </r>
        <r>
          <rPr>
            <sz val="14"/>
            <color indexed="81"/>
            <rFont val="Tahoma"/>
            <family val="2"/>
          </rPr>
          <t xml:space="preserve">
This model alllows the user to input system cost at 1 of 3 levels of detail: "simple", "intermediate" or "complex." Simple offers a single input in $/kW, Intermediate offers five cost subcategories in total dollars, and Complex offers line-by-line project costing with user-defined categories and costs per line-item.  
Select your preferred method and use the cells below to enter your cost information. If you choose the "Complex" option, you will need to follow the link below to the "Complex Capital Costs" tab.</t>
        </r>
      </text>
    </comment>
    <comment ref="S617" authorId="1" shapeId="0" xr:uid="{0B9833CD-47E3-4F2F-8FDF-F88609E904FE}">
      <text>
        <r>
          <rPr>
            <b/>
            <sz val="14"/>
            <color indexed="81"/>
            <rFont val="Tahoma"/>
            <family val="2"/>
          </rPr>
          <t xml:space="preserve">Note:
</t>
        </r>
        <r>
          <rPr>
            <sz val="14"/>
            <color indexed="81"/>
            <rFont val="Tahoma"/>
            <family val="2"/>
          </rPr>
          <t xml:space="preserve">When the "Year One" forecast methodology is selected, this is the user-defined escalation rate at which the market value of production is expected to change.
Input must be greater than zero.
</t>
        </r>
      </text>
    </comment>
    <comment ref="I618" authorId="1" shapeId="0" xr:uid="{D52A60FA-03DF-421D-8F28-1149318206A6}">
      <text>
        <r>
          <rPr>
            <b/>
            <sz val="14"/>
            <color indexed="81"/>
            <rFont val="Tahoma"/>
            <family val="2"/>
          </rPr>
          <t>Note:</t>
        </r>
        <r>
          <rPr>
            <sz val="14"/>
            <color indexed="81"/>
            <rFont val="Tahoma"/>
            <family val="2"/>
          </rPr>
          <t xml:space="preserve">
When "Simple" is selected in the Cost Level of Detail cell, this "Total Installed Cost" row represents the total expected all-in project cost, which should include all hardware, balance of plant, interconnection, design, construction, permitting, development (including developer fee), interest during construction and financing costs. This figure should not account for any tax incentives, grants, or other cash incentives, each of which will be addressed elsewhere in the model. This figure should, however, reflect any applicable sales tax or exemptions thereof.
Input must be greater than zero.
</t>
        </r>
      </text>
    </comment>
    <comment ref="S618" authorId="1" shapeId="0" xr:uid="{BC4A3629-ECAB-4C1B-BAEF-1AF84BDFA9C1}">
      <text>
        <r>
          <rPr>
            <b/>
            <sz val="14"/>
            <color indexed="81"/>
            <rFont val="Tahoma"/>
            <family val="2"/>
          </rPr>
          <t xml:space="preserve">Note:
</t>
        </r>
        <r>
          <rPr>
            <sz val="14"/>
            <color indexed="81"/>
            <rFont val="Tahoma"/>
            <family val="2"/>
          </rPr>
          <t xml:space="preserve">When "Year-by-Year" market value of production forecast is selected, this link brings the user to another worksheet on which unique annual values may be entered.
</t>
        </r>
      </text>
    </comment>
    <comment ref="I619" authorId="1" shapeId="0" xr:uid="{A99C51ED-E39A-4ABD-9187-C50AB463EFE6}">
      <text>
        <r>
          <rPr>
            <b/>
            <sz val="14"/>
            <color indexed="81"/>
            <rFont val="Tahoma"/>
            <family val="2"/>
          </rPr>
          <t>Note:</t>
        </r>
        <r>
          <rPr>
            <sz val="14"/>
            <color indexed="81"/>
            <rFont val="Tahoma"/>
            <family val="2"/>
          </rPr>
          <t xml:space="preserve">
"Generation Equipment" should include hardware such as the generator, blades and tower.  
Caution: the model assumes that if "Intermediate" is selected as the level of detail section, the "Generation Equipment" row must have a value greater than zero. 
</t>
        </r>
      </text>
    </comment>
    <comment ref="I620" authorId="1" shapeId="0" xr:uid="{4C02443A-00B7-4A91-A764-CF4AB454BCC7}">
      <text>
        <r>
          <rPr>
            <b/>
            <sz val="14"/>
            <color indexed="81"/>
            <rFont val="Tahoma"/>
            <family val="2"/>
          </rPr>
          <t>Note:</t>
        </r>
        <r>
          <rPr>
            <sz val="14"/>
            <color indexed="81"/>
            <rFont val="Tahoma"/>
            <family val="2"/>
          </rPr>
          <t xml:space="preserve">
Balance of Plant (also known as Balance of System) represents all infrastructure, site prep and labor supporting the installation of the generation equipment. BOP costs include foundations, mounting devices, other hardware, and labor not already accounted for in the "Generation Equipment" row.
Input cannot be less than zero.
</t>
        </r>
      </text>
    </comment>
    <comment ref="P620" authorId="0" shapeId="0" xr:uid="{F49F4430-6AB2-439B-BD57-7A62C12A376D}">
      <text>
        <r>
          <rPr>
            <b/>
            <sz val="8"/>
            <color indexed="81"/>
            <rFont val="Tahoma"/>
            <family val="2"/>
          </rPr>
          <t>See "unit" definitions at the bottom of this worksheet.</t>
        </r>
        <r>
          <rPr>
            <sz val="8"/>
            <color indexed="81"/>
            <rFont val="Tahoma"/>
            <family val="2"/>
          </rPr>
          <t xml:space="preserve">
</t>
        </r>
      </text>
    </comment>
    <comment ref="I621" authorId="1" shapeId="0" xr:uid="{6A18CBE7-8B9F-4096-854B-D4DABC397421}">
      <text>
        <r>
          <rPr>
            <b/>
            <sz val="14"/>
            <color indexed="81"/>
            <rFont val="Tahoma"/>
            <family val="2"/>
          </rPr>
          <t>Note:</t>
        </r>
        <r>
          <rPr>
            <sz val="14"/>
            <color indexed="81"/>
            <rFont val="Tahoma"/>
            <family val="2"/>
          </rPr>
          <t xml:space="preserve">
The "Interconnection" row should account for all project costs relating to connecting to the grid, such as the construction of transmission lines, permitting costs with the utility, and start-up costs. This category will also include the cost of a new substation, if necessary.
Regulators wishing to explore the potential that interconnection costs may be recovered from ratepayers separately can elect to enter zeros in this cost category whenever "Intermediate" or "Complex" is selected.
Input cannot be less than zero.
</t>
        </r>
      </text>
    </comment>
    <comment ref="S621" authorId="0" shapeId="0" xr:uid="{F5C61F48-E1ED-4FDA-87F6-195D4119DCF3}">
      <text>
        <r>
          <rPr>
            <b/>
            <sz val="14"/>
            <color indexed="81"/>
            <rFont val="Tahoma"/>
            <family val="2"/>
          </rPr>
          <t xml:space="preserve">Note:
</t>
        </r>
        <r>
          <rPr>
            <sz val="14"/>
            <color indexed="81"/>
            <rFont val="Tahoma"/>
            <family val="2"/>
          </rPr>
          <t>This drop-down input cell allows the user to specify whether federal incentives are cost-based (e.g. an investment tax credit) or performance-based (e.g. a PTC). The magnitude and terms of these incentives are set in the cells below.
For more information, a useful resource for researching federal and state incentives online is:  
http://dsireusa.org/
*See bottom of introduction page for a list of links</t>
        </r>
      </text>
    </comment>
    <comment ref="E622" authorId="0" shapeId="0" xr:uid="{17230AC7-BA0B-45AD-9ED5-D1792CB4C09B}">
      <text>
        <r>
          <rPr>
            <b/>
            <sz val="14"/>
            <color indexed="81"/>
            <rFont val="Tahoma"/>
            <family val="2"/>
          </rPr>
          <t>Jason Gifford:</t>
        </r>
        <r>
          <rPr>
            <sz val="14"/>
            <color indexed="81"/>
            <rFont val="Tahoma"/>
            <family val="2"/>
          </rPr>
          <t xml:space="preserve">
Converted to "admin cost" for community remote DG</t>
        </r>
      </text>
    </comment>
    <comment ref="I622" authorId="1" shapeId="0" xr:uid="{9EB10E09-8CF4-494E-8AD9-0B9BFC8ACCF0}">
      <text>
        <r>
          <rPr>
            <b/>
            <sz val="14"/>
            <color indexed="81"/>
            <rFont val="Tahoma"/>
            <family val="2"/>
          </rPr>
          <t>Note:</t>
        </r>
        <r>
          <rPr>
            <sz val="8"/>
            <color indexed="81"/>
            <rFont val="Tahoma"/>
            <family val="2"/>
          </rPr>
          <t xml:space="preserve">
</t>
        </r>
        <r>
          <rPr>
            <sz val="14"/>
            <color indexed="81"/>
            <rFont val="Tahoma"/>
            <family val="2"/>
          </rPr>
          <t xml:space="preserve">The "Development Costs" row should include all costs relating to project management, studies, engineering, permitting, contingencies, success fees, and other soft costs not accounted for elsewhere in the "Intermediate" cost breakdown. 
Input cannot be less than zero.
</t>
        </r>
      </text>
    </comment>
    <comment ref="S622" authorId="1" shapeId="0" xr:uid="{3EF24816-08A5-4191-8442-44634C439F80}">
      <text>
        <r>
          <rPr>
            <b/>
            <sz val="14"/>
            <color indexed="81"/>
            <rFont val="Tahoma"/>
            <family val="2"/>
          </rPr>
          <t xml:space="preserve">Note:
</t>
        </r>
        <r>
          <rPr>
            <sz val="14"/>
            <color indexed="81"/>
            <rFont val="Tahoma"/>
            <family val="2"/>
          </rPr>
          <t>Some renewable energy projects may be eligible to take advantagee of Federal incentives such as the Investment Tax Credit or a Treasury Grant. Information on eligibility for funding opportunities such as these is available online at:
http://dsireusa.org/incentives/incentive.cfm?Incentive_Code=US02F&amp;re=1&amp;ee=1
*See bottom of introduction page for a list of links</t>
        </r>
        <r>
          <rPr>
            <b/>
            <sz val="14"/>
            <color indexed="81"/>
            <rFont val="Tahoma"/>
            <family val="2"/>
          </rPr>
          <t xml:space="preserve">
</t>
        </r>
        <r>
          <rPr>
            <sz val="14"/>
            <color indexed="81"/>
            <rFont val="Tahoma"/>
            <family val="2"/>
          </rPr>
          <t xml:space="preserve">
</t>
        </r>
      </text>
    </comment>
    <comment ref="I623" authorId="1" shapeId="0" xr:uid="{D10FF543-0877-427A-B8EC-D5E50FDB2B46}">
      <text>
        <r>
          <rPr>
            <b/>
            <sz val="14"/>
            <color indexed="81"/>
            <rFont val="Tahoma"/>
            <family val="2"/>
          </rPr>
          <t>Note:</t>
        </r>
        <r>
          <rPr>
            <sz val="14"/>
            <color indexed="81"/>
            <rFont val="Tahoma"/>
            <family val="2"/>
          </rPr>
          <t xml:space="preserve">
The "Reserves &amp; Financing Costs" row accounts for all costs relating to financing, such as lender fees, closing costs, legal fees, interest during construction, due diligence costs, and any other relevant, financing relating costs. The model calculates this field by aggregating G22 through G25, G51, G54, G63, G66, Q57 and Q60.
</t>
        </r>
      </text>
    </comment>
    <comment ref="S623" authorId="0" shapeId="0" xr:uid="{6797522D-B8BE-48D5-8D07-BD5B68DB37E4}">
      <text>
        <r>
          <rPr>
            <b/>
            <sz val="14"/>
            <color indexed="81"/>
            <rFont val="Tahoma"/>
            <family val="2"/>
          </rPr>
          <t xml:space="preserve">NOTE:
</t>
        </r>
        <r>
          <rPr>
            <sz val="14"/>
            <color indexed="81"/>
            <rFont val="Tahoma"/>
            <family val="2"/>
          </rPr>
          <t xml:space="preserve">The maximum potential Investment Tax Credit (ITC) benefit is assumed to be 30% of those project costs which are depreciable on the 5-year MACRS schedule.  This 'eligible costs' assumption is purposefully simplified for this analysis.  Project costs depreciated on other bases may also be eligible for the ITC.  Developers should consult with tax counsel for project-specific depreciation and ITC treatment of each project cost.
</t>
        </r>
        <r>
          <rPr>
            <sz val="8"/>
            <color indexed="81"/>
            <rFont val="Tahoma"/>
            <family val="2"/>
          </rPr>
          <t xml:space="preserve">
</t>
        </r>
      </text>
    </comment>
    <comment ref="I624" authorId="1" shapeId="0" xr:uid="{068ED46C-A8BB-4C3E-91DA-B24BDB641753}">
      <text>
        <r>
          <rPr>
            <b/>
            <sz val="14"/>
            <color indexed="81"/>
            <rFont val="Tahoma"/>
            <family val="2"/>
          </rPr>
          <t>Note:</t>
        </r>
        <r>
          <rPr>
            <sz val="14"/>
            <color indexed="81"/>
            <rFont val="Tahoma"/>
            <family val="2"/>
          </rPr>
          <t xml:space="preserve">
If you wish to enter your project costs under the "Complex" format, select Complex from the drop-down menu and use the link to the left to access additional worksheets which provide the opportunitiy to add significant, additional detail on project costs. Once complete, the model will roll up the detailed costs and populate this row with the resultant final project cost. </t>
        </r>
      </text>
    </comment>
    <comment ref="S624" authorId="0" shapeId="0" xr:uid="{50D72547-5CC6-4A9C-B508-C7F92972C5E1}">
      <text>
        <r>
          <rPr>
            <b/>
            <sz val="14"/>
            <color indexed="81"/>
            <rFont val="Tahoma"/>
            <family val="2"/>
          </rPr>
          <t xml:space="preserve">NOTE:
</t>
        </r>
        <r>
          <rPr>
            <sz val="14"/>
            <color indexed="81"/>
            <rFont val="Tahoma"/>
            <family val="2"/>
          </rPr>
          <t xml:space="preserve">As a tax </t>
        </r>
        <r>
          <rPr>
            <u/>
            <sz val="14"/>
            <color indexed="81"/>
            <rFont val="Tahoma"/>
            <family val="2"/>
          </rPr>
          <t>credit</t>
        </r>
        <r>
          <rPr>
            <sz val="14"/>
            <color indexed="81"/>
            <rFont val="Tahoma"/>
            <family val="2"/>
          </rPr>
          <t>, the ITC is only usable by project owners with positive federal income tax liability.  
In cases where the owner's tax liability in the calendar year of the project's first commercial operation exceeds the ITC amount, the user may enter 100% in this field and assume full utilization of the ITC.
If the owner's tax liability is less than the available ITC, the user may either enter a % value less than 100% or select the "carried forward" method in the "Tax Benefits used as generated or carried forward?" cell.  
Input must be between 0% and 100%.</t>
        </r>
        <r>
          <rPr>
            <sz val="8"/>
            <color indexed="81"/>
            <rFont val="Tahoma"/>
            <family val="2"/>
          </rPr>
          <t xml:space="preserve">
</t>
        </r>
      </text>
    </comment>
    <comment ref="I625" authorId="1" shapeId="0" xr:uid="{FB9D1EFA-04BD-4C70-91A0-A1999AD511CF}">
      <text>
        <r>
          <rPr>
            <b/>
            <sz val="14"/>
            <color indexed="81"/>
            <rFont val="Tahoma"/>
            <family val="2"/>
          </rPr>
          <t>Note:</t>
        </r>
        <r>
          <rPr>
            <sz val="14"/>
            <color indexed="81"/>
            <rFont val="Tahoma"/>
            <family val="2"/>
          </rPr>
          <t xml:space="preserve">
The total system cost is a calculation, based on the level of detail selected and the assocated inputs.
</t>
        </r>
      </text>
    </comment>
    <comment ref="S625" authorId="0" shapeId="0" xr:uid="{5DBC64A8-55A3-417B-AF0B-76C7549BE91F}">
      <text>
        <r>
          <rPr>
            <b/>
            <sz val="14"/>
            <color indexed="81"/>
            <rFont val="Tahoma"/>
            <family val="2"/>
          </rPr>
          <t xml:space="preserve">Note:
</t>
        </r>
        <r>
          <rPr>
            <sz val="14"/>
            <color indexed="81"/>
            <rFont val="Tahoma"/>
            <family val="2"/>
          </rPr>
          <t xml:space="preserve">Calculates the dollar value of the Investment Tax Credit or Cash Grant, if applicable.
</t>
        </r>
      </text>
    </comment>
    <comment ref="I626" authorId="1" shapeId="0" xr:uid="{D6982D59-124D-48DA-B698-A02C354489C8}">
      <text>
        <r>
          <rPr>
            <b/>
            <sz val="14"/>
            <color indexed="81"/>
            <rFont val="Tahoma"/>
            <family val="2"/>
          </rPr>
          <t>Note:</t>
        </r>
        <r>
          <rPr>
            <sz val="14"/>
            <color indexed="81"/>
            <rFont val="Tahoma"/>
            <family val="2"/>
          </rPr>
          <t xml:space="preserve">
Calculation based on the total system cost in the cell above and the system size reported. Typical costs (as of 2010) fall between $2,000/kW and $3,000/kW.</t>
        </r>
        <r>
          <rPr>
            <sz val="8"/>
            <color indexed="81"/>
            <rFont val="Tahoma"/>
            <family val="2"/>
          </rPr>
          <t xml:space="preserve">
</t>
        </r>
      </text>
    </comment>
    <comment ref="S626" authorId="0" shapeId="0" xr:uid="{80A6BD90-EA4A-4E7D-A8B2-8F8CBC2DFB6C}">
      <text>
        <r>
          <rPr>
            <b/>
            <sz val="14"/>
            <color indexed="81"/>
            <rFont val="Tahoma"/>
            <family val="2"/>
          </rPr>
          <t xml:space="preserve">Note: </t>
        </r>
        <r>
          <rPr>
            <sz val="14"/>
            <color indexed="81"/>
            <rFont val="Tahoma"/>
            <family val="2"/>
          </rPr>
          <t xml:space="preserve">
This input cell, the "Performance Based Incentive" or "PBI" is another potential incentive available to some specific projects. The PBI would be separate from a feed-in-tariff, but acts similarly in that it is per unit of production (typically kWh) income to a project.
Some examples of PBIs include the Federal Production Tax Credit (applicable to private projects with tax appetites) and the Federal Renewable Energy Production Incentive (REPI), historically available to some public projects.
</t>
        </r>
      </text>
    </comment>
    <comment ref="I627" authorId="1" shapeId="0" xr:uid="{23D9249E-2C86-476C-AA34-EE705CB1F15A}">
      <text>
        <r>
          <rPr>
            <b/>
            <sz val="14"/>
            <color indexed="81"/>
            <rFont val="Tahoma"/>
            <family val="2"/>
          </rPr>
          <t xml:space="preserve">Note:
</t>
        </r>
        <r>
          <rPr>
            <sz val="14"/>
            <color indexed="81"/>
            <rFont val="Tahoma"/>
            <family val="2"/>
          </rPr>
          <t xml:space="preserve">This cell calculates the total of all applicable grants, excluding the payment in lieu of the Federal ITC (also known as the ITC Cash Grant, or Cash Grant), if applicable.  The ITC Cash Grant is considered separately because unlike grants issued upfront and used to offset capital costs, the ITC Cash Grant is disbursed approxiamtely 60 days after the start of commercial operations and therefore becomes an integral part of the project's financing.
Where grants are treated as taxable income, this cell calculates the after-tax impact on the total cost of the project.
  </t>
        </r>
        <r>
          <rPr>
            <sz val="8"/>
            <color indexed="81"/>
            <rFont val="Tahoma"/>
            <family val="2"/>
          </rPr>
          <t xml:space="preserve">
</t>
        </r>
      </text>
    </comment>
    <comment ref="S627" authorId="0" shapeId="0" xr:uid="{14408F67-A9FB-4ECD-8DD0-A0FA3E537EA0}">
      <text>
        <r>
          <rPr>
            <b/>
            <sz val="14"/>
            <color indexed="81"/>
            <rFont val="Tahoma"/>
            <family val="2"/>
          </rPr>
          <t xml:space="preserve">Note: </t>
        </r>
        <r>
          <rPr>
            <sz val="14"/>
            <color indexed="81"/>
            <rFont val="Tahoma"/>
            <family val="2"/>
          </rPr>
          <t xml:space="preserve">
This cell denotes the value of the Performance Based Incentive applicable to the project's first year of commercial operation. In some cases, this value will need to be calculated external to the model if such PBI is derived from a "base year" and specified inflation index. The following cells can be used to account for inflation and the maximum term of eligibility.
Input cannot be less than zero.
</t>
        </r>
      </text>
    </comment>
    <comment ref="I628" authorId="1" shapeId="0" xr:uid="{C6A56DCA-F04F-470E-AFD2-8996E4FB778D}">
      <text>
        <r>
          <rPr>
            <b/>
            <sz val="14"/>
            <color indexed="81"/>
            <rFont val="Tahoma"/>
            <family val="2"/>
          </rPr>
          <t>Note:</t>
        </r>
        <r>
          <rPr>
            <sz val="14"/>
            <color indexed="81"/>
            <rFont val="Tahoma"/>
            <family val="2"/>
          </rPr>
          <t xml:space="preserve">
Calculation of total project cost net applicable grants. 
</t>
        </r>
      </text>
    </comment>
    <comment ref="S628" authorId="0" shapeId="0" xr:uid="{42284B48-A750-44FD-ADBE-04D62D208C4C}">
      <text>
        <r>
          <rPr>
            <b/>
            <sz val="14"/>
            <color indexed="81"/>
            <rFont val="Tahoma"/>
            <family val="2"/>
          </rPr>
          <t>Note:</t>
        </r>
        <r>
          <rPr>
            <sz val="14"/>
            <color indexed="81"/>
            <rFont val="Tahoma"/>
            <family val="2"/>
          </rPr>
          <t xml:space="preserve">
This is the length of time that a project would be eligible for any Performance Based Incentives outlined in the cell immediately above. For example, the Federal Renewable Energy Production Incentive and Production Tax Credit incentives are available for the first 10 years of project operation.
Input cannot be less than zero.
</t>
        </r>
      </text>
    </comment>
    <comment ref="I629" authorId="1" shapeId="0" xr:uid="{81635634-A5D5-4C1B-9EA1-716AF16E34EB}">
      <text>
        <r>
          <rPr>
            <b/>
            <sz val="14"/>
            <color indexed="81"/>
            <rFont val="Tahoma"/>
            <family val="2"/>
          </rPr>
          <t xml:space="preserve">Note:
</t>
        </r>
        <r>
          <rPr>
            <sz val="14"/>
            <color indexed="81"/>
            <rFont val="Tahoma"/>
            <family val="2"/>
          </rPr>
          <t xml:space="preserve">Calculation, based on net project cost and total installed capacity. 
</t>
        </r>
      </text>
    </comment>
    <comment ref="S629" authorId="0" shapeId="0" xr:uid="{B875BE00-9D7A-454C-8634-220E64938CD6}">
      <text>
        <r>
          <rPr>
            <b/>
            <sz val="14"/>
            <color indexed="81"/>
            <rFont val="Tahoma"/>
            <family val="2"/>
          </rPr>
          <t xml:space="preserve">Note:
</t>
        </r>
        <r>
          <rPr>
            <sz val="14"/>
            <color indexed="81"/>
            <rFont val="Tahoma"/>
            <family val="2"/>
          </rPr>
          <t xml:space="preserve">Performance Based Incentives are often adjusted to account for inflation. For example, the Federal Production Tax Credit (PTC) is adjusted each year to account for changes in the GDP IPD index. This cell can be used as a proxy for the inflation that would apply to any PBI incentive entered above.
This input cannot be left blank.
</t>
        </r>
        <r>
          <rPr>
            <sz val="8"/>
            <color indexed="81"/>
            <rFont val="Tahoma"/>
            <family val="2"/>
          </rPr>
          <t xml:space="preserve">
</t>
        </r>
      </text>
    </comment>
    <comment ref="S630" authorId="0" shapeId="0" xr:uid="{84AB4943-A816-4909-BEB0-1D7EFA14C8F7}">
      <text>
        <r>
          <rPr>
            <b/>
            <sz val="14"/>
            <color indexed="81"/>
            <rFont val="Tahoma"/>
            <family val="2"/>
          </rPr>
          <t xml:space="preserve">Note:
</t>
        </r>
        <r>
          <rPr>
            <sz val="14"/>
            <color indexed="81"/>
            <rFont val="Tahoma"/>
            <family val="2"/>
          </rPr>
          <t>In some cases, due to the nature of the requirements of some Performance Based Incentive programs, project owners are unable to maximize the full revenue stream of the incentive. For example, in the case of the Federal Production Tax Credit (PTC), the project owner may not have sufficienct tax appetite to fully utilize the tax credits. 
This input cell would allow the modeler to account for the owner's inability to fully utilize the PTC and/or the reduction of the PTC (a "haircut") due to the presence of subsidized (below market interest rate) financing.
Incentive "availability" will likely be a factor if this cell is being used to model the cash-based Renewable Energy Production Incentive (REPI).  The REPI program has historically been underfunded; available monies are allocated pro rata among eligible projects.  In this case, the value entered in this cell should reflect the user's expectation of the fraction of the face value REPI payment that will be available over the applicable incentive term.
Input must be between 0% to 100%.</t>
        </r>
      </text>
    </comment>
    <comment ref="F631" authorId="0" shapeId="0" xr:uid="{B6002D66-2458-4C1D-8937-2565F78095D9}">
      <text>
        <r>
          <rPr>
            <b/>
            <sz val="8"/>
            <color indexed="81"/>
            <rFont val="Tahoma"/>
            <family val="2"/>
          </rPr>
          <t>See "unit" definitions at the bottom of this worksheet.</t>
        </r>
        <r>
          <rPr>
            <sz val="8"/>
            <color indexed="81"/>
            <rFont val="Tahoma"/>
            <family val="2"/>
          </rPr>
          <t xml:space="preserve">
</t>
        </r>
      </text>
    </comment>
    <comment ref="S631" authorId="0" shapeId="0" xr:uid="{A64D49D3-77F5-4CD8-BAE4-F798D017392C}">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I632" authorId="0" shapeId="0" xr:uid="{029C3B21-06BC-43AF-8942-8FCF6FAD56E6}">
      <text>
        <r>
          <rPr>
            <b/>
            <sz val="14"/>
            <color indexed="81"/>
            <rFont val="Tahoma"/>
            <family val="2"/>
          </rPr>
          <t>Note:</t>
        </r>
        <r>
          <rPr>
            <sz val="14"/>
            <color indexed="81"/>
            <rFont val="Tahoma"/>
            <family val="2"/>
          </rPr>
          <t xml:space="preserve">
Select either "Simple" or "Intermediate" O&amp;M expense detail using the drop-down menu to the right.
</t>
        </r>
        <r>
          <rPr>
            <sz val="8"/>
            <color indexed="81"/>
            <rFont val="Tahoma"/>
            <family val="2"/>
          </rPr>
          <t xml:space="preserve">
</t>
        </r>
      </text>
    </comment>
    <comment ref="I633" authorId="1" shapeId="0" xr:uid="{2C2DF17F-812F-4F13-B35B-3B03A3B81B63}">
      <text>
        <r>
          <rPr>
            <b/>
            <sz val="14"/>
            <color indexed="81"/>
            <rFont val="Tahoma"/>
            <family val="2"/>
          </rPr>
          <t>Note:</t>
        </r>
        <r>
          <rPr>
            <sz val="14"/>
            <color indexed="81"/>
            <rFont val="Tahoma"/>
            <family val="2"/>
          </rPr>
          <t xml:space="preserve">
If "Simple" is selected in the cell above, then this input should reflect the </t>
        </r>
        <r>
          <rPr>
            <b/>
            <u/>
            <sz val="14"/>
            <color indexed="81"/>
            <rFont val="Tahoma"/>
            <family val="2"/>
          </rPr>
          <t>total</t>
        </r>
        <r>
          <rPr>
            <sz val="14"/>
            <color indexed="81"/>
            <rFont val="Tahoma"/>
            <family val="2"/>
          </rPr>
          <t xml:space="preserve"> expected </t>
        </r>
        <r>
          <rPr>
            <b/>
            <u/>
            <sz val="14"/>
            <color indexed="81"/>
            <rFont val="Tahoma"/>
            <family val="2"/>
          </rPr>
          <t>fixed</t>
        </r>
        <r>
          <rPr>
            <sz val="14"/>
            <color indexed="81"/>
            <rFont val="Tahoma"/>
            <family val="2"/>
          </rPr>
          <t xml:space="preserve"> cost of project operations and maintenance, in $/kW-yr.  This </t>
        </r>
        <r>
          <rPr>
            <u/>
            <sz val="14"/>
            <color indexed="81"/>
            <rFont val="Tahoma"/>
            <family val="2"/>
          </rPr>
          <t>includes</t>
        </r>
        <r>
          <rPr>
            <sz val="14"/>
            <color indexed="81"/>
            <rFont val="Tahoma"/>
            <family val="2"/>
          </rPr>
          <t xml:space="preserve"> the insurance, project management, property tax (or payment in lieu thereof), land lease, and royalty expenses which would have been broken out separately in the "Intermediate" case.  Other labor and spare parts should also be included in this estimate.
If the user has obtained O&amp;M expense estimates from a third-party, it is critical to understand which costs have been included.  If the user is not certain that all of the above-listed expenses are included in the fixed cost estimate, then the "Intermediate" approach should be used and these expenses should be entered separately.
If "Intermediate" is selected, then this input should reflect  the expected annual fixed O&amp;M cost before taking into account the additional listed expenses, which are entered below. 
In all cases, fixed O&amp;M would include - among others - the ongoing cost of obtaining daily, weekly or monthly production estimates based on weather and other factors.
Input value must be greater than zero. 
</t>
        </r>
      </text>
    </comment>
    <comment ref="S633" authorId="1" shapeId="0" xr:uid="{9CA3CD37-7BF9-4A1B-AF5F-B463E1B751D0}">
      <text>
        <r>
          <rPr>
            <b/>
            <sz val="14"/>
            <color indexed="81"/>
            <rFont val="Tahoma"/>
            <family val="2"/>
          </rPr>
          <t xml:space="preserve">Note:
</t>
        </r>
        <r>
          <rPr>
            <sz val="14"/>
            <color indexed="81"/>
            <rFont val="Tahoma"/>
            <family val="2"/>
          </rPr>
          <t xml:space="preserve">Some renewable energy projects may be eligible for other federal grants as well, such as funding from the U.S. Department of Agriculture. This input cell can be used to capture those funding opportunities, some of which are outlined online at:
http://dsireusa.org/incentives/index.cfm?state=us&amp;re=1&amp;EE=1
*See bottom of introduction page for a list of links
Input cannot be less than zero.
</t>
        </r>
      </text>
    </comment>
    <comment ref="I634" authorId="1" shapeId="0" xr:uid="{B38A9610-D62D-4046-90B7-3234EBC07F8E}">
      <text>
        <r>
          <rPr>
            <b/>
            <sz val="14"/>
            <color indexed="81"/>
            <rFont val="Tahoma"/>
            <family val="2"/>
          </rPr>
          <t>Note:</t>
        </r>
        <r>
          <rPr>
            <sz val="14"/>
            <color indexed="81"/>
            <rFont val="Tahoma"/>
            <family val="2"/>
          </rPr>
          <t xml:space="preserve">
This cell provides the user with the option of accounting for O&amp;M expenses (such as labor and spare parts) which are more easily estimated and modeled on a variable, cents per kWh basis.  
If "Simple" is selected above, then this cell should also take into account variable costs, such as royalties, </t>
        </r>
        <r>
          <rPr>
            <b/>
            <u/>
            <sz val="14"/>
            <color indexed="81"/>
            <rFont val="Tahoma"/>
            <family val="2"/>
          </rPr>
          <t>if</t>
        </r>
        <r>
          <rPr>
            <sz val="14"/>
            <color indexed="81"/>
            <rFont val="Tahoma"/>
            <family val="2"/>
          </rPr>
          <t xml:space="preserve"> such annual expenses are not already accounted for in the fixed cost input above.
Input cannot be less than zero.
</t>
        </r>
      </text>
    </comment>
    <comment ref="S634" authorId="0" shapeId="0" xr:uid="{B7AAA55B-DEED-4007-8023-F2A34CC38826}">
      <text>
        <r>
          <rPr>
            <b/>
            <sz val="14"/>
            <color indexed="81"/>
            <rFont val="Tahoma"/>
            <family val="2"/>
          </rPr>
          <t xml:space="preserve">Note:
</t>
        </r>
        <r>
          <rPr>
            <sz val="14"/>
            <color indexed="81"/>
            <rFont val="Tahoma"/>
            <family val="2"/>
          </rPr>
          <t xml:space="preserve">Select here whether federal grants (other than the section 1603 payment in lieu of the ITC/PTC) are treated as taxable income. If no, depreciation basis is reduced. 
</t>
        </r>
      </text>
    </comment>
    <comment ref="I635" authorId="0" shapeId="0" xr:uid="{9536E718-B2AF-408D-92ED-FCFB46D054DA}">
      <text>
        <r>
          <rPr>
            <b/>
            <sz val="14"/>
            <color indexed="81"/>
            <rFont val="Tahoma"/>
            <family val="2"/>
          </rPr>
          <t>Note:</t>
        </r>
        <r>
          <rPr>
            <sz val="14"/>
            <color indexed="81"/>
            <rFont val="Tahoma"/>
            <family val="2"/>
          </rPr>
          <t xml:space="preserve">
This inflation rate applies to both fixed and variable O&amp;M expense, insurance, and project management costs entered above, if applicable. 
The model allows the user to specify an inflation assumption for an "initial period" and a second inflation assumption "thereafter." These inputs can be used to account for inflation which might be fixed during an initial O&amp;M service contract, but are unknown thereafter.  The final year of the "initial period" is  user-defined (e.g. final year of an O&amp;M service contract). 
The purpose of this feature is also to recognize that inflationary trends may change over time, or that some projects may not expect inflation of O&amp;M expenses for the first several years, but may expect inflation thereafter.
This inflation rate does not apply to PILOT or Royalty costs. Input cannot be less than zero.
</t>
        </r>
      </text>
    </comment>
    <comment ref="I636" authorId="0" shapeId="0" xr:uid="{2EDD5705-CC27-4618-9675-B8605E637140}">
      <text>
        <r>
          <rPr>
            <b/>
            <sz val="14"/>
            <color indexed="81"/>
            <rFont val="Tahoma"/>
            <family val="2"/>
          </rPr>
          <t xml:space="preserve">Note:
</t>
        </r>
        <r>
          <rPr>
            <sz val="14"/>
            <color indexed="81"/>
            <rFont val="Tahoma"/>
            <family val="2"/>
          </rPr>
          <t xml:space="preserve">This feature allows the user to assume that the rate at which expenses change over time is not constant. This cell provides the year in which the first inflation period ends.
Input cannot be less than zero.
</t>
        </r>
      </text>
    </comment>
    <comment ref="P636" authorId="0" shapeId="0" xr:uid="{1BB290B5-0763-4D0A-B88C-53B0C5236566}">
      <text>
        <r>
          <rPr>
            <b/>
            <sz val="8"/>
            <color indexed="81"/>
            <rFont val="Tahoma"/>
            <family val="2"/>
          </rPr>
          <t>See "unit" definitions at the bottom of this worksheet.</t>
        </r>
        <r>
          <rPr>
            <sz val="8"/>
            <color indexed="81"/>
            <rFont val="Tahoma"/>
            <family val="2"/>
          </rPr>
          <t xml:space="preserve">
</t>
        </r>
      </text>
    </comment>
    <comment ref="I637" authorId="0" shapeId="0" xr:uid="{BF64F003-7BC1-4547-B713-977FFABED6B0}">
      <text>
        <r>
          <rPr>
            <b/>
            <sz val="14"/>
            <color indexed="81"/>
            <rFont val="Tahoma"/>
            <family val="2"/>
          </rPr>
          <t xml:space="preserve">Note:
</t>
        </r>
        <r>
          <rPr>
            <sz val="14"/>
            <color indexed="81"/>
            <rFont val="Tahoma"/>
            <family val="2"/>
          </rPr>
          <t xml:space="preserve">This cell provides the inflation rate for the remainder of the project's useful life.
Input must be greater than zero.
</t>
        </r>
      </text>
    </comment>
    <comment ref="S637" authorId="1" shapeId="0" xr:uid="{0FFF8852-C4B6-434F-8457-E7B35967D70D}">
      <text>
        <r>
          <rPr>
            <b/>
            <sz val="14"/>
            <color indexed="81"/>
            <rFont val="Tahoma"/>
            <family val="2"/>
          </rPr>
          <t xml:space="preserve">Note:
</t>
        </r>
        <r>
          <rPr>
            <sz val="14"/>
            <color indexed="81"/>
            <rFont val="Tahoma"/>
            <family val="2"/>
          </rPr>
          <t>This drop-down input cell allows the user to specify whether state incentives are cost-based (e.g. an investment tax credit) or performance-based (e.g. a PTC or cash payment). If no state incentive is available or useable by the modeled project, the user will select "Neither." The magnitude and terms of these incentives are set in the cells below.
For more information, a useful resource for researching federal and state incentives online is:  
http://dsireusa.org/
*See bottom of introduction page for a list of links</t>
        </r>
      </text>
    </comment>
    <comment ref="I638" authorId="1" shapeId="0" xr:uid="{3F3C5A23-4988-44DF-94D5-61DB65FBBDFB}">
      <text>
        <r>
          <rPr>
            <b/>
            <sz val="14"/>
            <color indexed="81"/>
            <rFont val="Tahoma"/>
            <family val="2"/>
          </rPr>
          <t xml:space="preserve">Note:
</t>
        </r>
        <r>
          <rPr>
            <sz val="14"/>
            <color indexed="81"/>
            <rFont val="Tahoma"/>
            <family val="2"/>
          </rPr>
          <t xml:space="preserve">Project owners, or hosts, are required to carry insurance. This input accounts for the estimated cost of insuring the modeled power generating facility.
Input cannot be less than zero.
</t>
        </r>
      </text>
    </comment>
    <comment ref="S638" authorId="0" shapeId="0" xr:uid="{C8309C01-3379-4FB9-B1C4-E03C35132210}">
      <text>
        <r>
          <rPr>
            <b/>
            <sz val="14"/>
            <color indexed="81"/>
            <rFont val="Tahoma"/>
            <family val="2"/>
          </rPr>
          <t xml:space="preserve">NOTE:
</t>
        </r>
        <r>
          <rPr>
            <sz val="14"/>
            <color indexed="81"/>
            <rFont val="Tahoma"/>
            <family val="2"/>
          </rPr>
          <t xml:space="preserve">The maximum potential Investment Tax Credit (ITC) benefit is assumed to be 30% of those project costs which are depreciable on the 5-year MACRS schedule.
</t>
        </r>
      </text>
    </comment>
    <comment ref="I639" authorId="0" shapeId="0" xr:uid="{3B390E0B-4F0D-4B41-803A-0A27ED996540}">
      <text>
        <r>
          <rPr>
            <b/>
            <sz val="14"/>
            <color indexed="81"/>
            <rFont val="Tahoma"/>
            <family val="2"/>
          </rPr>
          <t xml:space="preserve">Note:
</t>
        </r>
        <r>
          <rPr>
            <sz val="14"/>
            <color indexed="81"/>
            <rFont val="Tahoma"/>
            <family val="2"/>
          </rPr>
          <t xml:space="preserve">This cell calculates the resulting dollar value cost of insurance based on the input above and the project installed cost (net of financing costs).  It is provided simply as a reference for the user.
</t>
        </r>
        <r>
          <rPr>
            <sz val="8"/>
            <color indexed="81"/>
            <rFont val="Tahoma"/>
            <family val="2"/>
          </rPr>
          <t xml:space="preserve">
</t>
        </r>
      </text>
    </comment>
    <comment ref="S639" authorId="0" shapeId="0" xr:uid="{E9B1A1E1-1EF7-4C6C-A4D7-B3DE0EA202BE}">
      <text>
        <r>
          <rPr>
            <b/>
            <sz val="14"/>
            <color indexed="81"/>
            <rFont val="Tahoma"/>
            <family val="2"/>
          </rPr>
          <t xml:space="preserve">NOTE:
</t>
        </r>
        <r>
          <rPr>
            <sz val="14"/>
            <color indexed="81"/>
            <rFont val="Tahoma"/>
            <family val="2"/>
          </rPr>
          <t xml:space="preserve">As a tax </t>
        </r>
        <r>
          <rPr>
            <u/>
            <sz val="14"/>
            <color indexed="81"/>
            <rFont val="Tahoma"/>
            <family val="2"/>
          </rPr>
          <t>credit</t>
        </r>
        <r>
          <rPr>
            <sz val="14"/>
            <color indexed="81"/>
            <rFont val="Tahoma"/>
            <family val="2"/>
          </rPr>
          <t>, the ITC is only usable by project owners with positive federal income tax liability.  
In cases where the owner's tax liability in the calendar year of the project's first commercial operation exceeds the ITC amount, the user may enter 100% in this field and assume full utilization of the ITC.
If the owner's tax liability is less than the available ITC, a % less than 100% must be entered in order to represent a less efficient utilization of this federal tax incentive.
Input must be betwee 0% and 100%.</t>
        </r>
      </text>
    </comment>
    <comment ref="I640" authorId="1" shapeId="0" xr:uid="{87DE400A-C18E-458D-8DA0-C727252EE34A}">
      <text>
        <r>
          <rPr>
            <b/>
            <sz val="14"/>
            <color indexed="81"/>
            <rFont val="Tahoma"/>
            <family val="2"/>
          </rPr>
          <t>Note:</t>
        </r>
        <r>
          <rPr>
            <sz val="14"/>
            <color indexed="81"/>
            <rFont val="Tahoma"/>
            <family val="2"/>
          </rPr>
          <t xml:space="preserve">
"Project Management" accounts for the cost of staff time related to managing the project's Power Purchase Agreements, grid integration, and periodic reporting to the system operator and policymakers.  
Input cannot be less than zero.
</t>
        </r>
      </text>
    </comment>
    <comment ref="S640" authorId="0" shapeId="0" xr:uid="{304964BB-B439-4B3E-8DB9-3C2743914EB1}">
      <text>
        <r>
          <rPr>
            <b/>
            <sz val="14"/>
            <color indexed="81"/>
            <rFont val="Tahoma"/>
            <family val="2"/>
          </rPr>
          <t xml:space="preserve">Note:
</t>
        </r>
        <r>
          <rPr>
            <sz val="14"/>
            <color indexed="81"/>
            <rFont val="Tahoma"/>
            <family val="2"/>
          </rPr>
          <t>Specifies whether the available ITC is realized in a single year or over multiple years. This input will be specified by state-specific law or regulation.
A good resource on available state incentives is:  
http://dsireusa.org/
*See bottom of introduction page for a list of links
Input must be greater than 1 and less than the Project Useful Life.</t>
        </r>
      </text>
    </comment>
    <comment ref="I641" authorId="1" shapeId="0" xr:uid="{CCBA0013-721C-4CA6-BB2A-88EE4AE36078}">
      <text>
        <r>
          <rPr>
            <b/>
            <sz val="14"/>
            <color indexed="81"/>
            <rFont val="Tahoma"/>
            <family val="2"/>
          </rPr>
          <t xml:space="preserve">Note:
</t>
        </r>
        <r>
          <rPr>
            <sz val="14"/>
            <color indexed="81"/>
            <rFont val="Tahoma"/>
            <family val="2"/>
          </rPr>
          <t xml:space="preserve">"Property Tax or PILOT" accounts for costs associated with any local taxes incurred by the project. Many states offer tax exemptions for renewable energy systems; to check your local applicability, please visit: http://dsireusa.org/ 
This line can also be used to account for any PILOTs or Payment in Leiu of Taxes. Developers often negotiate a PILOT with the local community to secure a fixed, predictable payment that serves both parties appropriately. This model allows the user to input a year-one Property Tax or PILOT value along with an annual property tax adjsutment factor (see next cell down). As a result, taxes can be modeled as flat, increasing, or decreasing annually depending on the value entered in the adjustment factor cell below.
Input cannot be less than zero.
</t>
        </r>
      </text>
    </comment>
    <comment ref="S641" authorId="0" shapeId="0" xr:uid="{0C1EB0F1-EA2C-4D39-AFF3-B1C6E68E54D6}">
      <text>
        <r>
          <rPr>
            <b/>
            <sz val="14"/>
            <color indexed="81"/>
            <rFont val="Tahoma"/>
            <family val="2"/>
          </rPr>
          <t xml:space="preserve">Note:
</t>
        </r>
        <r>
          <rPr>
            <sz val="14"/>
            <color indexed="81"/>
            <rFont val="Tahoma"/>
            <family val="2"/>
          </rPr>
          <t xml:space="preserve">Calculates the dollar value of the State Investment Tax Credit, if applicable.
</t>
        </r>
      </text>
    </comment>
    <comment ref="I642" authorId="1" shapeId="0" xr:uid="{64E6B167-6A5F-4549-9394-1DE523ADBC96}">
      <text>
        <r>
          <rPr>
            <b/>
            <sz val="14"/>
            <color indexed="81"/>
            <rFont val="Tahoma"/>
            <family val="2"/>
          </rPr>
          <t xml:space="preserve">Note:
</t>
        </r>
        <r>
          <rPr>
            <sz val="14"/>
            <color indexed="81"/>
            <rFont val="Tahoma"/>
            <family val="2"/>
          </rPr>
          <t xml:space="preserve">The Annual Property Tax Adjustment Factor allows the user to specify whether the Year One tax (or PILOT) value will remain fixed and flat, will decrease (a negative percentage value entered in this cell) or increase (a positive percentage value entered in this cell) over time.  </t>
        </r>
        <r>
          <rPr>
            <sz val="8"/>
            <color indexed="81"/>
            <rFont val="Tahoma"/>
            <family val="2"/>
          </rPr>
          <t xml:space="preserve">
</t>
        </r>
      </text>
    </comment>
    <comment ref="S642" authorId="0" shapeId="0" xr:uid="{5A6E60CD-7033-4B3D-8455-F7E09EB8DD1B}">
      <text>
        <r>
          <rPr>
            <b/>
            <sz val="14"/>
            <color indexed="81"/>
            <rFont val="Tahoma"/>
            <family val="2"/>
          </rPr>
          <t xml:space="preserve">Note: </t>
        </r>
        <r>
          <rPr>
            <sz val="14"/>
            <color indexed="81"/>
            <rFont val="Tahoma"/>
            <family val="2"/>
          </rPr>
          <t xml:space="preserve">
This input cell, the "Performance Based Incentive" or "PBI" is another potential incentive available to some specific projects. The PBI would be separate from a feed-in-tariff, but acts similarly in that it is per unit of production (typically kWh) income to a project.
Some examples of PBIs include the Federal Production Tax Credit (applicable to private projects with tax appetites) and the Federal Renewable Energy Production Incentive (REPI), historically available to some public projects.
</t>
        </r>
      </text>
    </comment>
    <comment ref="I643" authorId="1" shapeId="0" xr:uid="{CA95D317-70CB-4D43-BC6D-A184C9E24D21}">
      <text>
        <r>
          <rPr>
            <b/>
            <sz val="14"/>
            <color indexed="81"/>
            <rFont val="Tahoma"/>
            <family val="2"/>
          </rPr>
          <t xml:space="preserve">Note:
</t>
        </r>
        <r>
          <rPr>
            <sz val="14"/>
            <color indexed="81"/>
            <rFont val="Tahoma"/>
            <family val="2"/>
          </rPr>
          <t xml:space="preserve">The Land Lease input represents </t>
        </r>
        <r>
          <rPr>
            <b/>
            <u/>
            <sz val="14"/>
            <color indexed="81"/>
            <rFont val="Tahoma"/>
            <family val="2"/>
          </rPr>
          <t>fixed payments</t>
        </r>
        <r>
          <rPr>
            <sz val="14"/>
            <color indexed="81"/>
            <rFont val="Tahoma"/>
            <family val="2"/>
          </rPr>
          <t xml:space="preserve"> to the site host (and possibly other affected parties) for the use of the land on which the project is located.  
Variable royalty payments may be applied in addition to, or in lieu of, the land lease payment through the "Royalties" input below, if applicable.  
Input cannot be less than zero.
</t>
        </r>
      </text>
    </comment>
    <comment ref="S643" authorId="0" shapeId="0" xr:uid="{540C9CC5-7FD7-4731-BBC6-CA3EC3528380}">
      <text>
        <r>
          <rPr>
            <b/>
            <sz val="14"/>
            <color indexed="81"/>
            <rFont val="Tahoma"/>
            <family val="2"/>
          </rPr>
          <t xml:space="preserve">Note:
</t>
        </r>
        <r>
          <rPr>
            <sz val="14"/>
            <color indexed="81"/>
            <rFont val="Tahoma"/>
            <family val="2"/>
          </rPr>
          <t xml:space="preserve">Impacts tax treatment of PBI if owner is a taxable entity.
</t>
        </r>
      </text>
    </comment>
    <comment ref="I644" authorId="1" shapeId="0" xr:uid="{72291BE4-D6FD-4122-BC45-4080D4AD1668}">
      <text>
        <r>
          <rPr>
            <b/>
            <sz val="14"/>
            <color indexed="81"/>
            <rFont val="Tahoma"/>
            <family val="2"/>
          </rPr>
          <t xml:space="preserve">Note:
</t>
        </r>
        <r>
          <rPr>
            <sz val="14"/>
            <color indexed="81"/>
            <rFont val="Tahoma"/>
            <family val="2"/>
          </rPr>
          <t xml:space="preserve">The royalties input accounts for </t>
        </r>
        <r>
          <rPr>
            <b/>
            <u/>
            <sz val="14"/>
            <color indexed="81"/>
            <rFont val="Tahoma"/>
            <family val="2"/>
          </rPr>
          <t>variable</t>
        </r>
        <r>
          <rPr>
            <sz val="14"/>
            <color indexed="81"/>
            <rFont val="Tahoma"/>
            <family val="2"/>
          </rPr>
          <t xml:space="preserve"> payments to site hosts, neighbors, partners, or other parties which may have a stake in the project and which are NOT covered by the fixed "Land Lease" payment. 
Fixed payments may be applied in addition to, or in lieu of, the royalty payment through the "Land Lease" input above, if applicable.  
</t>
        </r>
        <r>
          <rPr>
            <b/>
            <sz val="14"/>
            <color indexed="81"/>
            <rFont val="Tahoma"/>
            <family val="2"/>
          </rPr>
          <t>Inflation is NOT applied to this input</t>
        </r>
        <r>
          <rPr>
            <sz val="14"/>
            <color indexed="81"/>
            <rFont val="Tahoma"/>
            <family val="2"/>
          </rPr>
          <t xml:space="preserve">. However, if tariff escalation is selected, then the assumed royalty payment will increase over time since it is calculated as a function of revenue over time.
If the modeled project's royalty payments are not the same over time, then an average annual royalty payment should be calculated externally and entered in this cell. 
This input cannot be less than zero.
</t>
        </r>
        <r>
          <rPr>
            <sz val="8"/>
            <color indexed="81"/>
            <rFont val="Tahoma"/>
            <family val="2"/>
          </rPr>
          <t xml:space="preserve">
</t>
        </r>
      </text>
    </comment>
    <comment ref="S644" authorId="0" shapeId="0" xr:uid="{D0369651-734A-48B8-892E-6F719106FA79}">
      <text>
        <r>
          <rPr>
            <b/>
            <sz val="14"/>
            <color indexed="81"/>
            <rFont val="Tahoma"/>
            <family val="2"/>
          </rPr>
          <t xml:space="preserve">Note: </t>
        </r>
        <r>
          <rPr>
            <sz val="14"/>
            <color indexed="81"/>
            <rFont val="Tahoma"/>
            <family val="2"/>
          </rPr>
          <t xml:space="preserve">
This cell denotes the value of the Performance Based Incentive applicable to the project's first year of commercial operation. In some cases, this value will need to be calculated external to the model if such PBI is derived from a "base year" and specified inflation index. The following cells can be used to account for inflation and the maximum term of eligibility.
Input cannot be less than zero.
</t>
        </r>
      </text>
    </comment>
    <comment ref="I645" authorId="0" shapeId="0" xr:uid="{8BA56FC6-A28D-47EF-9A13-B75C379BF5A6}">
      <text>
        <r>
          <rPr>
            <b/>
            <sz val="14"/>
            <color indexed="81"/>
            <rFont val="Tahoma"/>
            <family val="2"/>
          </rPr>
          <t xml:space="preserve">Note:
</t>
        </r>
        <r>
          <rPr>
            <sz val="14"/>
            <color indexed="81"/>
            <rFont val="Tahoma"/>
            <family val="2"/>
          </rPr>
          <t xml:space="preserve">This cell calculates the resulting dollar value cost of royalties paid to landowners or other stakeholders based on the input above and project revenue.  It is provided simply as a reference for the user.
</t>
        </r>
        <r>
          <rPr>
            <sz val="8"/>
            <color indexed="81"/>
            <rFont val="Tahoma"/>
            <family val="2"/>
          </rPr>
          <t xml:space="preserve">
</t>
        </r>
      </text>
    </comment>
    <comment ref="S645" authorId="0" shapeId="0" xr:uid="{2EF04089-FB35-46AC-A6F3-9860E927696F}">
      <text>
        <r>
          <rPr>
            <b/>
            <sz val="14"/>
            <color indexed="81"/>
            <rFont val="Tahoma"/>
            <family val="2"/>
          </rPr>
          <t>Note:</t>
        </r>
        <r>
          <rPr>
            <sz val="14"/>
            <color indexed="81"/>
            <rFont val="Tahoma"/>
            <family val="2"/>
          </rPr>
          <t xml:space="preserve">
This is the length of time that a project would be eligible for any Performance Based Incentives outlined in the cell immediately above. For example, the Federal Renewable Energy Production Incentive and Production Tax Credit incentives are available for the first 10 years of project operation.
Input cannot be less than zero.
</t>
        </r>
      </text>
    </comment>
    <comment ref="S646" authorId="0" shapeId="0" xr:uid="{373D0264-34DD-45A0-A5A3-CE69F2B2FF37}">
      <text>
        <r>
          <rPr>
            <b/>
            <sz val="14"/>
            <color indexed="81"/>
            <rFont val="Tahoma"/>
            <family val="2"/>
          </rPr>
          <t xml:space="preserve">Note:
</t>
        </r>
        <r>
          <rPr>
            <sz val="14"/>
            <color indexed="81"/>
            <rFont val="Tahoma"/>
            <family val="2"/>
          </rPr>
          <t xml:space="preserve">Performance Based Incentives are often adjusted to account for inflation. For example, the Federal Production Tax Credit (PTC) is adjusted each year to account for changes in the GDP IPD index. This cell can be used as a proxy for the inflation that would apply to any PBI incentive entered above.
This input cannot be left blank.
</t>
        </r>
      </text>
    </comment>
    <comment ref="F647" authorId="0" shapeId="0" xr:uid="{80C52BC0-C8AB-4525-ACA2-07E57B069A0C}">
      <text>
        <r>
          <rPr>
            <b/>
            <sz val="8"/>
            <color indexed="81"/>
            <rFont val="Tahoma"/>
            <family val="2"/>
          </rPr>
          <t>See "unit" definitions at the bottom of this worksheet.</t>
        </r>
        <r>
          <rPr>
            <sz val="8"/>
            <color indexed="81"/>
            <rFont val="Tahoma"/>
            <family val="2"/>
          </rPr>
          <t xml:space="preserve">
</t>
        </r>
      </text>
    </comment>
    <comment ref="S647" authorId="0" shapeId="0" xr:uid="{BBB59D61-FB28-4DB4-AA89-87C61179D3A1}">
      <text>
        <r>
          <rPr>
            <b/>
            <sz val="14"/>
            <color indexed="81"/>
            <rFont val="Tahoma"/>
            <family val="2"/>
          </rPr>
          <t xml:space="preserve">Note:
</t>
        </r>
        <r>
          <rPr>
            <sz val="14"/>
            <color indexed="81"/>
            <rFont val="Tahoma"/>
            <family val="2"/>
          </rPr>
          <t xml:space="preserve">In some cases, due to the nature of the requirements of some Performance Based Incentive programs, project owners are unable to maximize the full revenue stream of the incentive. For example, in the case of the Federal Production Tax Credit (PTC), the project owner may not have sufficienct tax appetite to fully utilize the tax credits. 
This input cell would allow the modeler to account for the owner's inability to fully utilize the PTC and/or the reduction of the PTC (a "haircut") due to the presence of subsidized (below market interest rate) financing.
Input must be between 0% and 100%.
</t>
        </r>
        <r>
          <rPr>
            <sz val="8"/>
            <color indexed="81"/>
            <rFont val="Tahoma"/>
            <family val="2"/>
          </rPr>
          <t xml:space="preserve">
</t>
        </r>
      </text>
    </comment>
    <comment ref="I648" authorId="0" shapeId="0" xr:uid="{CEF9A040-20C1-42AD-9933-A3FAB98219A9}">
      <text>
        <r>
          <rPr>
            <b/>
            <sz val="14"/>
            <color indexed="81"/>
            <rFont val="Tahoma"/>
            <family val="2"/>
          </rPr>
          <t xml:space="preserve">Note:
</t>
        </r>
        <r>
          <rPr>
            <sz val="14"/>
            <color indexed="81"/>
            <rFont val="Tahoma"/>
            <family val="2"/>
          </rPr>
          <t xml:space="preserve">The # of months from construction start to commercial operation. This input cannot be less than zero.
</t>
        </r>
      </text>
    </comment>
    <comment ref="S648" authorId="0" shapeId="0" xr:uid="{A4CFAE8C-74DA-47D0-A284-914680088BE1}">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I649" authorId="0" shapeId="0" xr:uid="{CC9884AD-A0B7-4E78-8421-46602FB85C43}">
      <text>
        <r>
          <rPr>
            <b/>
            <sz val="14"/>
            <color indexed="81"/>
            <rFont val="Tahoma"/>
            <family val="2"/>
          </rPr>
          <t xml:space="preserve">Note:
</t>
        </r>
        <r>
          <rPr>
            <sz val="14"/>
            <color indexed="81"/>
            <rFont val="Tahoma"/>
            <family val="2"/>
          </rPr>
          <t xml:space="preserve">The annual interest rate on construction debt. This input cannot be less than zero.
</t>
        </r>
      </text>
    </comment>
    <comment ref="I650" authorId="0" shapeId="0" xr:uid="{233B5D59-474C-44A2-BF7A-BFB26A5E28BD}">
      <text>
        <r>
          <rPr>
            <b/>
            <sz val="14"/>
            <color indexed="81"/>
            <rFont val="Tahoma"/>
            <family val="2"/>
          </rPr>
          <t xml:space="preserve">Note:
</t>
        </r>
        <r>
          <rPr>
            <sz val="14"/>
            <color indexed="81"/>
            <rFont val="Tahoma"/>
            <family val="2"/>
          </rPr>
          <t xml:space="preserve">A calculated value showing the interest accrued during the construction period. Rather than requiring the user to define a detailed construction draw-down schedule, this calculation makes the simplifying assumption that the total project cost is spent in equal parts in each month of the construction period.
IDC is calculated on total project cost, assuming that any grants are collected after construction financing is repaid at time of permanent financing.
This cell is only used with the "Intermediate" and "Complex" capital cost options. The "Simple" capital cost option assumes that all project costs, including IDC, are included in the single input.
</t>
        </r>
      </text>
    </comment>
    <comment ref="S650" authorId="0" shapeId="0" xr:uid="{0042CFE3-9F55-463D-811B-53B23D173C7C}">
      <text>
        <r>
          <rPr>
            <b/>
            <sz val="14"/>
            <color indexed="81"/>
            <rFont val="Tahoma"/>
            <family val="2"/>
          </rPr>
          <t xml:space="preserve">Note:
</t>
        </r>
        <r>
          <rPr>
            <sz val="14"/>
            <color indexed="81"/>
            <rFont val="Tahoma"/>
            <family val="2"/>
          </rPr>
          <t xml:space="preserve">Include here the total dollar value of any state-specific cash grants or rebates.
Input cannot be less than zero.
</t>
        </r>
      </text>
    </comment>
    <comment ref="S651" authorId="0" shapeId="0" xr:uid="{D3D027F1-1DA4-426D-80E0-E0AA325CB103}">
      <text>
        <r>
          <rPr>
            <b/>
            <sz val="14"/>
            <color indexed="81"/>
            <rFont val="Tahoma"/>
            <family val="2"/>
          </rPr>
          <t xml:space="preserve">Note:
</t>
        </r>
        <r>
          <rPr>
            <sz val="14"/>
            <color indexed="81"/>
            <rFont val="Tahoma"/>
            <family val="2"/>
          </rPr>
          <t xml:space="preserve">Select here whether state grants are treated as taxable income.  If no, depreciation basis is reduced. 
</t>
        </r>
      </text>
    </comment>
    <comment ref="F652" authorId="0" shapeId="0" xr:uid="{3BC9E3B3-7458-4CEA-9963-45E9E2274698}">
      <text>
        <r>
          <rPr>
            <b/>
            <sz val="8"/>
            <color indexed="81"/>
            <rFont val="Tahoma"/>
            <family val="2"/>
          </rPr>
          <t>See "unit" definitions at the bottom of this worksheet.</t>
        </r>
        <r>
          <rPr>
            <sz val="8"/>
            <color indexed="81"/>
            <rFont val="Tahoma"/>
            <family val="2"/>
          </rPr>
          <t xml:space="preserve">
</t>
        </r>
      </text>
    </comment>
    <comment ref="I653" authorId="0" shapeId="0" xr:uid="{563D0081-D4D4-4A4F-8FBF-2636D733F1DB}">
      <text>
        <r>
          <rPr>
            <b/>
            <sz val="14"/>
            <color indexed="81"/>
            <rFont val="Tahoma"/>
            <family val="2"/>
          </rPr>
          <t xml:space="preserve">Note:
</t>
        </r>
        <r>
          <rPr>
            <sz val="14"/>
            <color indexed="81"/>
            <rFont val="Tahoma"/>
            <family val="2"/>
          </rPr>
          <t xml:space="preserve">For ease of use and comprehension by a wide range of stakeholders, this model allows the user to define the capital structure, and relies on mortgage-style amortization of the project debt. The "% Debt" input specifies the portion of funds borrowed, as a percentage of the total "hard costs." Equity is assumed to fund the remaining hard costs PLUS all "soft costs" (e.g. transaction costs and funding of initial reserve accounts, if applicable).  This input cannot be less than zero.
Where maximum sustainable leverage is desired, the user must manually adjust the "% Debt" entry upward to the highest point </t>
        </r>
        <r>
          <rPr>
            <b/>
            <i/>
            <sz val="14"/>
            <color indexed="81"/>
            <rFont val="Tahoma"/>
            <family val="2"/>
          </rPr>
          <t>before</t>
        </r>
        <r>
          <rPr>
            <sz val="14"/>
            <color indexed="81"/>
            <rFont val="Tahoma"/>
            <family val="2"/>
          </rPr>
          <t xml:space="preserve"> the DSCRs no longer "Pass."
If a specific % Debt is desired, </t>
        </r>
        <r>
          <rPr>
            <u/>
            <sz val="14"/>
            <color indexed="81"/>
            <rFont val="Tahoma"/>
            <family val="2"/>
          </rPr>
          <t>and such % is higher than the maximum sustainable debt</t>
        </r>
        <r>
          <rPr>
            <sz val="14"/>
            <color indexed="81"/>
            <rFont val="Tahoma"/>
            <family val="2"/>
          </rPr>
          <t xml:space="preserve"> (such that it causes the DSCR to "Fail"), then the user must define the % Debt and then manually adjust the "Target After-Tax Equity IRR" upward until the DSCRs are met.  The user should </t>
        </r>
        <r>
          <rPr>
            <b/>
            <sz val="14"/>
            <color indexed="81"/>
            <rFont val="Tahoma"/>
            <family val="2"/>
          </rPr>
          <t>take note</t>
        </r>
        <r>
          <rPr>
            <sz val="14"/>
            <color indexed="81"/>
            <rFont val="Tahoma"/>
            <family val="2"/>
          </rPr>
          <t xml:space="preserve"> that when leverage becomes very high (and the corresponding equity contribution low), the "Target After-Tax Equity IRR" will need to be adjusted to levels exceeding typical commercial returns </t>
        </r>
        <r>
          <rPr>
            <u/>
            <sz val="14"/>
            <color indexed="81"/>
            <rFont val="Tahoma"/>
            <family val="2"/>
          </rPr>
          <t>in order to maintain the DSCR ratio</t>
        </r>
        <r>
          <rPr>
            <sz val="14"/>
            <color indexed="81"/>
            <rFont val="Tahoma"/>
            <family val="2"/>
          </rPr>
          <t xml:space="preserve"> on such high debt levels.  For this reason, it is not recommended that users solve for the COE associated with a % Debt that is beyond the maximum sustainable leverage.
If a project is expected to be funded either by a pool of corporate funds or back-leveraged after commercial operation, the user might elect to enter 0% in the "% Debt" cell and enter a weighted average cost of capital (WACC) in the "Target After-Tax Equity IRR" cell.
</t>
        </r>
      </text>
    </comment>
    <comment ref="I654" authorId="1" shapeId="0" xr:uid="{3E0379B3-89E3-4AA6-8A22-49898FB8C31D}">
      <text>
        <r>
          <rPr>
            <b/>
            <sz val="14"/>
            <color indexed="81"/>
            <rFont val="Tahoma"/>
            <family val="2"/>
          </rPr>
          <t>Note:</t>
        </r>
        <r>
          <rPr>
            <sz val="14"/>
            <color indexed="81"/>
            <rFont val="Tahoma"/>
            <family val="2"/>
          </rPr>
          <t xml:space="preserve">
Debt "tenor" (also casually referred to as "term"), is the number of years in the debt repayment schedule.   
Caution: If the project will utilize debt, this value must be greater than zero but less than or equal to the total FIT contract duration.
</t>
        </r>
      </text>
    </comment>
    <comment ref="S654" authorId="0" shapeId="0" xr:uid="{474E3F38-77A7-43E8-9362-56534E969A71}">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655" authorId="1" shapeId="0" xr:uid="{4EA35671-921D-499C-9AA8-59BC589D4FB7}">
      <text>
        <r>
          <rPr>
            <b/>
            <sz val="14"/>
            <color indexed="81"/>
            <rFont val="Tahoma"/>
            <family val="2"/>
          </rPr>
          <t>Note:</t>
        </r>
        <r>
          <rPr>
            <sz val="14"/>
            <color indexed="81"/>
            <rFont val="Tahoma"/>
            <family val="2"/>
          </rPr>
          <t xml:space="preserve">
The all-in interest rate is the financing rate provided by the bank or other debt investor.
This input cannot be less than zero.
</t>
        </r>
      </text>
    </comment>
    <comment ref="S655" authorId="0" shapeId="0" xr:uid="{0AB9A97C-64D1-458D-9707-606EFA9A5290}">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656" authorId="0" shapeId="0" xr:uid="{E36CC8B0-B5FB-4E59-A68A-425A48BB46FC}">
      <text>
        <r>
          <rPr>
            <b/>
            <sz val="14"/>
            <color indexed="81"/>
            <rFont val="Tahoma"/>
            <family val="2"/>
          </rPr>
          <t xml:space="preserve">Note:
</t>
        </r>
        <r>
          <rPr>
            <sz val="14"/>
            <color indexed="81"/>
            <rFont val="Tahoma"/>
            <family val="2"/>
          </rPr>
          <t xml:space="preserve">A one-time fee collected by the lender and calculated as a % of the total loan amount. This value is typically between 1% and 4%.
This input cannot be less than zero.
</t>
        </r>
      </text>
    </comment>
    <comment ref="S656" authorId="0" shapeId="0" xr:uid="{93FA9340-4461-466E-A9DF-C78C1BB8D1EE}">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657" authorId="1" shapeId="0" xr:uid="{520FACC9-B374-4FEF-8783-40E927D61E39}">
      <text>
        <r>
          <rPr>
            <b/>
            <sz val="14"/>
            <color indexed="81"/>
            <rFont val="Tahoma"/>
            <family val="2"/>
          </rPr>
          <t>Note:</t>
        </r>
        <r>
          <rPr>
            <sz val="14"/>
            <color indexed="81"/>
            <rFont val="Tahoma"/>
            <family val="2"/>
          </rPr>
          <t xml:space="preserve">
The annual Debt Service Coverage Ratio is calculated by dividing the sum of the annual principal and interest payment into that year's operating cash flow. Lenders will require the DSCR to demonstrate the project's ability to easily meet its annual debt service obligation.
Average DSCRs over the life of the loan typically range from 1.2 to 1.5 for private, commercially financed projects, or from 1.1 to 1.3 for publicly owned, bond-financed projects - depending on the level of reserves, or other surety, provided. 
The annual minimum DSCR will depend on the specific terms of the loan and the probability-weighting of the production estimate, but will likely be in the range of 1.0 to 1.3. This input must be greater than 1.
</t>
        </r>
      </text>
    </comment>
    <comment ref="S657" authorId="0" shapeId="0" xr:uid="{768EB201-DD40-451F-853F-3EF47EB95BAD}">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658" authorId="0" shapeId="0" xr:uid="{2DCA8F65-2D99-4645-B07E-3CF4062C4588}">
      <text>
        <r>
          <rPr>
            <b/>
            <sz val="14"/>
            <color indexed="81"/>
            <rFont val="Tahoma"/>
            <family val="2"/>
          </rPr>
          <t>Note:</t>
        </r>
        <r>
          <rPr>
            <sz val="14"/>
            <color indexed="81"/>
            <rFont val="Tahoma"/>
            <family val="2"/>
          </rPr>
          <t xml:space="preserve">
If "#N/A" appears, F9 should be pressed until the calculated COE achieves it's final value.</t>
        </r>
      </text>
    </comment>
    <comment ref="S658" authorId="0" shapeId="0" xr:uid="{4E1600FD-1B7E-4AAF-83BF-3DFAB6F091EB}">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659" authorId="1" shapeId="0" xr:uid="{AC4286F7-1182-4597-82A9-5C53D831D34F}">
      <text>
        <r>
          <rPr>
            <b/>
            <sz val="14"/>
            <color indexed="81"/>
            <rFont val="Tahoma"/>
            <family val="2"/>
          </rPr>
          <t>Note:</t>
        </r>
        <r>
          <rPr>
            <sz val="14"/>
            <color indexed="81"/>
            <rFont val="Tahoma"/>
            <family val="2"/>
          </rPr>
          <t xml:space="preserve">
This cell checks that the debt service coverage ratio exceeds the user-defined minimum in each operating year (see note in DSCR cell for definition and rationale for DSCR). If the test "fails", the user must choose from one of several options in order to cure this deficiency (the extent to which these options are available will be specific to each project):
1. reduce the amount of project level debt, 
2. increase the feed-in tariff rate in order to generate cash flow sufficient to meet the bank's assumed coverage requirement.  In the CREST model, </t>
        </r>
        <r>
          <rPr>
            <u/>
            <sz val="14"/>
            <color indexed="81"/>
            <rFont val="Tahoma"/>
            <family val="2"/>
          </rPr>
          <t>this is done by manually increasing the "Target After-Tax Equity IRR."</t>
        </r>
        <r>
          <rPr>
            <sz val="14"/>
            <color indexed="81"/>
            <rFont val="Tahoma"/>
            <family val="2"/>
          </rPr>
          <t xml:space="preserve">
Other possible, but less likely, mechanisms include:
3. increase the loan tenor
4. decrease the interest rate</t>
        </r>
      </text>
    </comment>
    <comment ref="S659" authorId="0" shapeId="0" xr:uid="{706BAB25-5218-4A5C-AAF6-0D18C29B3A93}">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660" authorId="1" shapeId="0" xr:uid="{8DA16F23-CEF8-4BB9-9C28-B7F647358498}">
      <text>
        <r>
          <rPr>
            <b/>
            <sz val="14"/>
            <color indexed="81"/>
            <rFont val="Tahoma"/>
            <family val="2"/>
          </rPr>
          <t>Note:</t>
        </r>
        <r>
          <rPr>
            <sz val="14"/>
            <color indexed="81"/>
            <rFont val="Tahoma"/>
            <family val="2"/>
          </rPr>
          <t xml:space="preserve">
The annual Debt Service Coverage Ratio is calculated by dividing the sum of the annual principal and interest payment into that year's operating cash flow. Lenders will require the DSCR to demonstrate the project's ability to easily meet its annual debt service obligation.
</t>
        </r>
        <r>
          <rPr>
            <u/>
            <sz val="14"/>
            <color indexed="81"/>
            <rFont val="Tahoma"/>
            <family val="2"/>
          </rPr>
          <t>Average</t>
        </r>
        <r>
          <rPr>
            <sz val="14"/>
            <color indexed="81"/>
            <rFont val="Tahoma"/>
            <family val="2"/>
          </rPr>
          <t xml:space="preserve"> DSCRs over the life of the loan typically range from 1.2 to 1.5 for private, commercially financed projects, or from 1.1 to 1.3 for publicly owned, bond-financed projects - depending on the level of reserves, or other surety, provided. 
The </t>
        </r>
        <r>
          <rPr>
            <u/>
            <sz val="14"/>
            <color indexed="81"/>
            <rFont val="Tahoma"/>
            <family val="2"/>
          </rPr>
          <t>annual minimum</t>
        </r>
        <r>
          <rPr>
            <sz val="14"/>
            <color indexed="81"/>
            <rFont val="Tahoma"/>
            <family val="2"/>
          </rPr>
          <t xml:space="preserve"> DSCR will depend on the specific terms of the loan and the probability-weighting of the production estimate, but will likely be in the range of 1.0 to 1.3. This input must be greater than 1.
</t>
        </r>
      </text>
    </comment>
    <comment ref="S660" authorId="0" shapeId="0" xr:uid="{3702D0C7-46B0-4C68-9B10-663CAD8D775E}">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661" authorId="0" shapeId="0" xr:uid="{78C7E636-83C3-4DD7-860B-C0FD3E1972FF}">
      <text>
        <r>
          <rPr>
            <b/>
            <sz val="12"/>
            <color indexed="81"/>
            <rFont val="Tahoma"/>
            <family val="2"/>
          </rPr>
          <t>Note:</t>
        </r>
        <r>
          <rPr>
            <sz val="12"/>
            <color indexed="81"/>
            <rFont val="Tahoma"/>
            <family val="2"/>
          </rPr>
          <t xml:space="preserve">
If "#N/A" appears, F9 should be pressed until the calculated COE achieves it's final value.</t>
        </r>
      </text>
    </comment>
    <comment ref="S661" authorId="0" shapeId="0" xr:uid="{BC17DF53-46E4-4747-8759-440A5BE5410F}">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662" authorId="1" shapeId="0" xr:uid="{1162CA44-8586-42D9-9585-FFCC4FC00E6F}">
      <text>
        <r>
          <rPr>
            <b/>
            <sz val="14"/>
            <color indexed="81"/>
            <rFont val="Tahoma"/>
            <family val="2"/>
          </rPr>
          <t>Note:</t>
        </r>
        <r>
          <rPr>
            <sz val="14"/>
            <color indexed="81"/>
            <rFont val="Tahoma"/>
            <family val="2"/>
          </rPr>
          <t xml:space="preserve">
This cell checks that the average debt service coverage ratio exceeds the user-defined minimum during the period for which debt is outstanding (see note in DSCR cell for definition and rationale for DSCR). If the test "fails", the user must choose from one of several options in order to cure this deficiency (the extent to which these options are available will be specific to each project):
1. reduce the amount of project level debt, 
2. increase the feed-in tariff rate in order to generate cash flow sufficient to meet the bank's assumed coverage requirement.  In the CREST model, </t>
        </r>
        <r>
          <rPr>
            <u/>
            <sz val="14"/>
            <color indexed="81"/>
            <rFont val="Tahoma"/>
            <family val="2"/>
          </rPr>
          <t>this is done by manually increasing the "Target After-Tax Equity IRR."</t>
        </r>
        <r>
          <rPr>
            <sz val="14"/>
            <color indexed="81"/>
            <rFont val="Tahoma"/>
            <family val="2"/>
          </rPr>
          <t xml:space="preserve">
Other possible, but less likely, mechanisms include:
3. increase the loan tenor
4. decrease the interest rate</t>
        </r>
      </text>
    </comment>
    <comment ref="I663" authorId="0" shapeId="0" xr:uid="{F8DDF55C-B9F7-4523-A112-18CD019F7B0E}">
      <text>
        <r>
          <rPr>
            <b/>
            <sz val="14"/>
            <color indexed="81"/>
            <rFont val="Tahoma"/>
            <family val="2"/>
          </rPr>
          <t xml:space="preserve">Note:
</t>
        </r>
        <r>
          <rPr>
            <sz val="14"/>
            <color indexed="81"/>
            <rFont val="Tahoma"/>
            <family val="2"/>
          </rPr>
          <t xml:space="preserve">The portion of total project cost funded from equity investors. This cell is a calculation and not an input. It is calculated as 100% minus the "% Debt" entered above.
</t>
        </r>
      </text>
    </comment>
    <comment ref="P663" authorId="0" shapeId="0" xr:uid="{FEC944CC-1241-4586-8682-41726D9BF3D5}">
      <text>
        <r>
          <rPr>
            <b/>
            <sz val="8"/>
            <color indexed="81"/>
            <rFont val="Tahoma"/>
            <family val="2"/>
          </rPr>
          <t>See "unit" definitions at the bottom of this worksheet.</t>
        </r>
        <r>
          <rPr>
            <sz val="8"/>
            <color indexed="81"/>
            <rFont val="Tahoma"/>
            <family val="2"/>
          </rPr>
          <t xml:space="preserve">
</t>
        </r>
      </text>
    </comment>
    <comment ref="I664" authorId="1" shapeId="0" xr:uid="{3BA3BD1C-68E0-4B58-A2C3-3ECB9382496B}">
      <text>
        <r>
          <rPr>
            <b/>
            <sz val="14"/>
            <color indexed="81"/>
            <rFont val="Tahoma"/>
            <family val="2"/>
          </rPr>
          <t>Note:</t>
        </r>
        <r>
          <rPr>
            <sz val="14"/>
            <color indexed="81"/>
            <rFont val="Tahoma"/>
            <family val="2"/>
          </rPr>
          <t xml:space="preserve">
The target after-tax equity IRR is the equity investor's cost of capital -- or "discount rate" -- and is the minimum rate of return that the project owner will seek to attain in order to justify the project compared to alternative investments.  
The user should be explicit in his or her assumption regarding the term over which the target after-tax IRR is assumed to be realized. For example, the user could elect to align the return requirement with the tariff payment duration. In this case, the project useful life should be set equal to the tariff duration in order to calculate the COE associated with the target IRR over that period of time. 
In a second example, the user could elect to align the return requirement with the project's useful life. In this case, the user can either assume a tariff duration equal to the project life, or assume market-based revenue for the period after the tariff and before the end of the assumed project useful life.
This input cannot be less than zero.
If a project is expected to be funded either by a pool of corporate funds or back-leveraged after commercial operation, the user might elect to enter 0% in the "% Debt" cell and enter a weighted average cost of capital (WACC) in the "Target After-Tax Equity IRR" cell.
</t>
        </r>
      </text>
    </comment>
    <comment ref="I665" authorId="0" shapeId="0" xr:uid="{662E7CE7-41BA-4FB6-9F1F-810D9D7C0378}">
      <text>
        <r>
          <rPr>
            <b/>
            <sz val="14"/>
            <color indexed="81"/>
            <rFont val="Tahoma"/>
            <family val="2"/>
          </rPr>
          <t xml:space="preserve">Note:
</t>
        </r>
        <r>
          <rPr>
            <sz val="14"/>
            <color indexed="81"/>
            <rFont val="Tahoma"/>
            <family val="2"/>
          </rPr>
          <t xml:space="preserve">The weighted average cost of capital combines the after-tax cost of both equity and debt in proportion to their use, and is calculated here for reference.
</t>
        </r>
      </text>
    </comment>
    <comment ref="S665" authorId="1" shapeId="0" xr:uid="{BE44A4A8-404E-4399-B6C0-DEEC496EFEE8}">
      <text>
        <r>
          <rPr>
            <b/>
            <sz val="14"/>
            <color indexed="81"/>
            <rFont val="Tahoma"/>
            <family val="2"/>
          </rPr>
          <t xml:space="preserve">Note:
</t>
        </r>
        <r>
          <rPr>
            <sz val="14"/>
            <color indexed="81"/>
            <rFont val="Tahoma"/>
            <family val="2"/>
          </rPr>
          <t xml:space="preserve">In order to ensure that project owners have sufficient funds to decommission and remove equipment at the end of a project's life, many owners choose to create and fund a reserve account throughout the course of project. 
This input cell allows the modeler to choose whether to pay for project removal by creating and funding a reserve account over the project life by selecting "Operations" or to assume that a project's removal will be funded by selling the equipment, by selecting "Salvage".
</t>
        </r>
      </text>
    </comment>
    <comment ref="I666" authorId="0" shapeId="0" xr:uid="{A904F656-5CF0-4B29-8215-0670A0FC5CB3}">
      <text>
        <r>
          <rPr>
            <b/>
            <sz val="14"/>
            <color indexed="81"/>
            <rFont val="Tahoma"/>
            <family val="2"/>
          </rPr>
          <t xml:space="preserve">Note:
</t>
        </r>
        <r>
          <rPr>
            <sz val="14"/>
            <color indexed="81"/>
            <rFont val="Tahoma"/>
            <family val="2"/>
          </rPr>
          <t>This cell represents the costs of both equity and debt due diligence (if applicable) and other transaction costs.
Input cannot be less than zero.</t>
        </r>
      </text>
    </comment>
    <comment ref="S666" authorId="0" shapeId="0" xr:uid="{B979CEBD-E458-416D-A358-9077C4022448}">
      <text>
        <r>
          <rPr>
            <b/>
            <sz val="14"/>
            <color indexed="81"/>
            <rFont val="Tahoma"/>
            <family val="2"/>
          </rPr>
          <t>Note:</t>
        </r>
        <r>
          <rPr>
            <sz val="14"/>
            <color indexed="81"/>
            <rFont val="Tahoma"/>
            <family val="2"/>
          </rPr>
          <t xml:space="preserve">
This input cell allows the user to assume the creation of a reserve account. The value entered here will be accounted for in the project's cash flow, and would be funded evenly over the number of years available between the project's commercial operation and the end of its useful life.
Input cannot be less than zero.
</t>
        </r>
      </text>
    </comment>
    <comment ref="P668" authorId="0" shapeId="0" xr:uid="{660728DB-091C-49F3-9CAA-67FAC7BF5F1F}">
      <text>
        <r>
          <rPr>
            <b/>
            <sz val="8"/>
            <color indexed="81"/>
            <rFont val="Tahoma"/>
            <family val="2"/>
          </rPr>
          <t>See "unit" definitions at the bottom of this worksheet.</t>
        </r>
        <r>
          <rPr>
            <sz val="8"/>
            <color indexed="81"/>
            <rFont val="Tahoma"/>
            <family val="2"/>
          </rPr>
          <t xml:space="preserve">
</t>
        </r>
      </text>
    </comment>
    <comment ref="I669" authorId="0" shapeId="0" xr:uid="{2D3F5063-2B7D-448A-BE1C-430B0A7D567C}">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at the project's "Total Installed Cost."
</t>
        </r>
      </text>
    </comment>
    <comment ref="I670" authorId="0" shapeId="0" xr:uid="{67649DD8-AA11-4D00-B408-050F44C78ACB}">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t>
        </r>
      </text>
    </comment>
    <comment ref="S670" authorId="0" shapeId="0" xr:uid="{1F1EF2E5-4A78-4520-8B74-5800481004E3}">
      <text>
        <r>
          <rPr>
            <b/>
            <sz val="14"/>
            <color indexed="81"/>
            <rFont val="Tahoma"/>
            <family val="2"/>
          </rPr>
          <t>Note:</t>
        </r>
        <r>
          <rPr>
            <sz val="14"/>
            <color indexed="81"/>
            <rFont val="Tahoma"/>
            <family val="2"/>
          </rPr>
          <t xml:space="preserve">
Lenders typically require the project owner to establish a reserve account prior to the commencement of operations to ensure that loan repayments occur in full and on time even if the project has insufficient operating cash flow in a specific period due to lower than expected production, higher costs, or both. The size of the reserve account is typically equal to 6 months of debt service obligation.
Input cannot be less than zero.
</t>
        </r>
      </text>
    </comment>
    <comment ref="I671" authorId="0" shapeId="0" xr:uid="{FF0AB42B-56B7-4224-95EA-373E1BD98C65}">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As previously described, this value excludes the ITC Cash Grant, which must be financed prior to commercial operation.  
</t>
        </r>
      </text>
    </comment>
    <comment ref="S671" authorId="0" shapeId="0" xr:uid="{16D79F9E-2DC0-4361-9678-67C50F3161EC}">
      <text>
        <r>
          <rPr>
            <b/>
            <sz val="14"/>
            <color indexed="81"/>
            <rFont val="Tahoma"/>
            <family val="2"/>
          </rPr>
          <t>Note:</t>
        </r>
        <r>
          <rPr>
            <sz val="14"/>
            <color indexed="81"/>
            <rFont val="Tahoma"/>
            <family val="2"/>
          </rPr>
          <t xml:space="preserve">
Calculated value based on the # months of required reserve and the capital structure and associated periodic debt obligation.
</t>
        </r>
      </text>
    </comment>
    <comment ref="I672" authorId="0" shapeId="0" xr:uid="{F4436C1F-4946-4D67-824E-B2CA3CED39BD}">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t>
        </r>
      </text>
    </comment>
    <comment ref="S673" authorId="0" shapeId="0" xr:uid="{1CDCB6B9-43A2-4735-BEF6-0D71CA0E42A8}">
      <text>
        <r>
          <rPr>
            <b/>
            <sz val="14"/>
            <color indexed="81"/>
            <rFont val="Tahoma"/>
            <family val="2"/>
          </rPr>
          <t>Note:</t>
        </r>
        <r>
          <rPr>
            <sz val="14"/>
            <color indexed="81"/>
            <rFont val="Tahoma"/>
            <family val="2"/>
          </rPr>
          <t xml:space="preserve">
Lenders typically require the project owner to establish a reserve account prior to the commencement of operations to ensure that all O&amp;M expenses can be met even if the project has insufficient operating cash flow in a specific period due to lower than expected production, higher costs, or both. The size of the reserve account is typically 3 to 6 months of O&amp;M expenses, and includes all categories of O&amp;M expenses.
Input cannot be less than zero.
</t>
        </r>
      </text>
    </comment>
    <comment ref="F674" authorId="0" shapeId="0" xr:uid="{B88669BB-AED9-4A46-BE2D-3431FA8FB9E5}">
      <text>
        <r>
          <rPr>
            <b/>
            <sz val="8"/>
            <color indexed="81"/>
            <rFont val="Tahoma"/>
            <family val="2"/>
          </rPr>
          <t>See "unit" definitions at the bottom of this worksheet.</t>
        </r>
        <r>
          <rPr>
            <sz val="8"/>
            <color indexed="81"/>
            <rFont val="Tahoma"/>
            <family val="2"/>
          </rPr>
          <t xml:space="preserve">
</t>
        </r>
      </text>
    </comment>
    <comment ref="S674" authorId="0" shapeId="0" xr:uid="{71BB64F4-2755-4061-B9BB-DFA876CE43C5}">
      <text>
        <r>
          <rPr>
            <b/>
            <sz val="14"/>
            <color indexed="81"/>
            <rFont val="Tahoma"/>
            <family val="2"/>
          </rPr>
          <t>Note:</t>
        </r>
        <r>
          <rPr>
            <sz val="14"/>
            <color indexed="81"/>
            <rFont val="Tahoma"/>
            <family val="2"/>
          </rPr>
          <t xml:space="preserve">
Calculated value based on the # months of required reserve and all annual operating expenses.
</t>
        </r>
      </text>
    </comment>
    <comment ref="I675" authorId="0" shapeId="0" xr:uid="{03046C78-4AD1-48A8-B99E-3DE4572FD545}">
      <text>
        <r>
          <rPr>
            <b/>
            <sz val="14"/>
            <color indexed="81"/>
            <rFont val="Tahoma"/>
            <family val="2"/>
          </rPr>
          <t xml:space="preserve">Note:
</t>
        </r>
        <r>
          <rPr>
            <sz val="14"/>
            <color indexed="81"/>
            <rFont val="Tahoma"/>
            <family val="2"/>
          </rPr>
          <t xml:space="preserve">Defines whether the project owner is a taxable or non-taxable entity. This determines the treatment of income taxes and other tax-related items.
</t>
        </r>
      </text>
    </comment>
    <comment ref="S675" authorId="0" shapeId="0" xr:uid="{143228E3-A4AB-48A8-B7AF-7D8199438B40}">
      <text>
        <r>
          <rPr>
            <b/>
            <sz val="14"/>
            <color indexed="81"/>
            <rFont val="Tahoma"/>
            <family val="2"/>
          </rPr>
          <t>Note:</t>
        </r>
        <r>
          <rPr>
            <sz val="14"/>
            <color indexed="81"/>
            <rFont val="Tahoma"/>
            <family val="2"/>
          </rPr>
          <t xml:space="preserve">
Unused reserves earn interest at this rate. Input cannot be less than zero.
</t>
        </r>
      </text>
    </comment>
    <comment ref="I676" authorId="0" shapeId="0" xr:uid="{2B475B3D-91AD-4AB7-A441-A79809F06687}">
      <text>
        <r>
          <rPr>
            <b/>
            <sz val="14"/>
            <color indexed="81"/>
            <rFont val="Tahoma"/>
            <family val="2"/>
          </rPr>
          <t xml:space="preserve">Note:
</t>
        </r>
        <r>
          <rPr>
            <sz val="14"/>
            <color indexed="81"/>
            <rFont val="Tahoma"/>
            <family val="2"/>
          </rPr>
          <t xml:space="preserve">Defines the project's federal income tax rate, if applicable.
Input cannot be less than zero.
</t>
        </r>
      </text>
    </comment>
    <comment ref="I677" authorId="0" shapeId="0" xr:uid="{829242A5-C838-4107-8504-92952905E71C}">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I678" authorId="0" shapeId="0" xr:uid="{2DE5A058-908D-4AC4-B13C-2711476AB2C0}">
      <text>
        <r>
          <rPr>
            <b/>
            <sz val="14"/>
            <color indexed="81"/>
            <rFont val="Tahoma"/>
            <family val="2"/>
          </rPr>
          <t xml:space="preserve">Note:
</t>
        </r>
        <r>
          <rPr>
            <sz val="14"/>
            <color indexed="81"/>
            <rFont val="Tahoma"/>
            <family val="2"/>
          </rPr>
          <t xml:space="preserve">Defines the project's state income tax rate, if applicable.
Input cannot be less than zero.
</t>
        </r>
      </text>
    </comment>
    <comment ref="S678" authorId="0" shapeId="0" xr:uid="{E84614A9-F56B-4647-B45B-313668F2F92E}">
      <text>
        <r>
          <rPr>
            <b/>
            <sz val="14"/>
            <color indexed="81"/>
            <rFont val="Tahoma"/>
            <family val="2"/>
          </rPr>
          <t>Note:</t>
        </r>
        <r>
          <rPr>
            <sz val="14"/>
            <color indexed="81"/>
            <rFont val="Tahoma"/>
            <family val="2"/>
          </rPr>
          <t xml:space="preserve">
To qualify for Bonus Depreciation the property must have a recovery period of 20 years or less (under normal federal tax depreciation rules), and the project must commence operation in the year in which bonus depreciation is in effect and under the ownership of the entity claiming the deduction. 
For qualifying projects, the owner is entitled to deduct 50% of the adjusted basis of the property during the tax year the property is first placed in service. The remaining 50% of the adjusted basis of the property is depreciated over the ordinary MACRS depreciation schedule. The bonus depreciation rules do not override the depreciation limit applicable to projects qualifying for the federal ITC. Before calculating depreciation for such a project, including any bonus depreciation, the adjusted basis of the project must be reduced by one-half of the amount of the ITC for which the project qualifies. 
</t>
        </r>
      </text>
    </comment>
    <comment ref="I679" authorId="0" shapeId="0" xr:uid="{9A56BDB3-B1A1-430D-A212-6A057358A0A9}">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P679" authorId="0" shapeId="0" xr:uid="{24350EAE-D549-4520-BE01-4696F848D7A2}">
      <text>
        <r>
          <rPr>
            <b/>
            <sz val="12"/>
            <color indexed="81"/>
            <rFont val="Tahoma"/>
            <family val="2"/>
          </rPr>
          <t>Jason Gifford:</t>
        </r>
        <r>
          <rPr>
            <sz val="12"/>
            <color indexed="81"/>
            <rFont val="Tahoma"/>
            <family val="2"/>
          </rPr>
          <t xml:space="preserve">
The Consolidated Appropriations Act, signed in December 2015, extended the "placed in service" deadline for bonus depreciation. Equipment placed in service before January 1, 2018 can qualify for 50% bonus depreciation. Equipment placed in service during 2018 can qualify for 40% bonus depreciation. And equipment placed in service during 2019 can qualify for 30% bonus depreciation. </t>
        </r>
      </text>
    </comment>
    <comment ref="S679" authorId="0" shapeId="0" xr:uid="{F84467C9-9272-4786-A6FC-87F31AE13808}">
      <text>
        <r>
          <rPr>
            <b/>
            <sz val="14"/>
            <color indexed="81"/>
            <rFont val="Tahoma"/>
            <family val="2"/>
          </rPr>
          <t>Note:</t>
        </r>
        <r>
          <rPr>
            <sz val="14"/>
            <color indexed="81"/>
            <rFont val="Tahoma"/>
            <family val="2"/>
          </rPr>
          <t xml:space="preserve">
This input allows the user to define the bonus depreciation % applied in Year 1, if applicable.  Historically, federal bonus depreciation has been 50% of the eligible cost basis (after taking into account reductions in such cost basis for the ITC, if applicable).  
Input cannot be less than zero.
</t>
        </r>
      </text>
    </comment>
    <comment ref="I680" authorId="0" shapeId="0" xr:uid="{FA009B6E-1CB1-42BF-A8BD-99033919A6DC}">
      <text>
        <r>
          <rPr>
            <b/>
            <sz val="14"/>
            <color indexed="81"/>
            <rFont val="Tahoma"/>
            <family val="2"/>
          </rPr>
          <t xml:space="preserve">Note:
</t>
        </r>
        <r>
          <rPr>
            <sz val="14"/>
            <color indexed="81"/>
            <rFont val="Tahoma"/>
            <family val="2"/>
          </rPr>
          <t xml:space="preserve">Takes into account the interaction between federal and state tax rates. This is a calculated value.
</t>
        </r>
      </text>
    </comment>
    <comment ref="I681" authorId="0" shapeId="0" xr:uid="{084FD6D4-225E-4C9D-B4C8-21D8368D3CB2}">
      <text>
        <r>
          <rPr>
            <b/>
            <sz val="14"/>
            <color indexed="81"/>
            <rFont val="Tahoma"/>
            <family val="2"/>
          </rPr>
          <t xml:space="preserve">Note:
</t>
        </r>
        <r>
          <rPr>
            <sz val="14"/>
            <color indexed="81"/>
            <rFont val="Tahoma"/>
            <family val="2"/>
          </rPr>
          <t>Depreciation accounts for the "use" of equipment for tax purposes. The depreciation inputs are provided in the table to the right and on the Complex Capital Costs tab when this option is selected.</t>
        </r>
      </text>
    </comment>
    <comment ref="AB682" authorId="0" shapeId="0" xr:uid="{68551BE8-1D2F-47B7-AD42-0267895B2601}">
      <text>
        <r>
          <rPr>
            <b/>
            <sz val="14"/>
            <color indexed="81"/>
            <rFont val="Tahoma"/>
            <family val="2"/>
          </rPr>
          <t>Note:</t>
        </r>
        <r>
          <rPr>
            <sz val="14"/>
            <color indexed="81"/>
            <rFont val="Tahoma"/>
            <family val="2"/>
          </rPr>
          <t xml:space="preserve">
When the "Simple" capital cost option is selected, the depreciation of total project costs is divided among the classifications using this row. The depreciation options associated with other levels of cost detail will be hidden.
</t>
        </r>
        <r>
          <rPr>
            <b/>
            <sz val="14"/>
            <color indexed="81"/>
            <rFont val="Tahoma"/>
            <family val="2"/>
          </rPr>
          <t xml:space="preserve">This row must sum to 100%.
</t>
        </r>
      </text>
    </comment>
    <comment ref="AB683" authorId="0" shapeId="0" xr:uid="{6A8A5203-2EA2-4CA0-A7F0-B1C75B336F26}">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684" authorId="0" shapeId="0" xr:uid="{7B8C6CD7-2C1B-4BDF-B53A-2F81C8AF5944}">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685" authorId="0" shapeId="0" xr:uid="{21EBCD81-39FE-4670-9CB5-96D759EE9B1C}">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686" authorId="0" shapeId="0" xr:uid="{21663CAC-9B56-4125-A245-12D296454A9A}">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687" authorId="0" shapeId="0" xr:uid="{B1F4C2F0-5B32-4F69-99F1-5AB5C3643B91}">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688" authorId="0" shapeId="0" xr:uid="{E1408552-73CD-4892-BFD6-17978382C264}">
      <text>
        <r>
          <rPr>
            <b/>
            <sz val="14"/>
            <color indexed="81"/>
            <rFont val="Tahoma"/>
            <family val="2"/>
          </rPr>
          <t>Note:</t>
        </r>
        <r>
          <rPr>
            <sz val="14"/>
            <color indexed="81"/>
            <rFont val="Tahoma"/>
            <family val="2"/>
          </rPr>
          <t xml:space="preserve">
When the "Complex" capital cost option is selected, each line items is assigned its own depreciation classification using a drop-down menu on the Complex Capital Costs tab.
</t>
        </r>
      </text>
    </comment>
    <comment ref="C693" authorId="0" shapeId="0" xr:uid="{0DA7D01A-B0DA-4367-9544-E92C2B8C27B0}">
      <text>
        <r>
          <rPr>
            <sz val="14"/>
            <color indexed="81"/>
            <rFont val="Tahoma"/>
            <family val="2"/>
          </rPr>
          <t xml:space="preserve">The "Check" column evaluates whether or not values have been enterred in all required fields.  Green denotes an accepted entry in a required field or a calculation for which the minimum required precedents have been satisfied.  Red denotes the absence of an entry in a required field, or a calculation for which the minimum required precendents have NOT been satisfied.
</t>
        </r>
        <r>
          <rPr>
            <b/>
            <sz val="14"/>
            <color indexed="81"/>
            <rFont val="Tahoma"/>
            <family val="2"/>
          </rPr>
          <t>Please note</t>
        </r>
        <r>
          <rPr>
            <sz val="14"/>
            <color indexed="81"/>
            <rFont val="Tahoma"/>
            <family val="2"/>
          </rPr>
          <t xml:space="preserve"> that while the "Check" column ensures the population of all required fields, this column does NOT validate the magnitude of such entries.  It is the model user's responsibility to provide inputs which accurately represent the project being modeled.  In some cases, a range of typical values for a specified input are provided in that input's "Notes" cell.</t>
        </r>
      </text>
    </comment>
    <comment ref="I693" authorId="0" shapeId="0" xr:uid="{2E442048-53DB-46F5-8661-7B538A350E88}">
      <text>
        <r>
          <rPr>
            <sz val="14"/>
            <color indexed="81"/>
            <rFont val="Tahoma"/>
            <family val="2"/>
          </rPr>
          <t xml:space="preserve">Each cell in the "Notes" column provides a brief description of the input in the corresponding row, its application within the model, and (in some cases) the range of values that might be expected to populate that  input cell.  It is the model user's responsibility, however, to research and validate the applicability of, and appropriate value for, each input.
</t>
        </r>
        <r>
          <rPr>
            <sz val="8"/>
            <color indexed="81"/>
            <rFont val="Tahoma"/>
            <family val="2"/>
          </rPr>
          <t xml:space="preserve">
</t>
        </r>
      </text>
    </comment>
    <comment ref="M693" authorId="0" shapeId="0" xr:uid="{99E2942F-A872-481C-BBCE-0BA9E849FC94}">
      <text>
        <r>
          <rPr>
            <sz val="14"/>
            <color indexed="81"/>
            <rFont val="Tahoma"/>
            <family val="2"/>
          </rPr>
          <t xml:space="preserve">The "Check" column evaluates whether or not values have been enterred in all required fields.  Green denotes an accepted entry in a required field or a calculation for which the minimum required precedents have been satisfied.  Red denotes the absence of an entry in a required field, or a calculation for which the minimum required precendents have NOT been satisfied.
</t>
        </r>
        <r>
          <rPr>
            <b/>
            <sz val="14"/>
            <color indexed="81"/>
            <rFont val="Tahoma"/>
            <family val="2"/>
          </rPr>
          <t>Please note</t>
        </r>
        <r>
          <rPr>
            <sz val="14"/>
            <color indexed="81"/>
            <rFont val="Tahoma"/>
            <family val="2"/>
          </rPr>
          <t xml:space="preserve"> that while the "Check" column ensures the population of all required fields, this column does NOT validate the magnitude of such entries.  It is the model user's responsibility to provide inputs which accurately represent the project being modeled.  In some cases, a range of typical values for a specified input are provided in that input's "Notes" cell.</t>
        </r>
      </text>
    </comment>
    <comment ref="S693" authorId="0" shapeId="0" xr:uid="{C740034E-4488-45C4-B035-CC3C7F555BF0}">
      <text>
        <r>
          <rPr>
            <sz val="14"/>
            <color indexed="81"/>
            <rFont val="Tahoma"/>
            <family val="2"/>
          </rPr>
          <t>Each cell in the "Notes" column provides a brief description of the input in the corresponding row, its application within the model, and (in some cases) the range of values that might be expected to populate that  input cell. It is the model user's responsibility, however, to research and validate the applicability of, and appropriate value for, each input.</t>
        </r>
        <r>
          <rPr>
            <sz val="8"/>
            <color indexed="81"/>
            <rFont val="Tahoma"/>
            <family val="2"/>
          </rPr>
          <t xml:space="preserve">
</t>
        </r>
      </text>
    </comment>
    <comment ref="F695" authorId="0" shapeId="0" xr:uid="{6348DC22-9AAB-4161-8662-91924232F923}">
      <text>
        <r>
          <rPr>
            <b/>
            <sz val="8"/>
            <color indexed="81"/>
            <rFont val="Tahoma"/>
            <family val="2"/>
          </rPr>
          <t>See "unit" definitions at the bottom of this worksheet.</t>
        </r>
        <r>
          <rPr>
            <sz val="8"/>
            <color indexed="81"/>
            <rFont val="Tahoma"/>
            <family val="2"/>
          </rPr>
          <t xml:space="preserve">
</t>
        </r>
      </text>
    </comment>
    <comment ref="P695" authorId="0" shapeId="0" xr:uid="{9580BAE0-A859-408E-9A8C-34F20DA345A6}">
      <text>
        <r>
          <rPr>
            <b/>
            <sz val="8"/>
            <color indexed="81"/>
            <rFont val="Tahoma"/>
            <family val="2"/>
          </rPr>
          <t>See "unit" definitions at the bottom of this worksheet.</t>
        </r>
        <r>
          <rPr>
            <sz val="8"/>
            <color indexed="81"/>
            <rFont val="Tahoma"/>
            <family val="2"/>
          </rPr>
          <t xml:space="preserve">
</t>
        </r>
      </text>
    </comment>
    <comment ref="I696" authorId="1" shapeId="0" xr:uid="{A8DC8E10-7DB9-419D-B5AD-C0F82759F82F}">
      <text>
        <r>
          <rPr>
            <b/>
            <sz val="14"/>
            <color indexed="81"/>
            <rFont val="Tahoma"/>
            <family val="2"/>
          </rPr>
          <t>Note:</t>
        </r>
        <r>
          <rPr>
            <sz val="14"/>
            <color indexed="81"/>
            <rFont val="Tahoma"/>
            <family val="2"/>
          </rPr>
          <t xml:space="preserve">
This is the aggregate nameplate rating for the entire generating facility.
Input must be greater than zero.
</t>
        </r>
      </text>
    </comment>
    <comment ref="S696" authorId="1" shapeId="0" xr:uid="{7B863C93-6AD1-457B-BED3-29DBB1EDED50}">
      <text>
        <r>
          <rPr>
            <b/>
            <sz val="14"/>
            <color indexed="81"/>
            <rFont val="Tahoma"/>
            <family val="2"/>
          </rPr>
          <t xml:space="preserve">Note:
</t>
        </r>
        <r>
          <rPr>
            <sz val="14"/>
            <color indexed="81"/>
            <rFont val="Tahoma"/>
            <family val="2"/>
          </rPr>
          <t xml:space="preserve">The FIT contract length is the number of years for which the rate specified by this model is available. This term is established by policymakers and must be less than or equal to the project's useful life.  
The contract duration is also different than the debt tenor (if applicable), which is specified in the Permanent Financing section below.
</t>
        </r>
      </text>
    </comment>
    <comment ref="I697" authorId="1" shapeId="0" xr:uid="{AA847542-3107-4070-A1F7-C319AFC48A7A}">
      <text>
        <r>
          <rPr>
            <b/>
            <sz val="14"/>
            <color indexed="81"/>
            <rFont val="Tahoma"/>
            <family val="2"/>
          </rPr>
          <t>Note:</t>
        </r>
        <r>
          <rPr>
            <sz val="14"/>
            <color indexed="81"/>
            <rFont val="Tahoma"/>
            <family val="2"/>
          </rPr>
          <t xml:space="preserve">
Capacity Factor is the % representation of the actual production vs. the theoretical maximum annual production of an energy project. This model requires the input of a </t>
        </r>
        <r>
          <rPr>
            <b/>
            <sz val="14"/>
            <color indexed="81"/>
            <rFont val="Tahoma"/>
            <family val="2"/>
          </rPr>
          <t>Net Capacity Factor</t>
        </r>
        <r>
          <rPr>
            <sz val="14"/>
            <color indexed="81"/>
            <rFont val="Tahoma"/>
            <family val="2"/>
          </rPr>
          <t xml:space="preserve">, meaning that the estimate of actual energy production should take into account all electricity losses (including those incurred between the generating facility and the contract delivery point), scheduled and unscheduled maintenance, forced outages, wake effects, icing, and any other factors that could reduce production.
Wind projects typically have a capacity factor between 25% and 40% depending on region and site-specific topography. 
Input must be between 0% and 100%.
</t>
        </r>
      </text>
    </comment>
    <comment ref="S697" authorId="1" shapeId="0" xr:uid="{4DE74520-4A35-465F-B420-8050CB5402A8}">
      <text>
        <r>
          <rPr>
            <b/>
            <sz val="14"/>
            <color indexed="81"/>
            <rFont val="Tahoma"/>
            <family val="2"/>
          </rPr>
          <t xml:space="preserve">Note:
</t>
        </r>
        <r>
          <rPr>
            <sz val="14"/>
            <color indexed="81"/>
            <rFont val="Tahoma"/>
            <family val="2"/>
          </rPr>
          <t xml:space="preserve">This is the portion (%) of the tariff which is subject to annual escalation.  
Program administrators may determine that some or all of the tariff rate should be escalated to reflect the uncertainty associated with the future cost of owning and operating an electricity generating facility. This input is separate from the inflation assumed to apply to certain O&amp;M expenses, which is provided as an input in the O&amp;M section below.
Input must be between 0% and 100%.
</t>
        </r>
      </text>
    </comment>
    <comment ref="I698" authorId="1" shapeId="0" xr:uid="{DC6E9072-95F9-4491-A259-550D88B69581}">
      <text>
        <r>
          <rPr>
            <b/>
            <sz val="14"/>
            <color indexed="81"/>
            <rFont val="Tahoma"/>
            <family val="2"/>
          </rPr>
          <t>Note:</t>
        </r>
        <r>
          <rPr>
            <sz val="14"/>
            <color indexed="81"/>
            <rFont val="Tahoma"/>
            <family val="2"/>
          </rPr>
          <t xml:space="preserve">
This is a calculation, based on the system size and capacity factor provided above. 
</t>
        </r>
      </text>
    </comment>
    <comment ref="S698" authorId="1" shapeId="0" xr:uid="{C4718E89-8F66-4617-99AD-1CDA9FF85C35}">
      <text>
        <r>
          <rPr>
            <b/>
            <sz val="14"/>
            <color indexed="81"/>
            <rFont val="Tahoma"/>
            <family val="2"/>
          </rPr>
          <t xml:space="preserve">Note:
</t>
        </r>
        <r>
          <rPr>
            <sz val="14"/>
            <color indexed="81"/>
            <rFont val="Tahoma"/>
            <family val="2"/>
          </rPr>
          <t xml:space="preserve">To calculate a </t>
        </r>
        <r>
          <rPr>
            <b/>
            <sz val="14"/>
            <color indexed="81"/>
            <rFont val="Tahoma"/>
            <family val="2"/>
          </rPr>
          <t>nominal levelized tariff rate</t>
        </r>
        <r>
          <rPr>
            <sz val="14"/>
            <color indexed="81"/>
            <rFont val="Tahoma"/>
            <family val="2"/>
          </rPr>
          <t xml:space="preserve">, the "feed-in tariff escalation rate" field should be </t>
        </r>
        <r>
          <rPr>
            <b/>
            <sz val="14"/>
            <color indexed="81"/>
            <rFont val="Tahoma"/>
            <family val="2"/>
          </rPr>
          <t>set to zero</t>
        </r>
        <r>
          <rPr>
            <sz val="14"/>
            <color indexed="81"/>
            <rFont val="Tahoma"/>
            <family val="2"/>
          </rPr>
          <t>.</t>
        </r>
        <r>
          <rPr>
            <b/>
            <sz val="14"/>
            <color indexed="81"/>
            <rFont val="Tahoma"/>
            <family val="2"/>
          </rPr>
          <t xml:space="preserve">
</t>
        </r>
        <r>
          <rPr>
            <sz val="14"/>
            <color indexed="81"/>
            <rFont val="Tahoma"/>
            <family val="2"/>
          </rPr>
          <t xml:space="preserve">Where applied, tariff rate escalation is intended to serve as a risk mitigating tool, at least partially protecting the project investor from the uncertainty associated with the future cost of owning and operating the renewable energy facility. The escalation rate can be used to assume a year over year increase in all, or a portion, of the per unit payment provided to eligible generators. This concept is separate from inflationary adjustments to future operating cost assumptions -- which are input below.
This rate is applied annually.  Note that in this model, calendar years and tariff years are aligned.
</t>
        </r>
        <r>
          <rPr>
            <b/>
            <sz val="14"/>
            <color indexed="81"/>
            <rFont val="Tahoma"/>
            <family val="2"/>
          </rPr>
          <t>Caution:</t>
        </r>
        <r>
          <rPr>
            <sz val="14"/>
            <color indexed="81"/>
            <rFont val="Tahoma"/>
            <family val="2"/>
          </rPr>
          <t xml:space="preserve"> A value must be entered into this cell in order for the model to function properly. The input can be positive or negative (if the FIT value decreases over time), and a typical value may fall between 0% and 5%.  
</t>
        </r>
      </text>
    </comment>
    <comment ref="I699" authorId="1" shapeId="0" xr:uid="{01AFD4FE-863D-4E70-8367-F46B8ADAE8A3}">
      <text>
        <r>
          <rPr>
            <b/>
            <sz val="14"/>
            <color indexed="81"/>
            <rFont val="Tahoma"/>
            <family val="2"/>
          </rPr>
          <t>Note:</t>
        </r>
        <r>
          <rPr>
            <sz val="14"/>
            <color indexed="81"/>
            <rFont val="Tahoma"/>
            <family val="2"/>
          </rPr>
          <t xml:space="preserve">
The natural aging of the mechanical components of a wind turbine generator may lead to a drop in turbine availability (or efficiency), and therefore production, over time.  
This input allows the user to model the potential for such degradation, which may be between 0% and 2% per year.
</t>
        </r>
        <r>
          <rPr>
            <b/>
            <sz val="14"/>
            <color indexed="81"/>
            <rFont val="Tahoma"/>
            <family val="2"/>
          </rPr>
          <t>If the modeled "Net Capacity Factor" is intented to take long-term average availability into account, then the user may wish to enter 0% in the Annual Production Degradation field.</t>
        </r>
        <r>
          <rPr>
            <sz val="14"/>
            <color indexed="81"/>
            <rFont val="Tahoma"/>
            <family val="2"/>
          </rPr>
          <t xml:space="preserve">
Input must be =&gt; 0%.
</t>
        </r>
      </text>
    </comment>
    <comment ref="I700" authorId="1" shapeId="0" xr:uid="{F6DBF227-FA4E-48CF-BCAF-078E1AACC5D3}">
      <text>
        <r>
          <rPr>
            <b/>
            <sz val="14"/>
            <color indexed="81"/>
            <rFont val="Tahoma"/>
            <family val="2"/>
          </rPr>
          <t xml:space="preserve">Note:
</t>
        </r>
        <r>
          <rPr>
            <sz val="14"/>
            <color indexed="81"/>
            <rFont val="Tahoma"/>
            <family val="2"/>
          </rPr>
          <t xml:space="preserve">The Project Useful Life is the number of years that the project is expected to be fully operational, reliably delivering electricity to the grid, and generating revenue. This concept is different from the FIT Contract Length, which is administratively determined by policymakers. These two values may be the same if a FIT contract is offered for the project's entire expected useful life. This approach is likely to generate the lowest tariff rate, while successfully attracting investors to renewable energy projects.  
The CREST model is built for a maximum Project Useful Life of 30 years.
Input must be greater than 0 and less than or equal to 30.
</t>
        </r>
      </text>
    </comment>
    <comment ref="S700" authorId="1" shapeId="0" xr:uid="{BA728DC2-457E-4FC6-AD0C-95FD59AF6309}">
      <text>
        <r>
          <rPr>
            <b/>
            <sz val="14"/>
            <color indexed="81"/>
            <rFont val="Tahoma"/>
            <family val="2"/>
          </rPr>
          <t xml:space="preserve">Note:
</t>
        </r>
        <r>
          <rPr>
            <sz val="14"/>
            <color indexed="81"/>
            <rFont val="Tahoma"/>
            <family val="2"/>
          </rPr>
          <t>If the designated "FIT Contract Length" is less than the defined "Project Useful Life", then this grouping of inputs is used to calculate the project's market-based revenue during the period from FIT contract expiration to the end of the project's life.</t>
        </r>
        <r>
          <rPr>
            <b/>
            <sz val="14"/>
            <color indexed="81"/>
            <rFont val="Tahoma"/>
            <family val="2"/>
          </rPr>
          <t xml:space="preserve">
</t>
        </r>
        <r>
          <rPr>
            <sz val="14"/>
            <color indexed="81"/>
            <rFont val="Tahoma"/>
            <family val="2"/>
          </rPr>
          <t xml:space="preserve">
</t>
        </r>
      </text>
    </comment>
    <comment ref="S701" authorId="1" shapeId="0" xr:uid="{7DA11E03-B8F2-474A-A09F-D95717549547}">
      <text>
        <r>
          <rPr>
            <b/>
            <sz val="14"/>
            <color indexed="81"/>
            <rFont val="Tahoma"/>
            <family val="2"/>
          </rPr>
          <t xml:space="preserve">Note:
</t>
        </r>
        <r>
          <rPr>
            <sz val="14"/>
            <color indexed="81"/>
            <rFont val="Tahoma"/>
            <family val="2"/>
          </rPr>
          <t>Selecting "Year One" forecasts the total market value of production based on an estimate of that value in the project's first year of commercial operation and a user-defined escalation rate.  
Selecting "Year-by-Year" enables the user to enter unique annual values for the period after the FIT expires and before the end of the project's useful life.</t>
        </r>
        <r>
          <rPr>
            <b/>
            <sz val="14"/>
            <color indexed="81"/>
            <rFont val="Tahoma"/>
            <family val="2"/>
          </rPr>
          <t xml:space="preserve">
</t>
        </r>
        <r>
          <rPr>
            <sz val="14"/>
            <color indexed="81"/>
            <rFont val="Tahoma"/>
            <family val="2"/>
          </rPr>
          <t xml:space="preserve">
</t>
        </r>
      </text>
    </comment>
    <comment ref="F702" authorId="0" shapeId="0" xr:uid="{AF2E3A0E-A1CB-43D3-AE78-4F2EB49A0563}">
      <text>
        <r>
          <rPr>
            <b/>
            <sz val="8"/>
            <color indexed="81"/>
            <rFont val="Tahoma"/>
            <family val="2"/>
          </rPr>
          <t>See "unit" definitions at the bottom of this worksheet.</t>
        </r>
        <r>
          <rPr>
            <sz val="8"/>
            <color indexed="81"/>
            <rFont val="Tahoma"/>
            <family val="2"/>
          </rPr>
          <t xml:space="preserve">
</t>
        </r>
      </text>
    </comment>
    <comment ref="S702" authorId="1" shapeId="0" xr:uid="{775E4BB3-8372-4D53-A66E-9B83CED78729}">
      <text>
        <r>
          <rPr>
            <b/>
            <sz val="14"/>
            <color indexed="81"/>
            <rFont val="Tahoma"/>
            <family val="2"/>
          </rPr>
          <t xml:space="preserve">Note:
</t>
        </r>
        <r>
          <rPr>
            <sz val="14"/>
            <color indexed="81"/>
            <rFont val="Tahoma"/>
            <family val="2"/>
          </rPr>
          <t xml:space="preserve">This is the </t>
        </r>
        <r>
          <rPr>
            <b/>
            <sz val="14"/>
            <color indexed="81"/>
            <rFont val="Tahoma"/>
            <family val="2"/>
          </rPr>
          <t>combined</t>
        </r>
        <r>
          <rPr>
            <sz val="14"/>
            <color indexed="81"/>
            <rFont val="Tahoma"/>
            <family val="2"/>
          </rPr>
          <t xml:space="preserve"> (or "bundled") market value of energy + capacity + Renewable Energy Credtis (RECs) in the same year in which the project's first enters commercial operation.
This input must be greater than zero.
</t>
        </r>
      </text>
    </comment>
    <comment ref="I703" authorId="1" shapeId="0" xr:uid="{ECF93603-FFB1-4F69-8637-F5064A08FCF3}">
      <text>
        <r>
          <rPr>
            <b/>
            <sz val="14"/>
            <color indexed="81"/>
            <rFont val="Tahoma"/>
            <family val="2"/>
          </rPr>
          <t>Note:</t>
        </r>
        <r>
          <rPr>
            <sz val="14"/>
            <color indexed="81"/>
            <rFont val="Tahoma"/>
            <family val="2"/>
          </rPr>
          <t xml:space="preserve">
This model alllows the user to input system cost at 1 of 3 levels of detail: "simple", "intermediate" or "complex." Simple offers a single input in $/kW, Intermediate offers five cost subcategories in total dollars, and Complex offers line-by-line project costing with user-defined categories and costs per line-item.  
Select your preferred method and use the cells below to enter your cost information. If you choose the "Complex" option, you will need to follow the link below to the "Complex Capital Costs" tab.</t>
        </r>
      </text>
    </comment>
    <comment ref="S703" authorId="1" shapeId="0" xr:uid="{07AA61B1-5652-4B49-B114-68057952352C}">
      <text>
        <r>
          <rPr>
            <b/>
            <sz val="14"/>
            <color indexed="81"/>
            <rFont val="Tahoma"/>
            <family val="2"/>
          </rPr>
          <t xml:space="preserve">Note:
</t>
        </r>
        <r>
          <rPr>
            <sz val="14"/>
            <color indexed="81"/>
            <rFont val="Tahoma"/>
            <family val="2"/>
          </rPr>
          <t xml:space="preserve">When the "Year One" forecast methodology is selected, this is the user-defined escalation rate at which the market value of production is expected to change.
Input must be greater than zero.
</t>
        </r>
      </text>
    </comment>
    <comment ref="I704" authorId="1" shapeId="0" xr:uid="{6C61F403-17E0-49C2-93C2-A18A24F1B367}">
      <text>
        <r>
          <rPr>
            <b/>
            <sz val="14"/>
            <color indexed="81"/>
            <rFont val="Tahoma"/>
            <family val="2"/>
          </rPr>
          <t>Note:</t>
        </r>
        <r>
          <rPr>
            <sz val="14"/>
            <color indexed="81"/>
            <rFont val="Tahoma"/>
            <family val="2"/>
          </rPr>
          <t xml:space="preserve">
When "Simple" is selected in the Cost Level of Detail cell, this "Total Installed Cost" row represents the total expected all-in project cost, which should include all hardware, balance of plant, interconnection, design, construction, permitting, development (including developer fee), interest during construction and financing costs. This figure should not account for any tax incentives, grants, or other cash incentives, each of which will be addressed elsewhere in the model. This figure should, however, reflect any applicable sales tax or exemptions thereof.
Input must be greater than zero.
</t>
        </r>
      </text>
    </comment>
    <comment ref="S704" authorId="1" shapeId="0" xr:uid="{1C807254-DD7E-452C-A1A0-80547C290BB9}">
      <text>
        <r>
          <rPr>
            <b/>
            <sz val="14"/>
            <color indexed="81"/>
            <rFont val="Tahoma"/>
            <family val="2"/>
          </rPr>
          <t xml:space="preserve">Note:
</t>
        </r>
        <r>
          <rPr>
            <sz val="14"/>
            <color indexed="81"/>
            <rFont val="Tahoma"/>
            <family val="2"/>
          </rPr>
          <t xml:space="preserve">When "Year-by-Year" market value of production forecast is selected, this link brings the user to another worksheet on which unique annual values may be entered.
</t>
        </r>
      </text>
    </comment>
    <comment ref="I705" authorId="1" shapeId="0" xr:uid="{5BC22B0F-BCE1-4DF3-BA3F-53ED4EC2861B}">
      <text>
        <r>
          <rPr>
            <b/>
            <sz val="14"/>
            <color indexed="81"/>
            <rFont val="Tahoma"/>
            <family val="2"/>
          </rPr>
          <t>Note:</t>
        </r>
        <r>
          <rPr>
            <sz val="14"/>
            <color indexed="81"/>
            <rFont val="Tahoma"/>
            <family val="2"/>
          </rPr>
          <t xml:space="preserve">
"Generation Equipment" should include hardware such as the generator, blades and tower.  
Caution: the model assumes that if "Intermediate" is selected as the level of detail section, the "Generation Equipment" row must have a value greater than zero. 
</t>
        </r>
      </text>
    </comment>
    <comment ref="I706" authorId="1" shapeId="0" xr:uid="{2D28A0A5-EBCF-426E-901D-20AA80771F87}">
      <text>
        <r>
          <rPr>
            <b/>
            <sz val="14"/>
            <color indexed="81"/>
            <rFont val="Tahoma"/>
            <family val="2"/>
          </rPr>
          <t>Note:</t>
        </r>
        <r>
          <rPr>
            <sz val="14"/>
            <color indexed="81"/>
            <rFont val="Tahoma"/>
            <family val="2"/>
          </rPr>
          <t xml:space="preserve">
Balance of Plant (also known as Balance of System) represents all infrastructure, site prep and labor supporting the installation of the generation equipment. BOP costs include foundations, mounting devices, other hardware, and labor not already accounted for in the "Generation Equipment" row.
Input cannot be less than zero.
</t>
        </r>
      </text>
    </comment>
    <comment ref="P706" authorId="0" shapeId="0" xr:uid="{CEA5F663-2CF3-428C-9F80-BE562EB2CA48}">
      <text>
        <r>
          <rPr>
            <b/>
            <sz val="8"/>
            <color indexed="81"/>
            <rFont val="Tahoma"/>
            <family val="2"/>
          </rPr>
          <t>See "unit" definitions at the bottom of this worksheet.</t>
        </r>
        <r>
          <rPr>
            <sz val="8"/>
            <color indexed="81"/>
            <rFont val="Tahoma"/>
            <family val="2"/>
          </rPr>
          <t xml:space="preserve">
</t>
        </r>
      </text>
    </comment>
    <comment ref="I707" authorId="1" shapeId="0" xr:uid="{A73DCE08-EC24-48FE-98C1-9209A56A4DD1}">
      <text>
        <r>
          <rPr>
            <b/>
            <sz val="14"/>
            <color indexed="81"/>
            <rFont val="Tahoma"/>
            <family val="2"/>
          </rPr>
          <t>Note:</t>
        </r>
        <r>
          <rPr>
            <sz val="14"/>
            <color indexed="81"/>
            <rFont val="Tahoma"/>
            <family val="2"/>
          </rPr>
          <t xml:space="preserve">
The "Interconnection" row should account for all project costs relating to connecting to the grid, such as the construction of transmission lines, permitting costs with the utility, and start-up costs. This category will also include the cost of a new substation, if necessary.
Regulators wishing to explore the potential that interconnection costs may be recovered from ratepayers separately can elect to enter zeros in this cost category whenever "Intermediate" or "Complex" is selected.
Input cannot be less than zero.
</t>
        </r>
      </text>
    </comment>
    <comment ref="S707" authorId="0" shapeId="0" xr:uid="{460923C0-1F76-40D0-94AE-0B89B653C662}">
      <text>
        <r>
          <rPr>
            <b/>
            <sz val="14"/>
            <color indexed="81"/>
            <rFont val="Tahoma"/>
            <family val="2"/>
          </rPr>
          <t xml:space="preserve">Note:
</t>
        </r>
        <r>
          <rPr>
            <sz val="14"/>
            <color indexed="81"/>
            <rFont val="Tahoma"/>
            <family val="2"/>
          </rPr>
          <t>This drop-down input cell allows the user to specify whether federal incentives are cost-based (e.g. an investment tax credit) or performance-based (e.g. a PTC). The magnitude and terms of these incentives are set in the cells below.
For more information, a useful resource for researching federal and state incentives online is:  
http://dsireusa.org/
*See bottom of introduction page for a list of links</t>
        </r>
      </text>
    </comment>
    <comment ref="E708" authorId="0" shapeId="0" xr:uid="{B801916F-AF67-4EB1-8B30-747E7CE2B053}">
      <text>
        <r>
          <rPr>
            <b/>
            <sz val="14"/>
            <color indexed="81"/>
            <rFont val="Tahoma"/>
            <family val="2"/>
          </rPr>
          <t>Jason Gifford:</t>
        </r>
        <r>
          <rPr>
            <sz val="14"/>
            <color indexed="81"/>
            <rFont val="Tahoma"/>
            <family val="2"/>
          </rPr>
          <t xml:space="preserve">
Converted to "admin cost" for community remote DG</t>
        </r>
      </text>
    </comment>
    <comment ref="I708" authorId="1" shapeId="0" xr:uid="{13B7557B-5208-4343-95B7-2E013850D0C9}">
      <text>
        <r>
          <rPr>
            <b/>
            <sz val="14"/>
            <color indexed="81"/>
            <rFont val="Tahoma"/>
            <family val="2"/>
          </rPr>
          <t>Note:</t>
        </r>
        <r>
          <rPr>
            <sz val="8"/>
            <color indexed="81"/>
            <rFont val="Tahoma"/>
            <family val="2"/>
          </rPr>
          <t xml:space="preserve">
</t>
        </r>
        <r>
          <rPr>
            <sz val="14"/>
            <color indexed="81"/>
            <rFont val="Tahoma"/>
            <family val="2"/>
          </rPr>
          <t xml:space="preserve">The "Development Costs" row should include all costs relating to project management, studies, engineering, permitting, contingencies, success fees, and other soft costs not accounted for elsewhere in the "Intermediate" cost breakdown. 
Input cannot be less than zero.
</t>
        </r>
      </text>
    </comment>
    <comment ref="S708" authorId="1" shapeId="0" xr:uid="{B45B8781-ECE3-43AC-97C8-152B403AAC61}">
      <text>
        <r>
          <rPr>
            <b/>
            <sz val="14"/>
            <color indexed="81"/>
            <rFont val="Tahoma"/>
            <family val="2"/>
          </rPr>
          <t xml:space="preserve">Note:
</t>
        </r>
        <r>
          <rPr>
            <sz val="14"/>
            <color indexed="81"/>
            <rFont val="Tahoma"/>
            <family val="2"/>
          </rPr>
          <t>Some renewable energy projects may be eligible to take advantagee of Federal incentives such as the Investment Tax Credit or a Treasury Grant. Information on eligibility for funding opportunities such as these is available online at:
http://dsireusa.org/incentives/incentive.cfm?Incentive_Code=US02F&amp;re=1&amp;ee=1
*See bottom of introduction page for a list of links</t>
        </r>
        <r>
          <rPr>
            <b/>
            <sz val="14"/>
            <color indexed="81"/>
            <rFont val="Tahoma"/>
            <family val="2"/>
          </rPr>
          <t xml:space="preserve">
</t>
        </r>
        <r>
          <rPr>
            <sz val="14"/>
            <color indexed="81"/>
            <rFont val="Tahoma"/>
            <family val="2"/>
          </rPr>
          <t xml:space="preserve">
</t>
        </r>
      </text>
    </comment>
    <comment ref="I709" authorId="1" shapeId="0" xr:uid="{5FFA2F2D-F3F5-44E8-8014-C922220D9D5B}">
      <text>
        <r>
          <rPr>
            <b/>
            <sz val="14"/>
            <color indexed="81"/>
            <rFont val="Tahoma"/>
            <family val="2"/>
          </rPr>
          <t>Note:</t>
        </r>
        <r>
          <rPr>
            <sz val="14"/>
            <color indexed="81"/>
            <rFont val="Tahoma"/>
            <family val="2"/>
          </rPr>
          <t xml:space="preserve">
The "Reserves &amp; Financing Costs" row accounts for all costs relating to financing, such as lender fees, closing costs, legal fees, interest during construction, due diligence costs, and any other relevant, financing relating costs. The model calculates this field by aggregating G22 through G25, G51, G54, G63, G66, Q57 and Q60.
</t>
        </r>
      </text>
    </comment>
    <comment ref="S709" authorId="0" shapeId="0" xr:uid="{2EF7B0CB-BF65-4422-AC9D-8B0DA8BBB768}">
      <text>
        <r>
          <rPr>
            <b/>
            <sz val="14"/>
            <color indexed="81"/>
            <rFont val="Tahoma"/>
            <family val="2"/>
          </rPr>
          <t xml:space="preserve">NOTE:
</t>
        </r>
        <r>
          <rPr>
            <sz val="14"/>
            <color indexed="81"/>
            <rFont val="Tahoma"/>
            <family val="2"/>
          </rPr>
          <t xml:space="preserve">The maximum potential Investment Tax Credit (ITC) benefit is assumed to be 30% of those project costs which are depreciable on the 5-year MACRS schedule.  This 'eligible costs' assumption is purposefully simplified for this analysis.  Project costs depreciated on other bases may also be eligible for the ITC.  Developers should consult with tax counsel for project-specific depreciation and ITC treatment of each project cost.
</t>
        </r>
        <r>
          <rPr>
            <sz val="8"/>
            <color indexed="81"/>
            <rFont val="Tahoma"/>
            <family val="2"/>
          </rPr>
          <t xml:space="preserve">
</t>
        </r>
      </text>
    </comment>
    <comment ref="I710" authorId="1" shapeId="0" xr:uid="{22C5E860-E1AD-48C3-B4E1-29725D7E15CF}">
      <text>
        <r>
          <rPr>
            <b/>
            <sz val="14"/>
            <color indexed="81"/>
            <rFont val="Tahoma"/>
            <family val="2"/>
          </rPr>
          <t>Note:</t>
        </r>
        <r>
          <rPr>
            <sz val="14"/>
            <color indexed="81"/>
            <rFont val="Tahoma"/>
            <family val="2"/>
          </rPr>
          <t xml:space="preserve">
If you wish to enter your project costs under the "Complex" format, select Complex from the drop-down menu and use the link to the left to access additional worksheets which provide the opportunitiy to add significant, additional detail on project costs. Once complete, the model will roll up the detailed costs and populate this row with the resultant final project cost. </t>
        </r>
      </text>
    </comment>
    <comment ref="S710" authorId="0" shapeId="0" xr:uid="{B863D719-1335-48C6-AD5E-06322BBF4C52}">
      <text>
        <r>
          <rPr>
            <b/>
            <sz val="14"/>
            <color indexed="81"/>
            <rFont val="Tahoma"/>
            <family val="2"/>
          </rPr>
          <t xml:space="preserve">NOTE:
</t>
        </r>
        <r>
          <rPr>
            <sz val="14"/>
            <color indexed="81"/>
            <rFont val="Tahoma"/>
            <family val="2"/>
          </rPr>
          <t xml:space="preserve">As a tax </t>
        </r>
        <r>
          <rPr>
            <u/>
            <sz val="14"/>
            <color indexed="81"/>
            <rFont val="Tahoma"/>
            <family val="2"/>
          </rPr>
          <t>credit</t>
        </r>
        <r>
          <rPr>
            <sz val="14"/>
            <color indexed="81"/>
            <rFont val="Tahoma"/>
            <family val="2"/>
          </rPr>
          <t>, the ITC is only usable by project owners with positive federal income tax liability.  
In cases where the owner's tax liability in the calendar year of the project's first commercial operation exceeds the ITC amount, the user may enter 100% in this field and assume full utilization of the ITC.
If the owner's tax liability is less than the available ITC, the user may either enter a % value less than 100% or select the "carried forward" method in the "Tax Benefits used as generated or carried forward?" cell.  
Input must be between 0% and 100%.</t>
        </r>
        <r>
          <rPr>
            <sz val="8"/>
            <color indexed="81"/>
            <rFont val="Tahoma"/>
            <family val="2"/>
          </rPr>
          <t xml:space="preserve">
</t>
        </r>
      </text>
    </comment>
    <comment ref="I711" authorId="1" shapeId="0" xr:uid="{15D2941D-52F0-4820-A011-1F57BF5D4166}">
      <text>
        <r>
          <rPr>
            <b/>
            <sz val="14"/>
            <color indexed="81"/>
            <rFont val="Tahoma"/>
            <family val="2"/>
          </rPr>
          <t>Note:</t>
        </r>
        <r>
          <rPr>
            <sz val="14"/>
            <color indexed="81"/>
            <rFont val="Tahoma"/>
            <family val="2"/>
          </rPr>
          <t xml:space="preserve">
The total system cost is a calculation, based on the level of detail selected and the assocated inputs.
</t>
        </r>
      </text>
    </comment>
    <comment ref="S711" authorId="0" shapeId="0" xr:uid="{0BCCD938-5D35-47C7-ABA6-8613A1424DC9}">
      <text>
        <r>
          <rPr>
            <b/>
            <sz val="14"/>
            <color indexed="81"/>
            <rFont val="Tahoma"/>
            <family val="2"/>
          </rPr>
          <t xml:space="preserve">Note:
</t>
        </r>
        <r>
          <rPr>
            <sz val="14"/>
            <color indexed="81"/>
            <rFont val="Tahoma"/>
            <family val="2"/>
          </rPr>
          <t xml:space="preserve">Calculates the dollar value of the Investment Tax Credit or Cash Grant, if applicable.
</t>
        </r>
      </text>
    </comment>
    <comment ref="I712" authorId="1" shapeId="0" xr:uid="{71C5B599-8D4B-4FC6-BBCD-FCD809629CEA}">
      <text>
        <r>
          <rPr>
            <b/>
            <sz val="14"/>
            <color indexed="81"/>
            <rFont val="Tahoma"/>
            <family val="2"/>
          </rPr>
          <t>Note:</t>
        </r>
        <r>
          <rPr>
            <sz val="14"/>
            <color indexed="81"/>
            <rFont val="Tahoma"/>
            <family val="2"/>
          </rPr>
          <t xml:space="preserve">
Calculation based on the total system cost in the cell above and the system size reported. Typical costs (as of 2010) fall between $2,000/kW and $3,000/kW.</t>
        </r>
        <r>
          <rPr>
            <sz val="8"/>
            <color indexed="81"/>
            <rFont val="Tahoma"/>
            <family val="2"/>
          </rPr>
          <t xml:space="preserve">
</t>
        </r>
      </text>
    </comment>
    <comment ref="S712" authorId="0" shapeId="0" xr:uid="{2C84E03F-9069-4830-8782-84DC76764F34}">
      <text>
        <r>
          <rPr>
            <b/>
            <sz val="14"/>
            <color indexed="81"/>
            <rFont val="Tahoma"/>
            <family val="2"/>
          </rPr>
          <t xml:space="preserve">Note: </t>
        </r>
        <r>
          <rPr>
            <sz val="14"/>
            <color indexed="81"/>
            <rFont val="Tahoma"/>
            <family val="2"/>
          </rPr>
          <t xml:space="preserve">
This input cell, the "Performance Based Incentive" or "PBI" is another potential incentive available to some specific projects. The PBI would be separate from a feed-in-tariff, but acts similarly in that it is per unit of production (typically kWh) income to a project.
Some examples of PBIs include the Federal Production Tax Credit (applicable to private projects with tax appetites) and the Federal Renewable Energy Production Incentive (REPI), historically available to some public projects.
</t>
        </r>
      </text>
    </comment>
    <comment ref="I713" authorId="1" shapeId="0" xr:uid="{78905D07-7EAD-460B-AFCA-C4EF62665A24}">
      <text>
        <r>
          <rPr>
            <b/>
            <sz val="14"/>
            <color indexed="81"/>
            <rFont val="Tahoma"/>
            <family val="2"/>
          </rPr>
          <t xml:space="preserve">Note:
</t>
        </r>
        <r>
          <rPr>
            <sz val="14"/>
            <color indexed="81"/>
            <rFont val="Tahoma"/>
            <family val="2"/>
          </rPr>
          <t xml:space="preserve">This cell calculates the total of all applicable grants, excluding the payment in lieu of the Federal ITC (also known as the ITC Cash Grant, or Cash Grant), if applicable.  The ITC Cash Grant is considered separately because unlike grants issued upfront and used to offset capital costs, the ITC Cash Grant is disbursed approxiamtely 60 days after the start of commercial operations and therefore becomes an integral part of the project's financing.
Where grants are treated as taxable income, this cell calculates the after-tax impact on the total cost of the project.
  </t>
        </r>
        <r>
          <rPr>
            <sz val="8"/>
            <color indexed="81"/>
            <rFont val="Tahoma"/>
            <family val="2"/>
          </rPr>
          <t xml:space="preserve">
</t>
        </r>
      </text>
    </comment>
    <comment ref="S713" authorId="0" shapeId="0" xr:uid="{A2CC95D7-CCC2-4D79-A61A-D171AD53825B}">
      <text>
        <r>
          <rPr>
            <b/>
            <sz val="14"/>
            <color indexed="81"/>
            <rFont val="Tahoma"/>
            <family val="2"/>
          </rPr>
          <t xml:space="preserve">Note: </t>
        </r>
        <r>
          <rPr>
            <sz val="14"/>
            <color indexed="81"/>
            <rFont val="Tahoma"/>
            <family val="2"/>
          </rPr>
          <t xml:space="preserve">
This cell denotes the value of the Performance Based Incentive applicable to the project's first year of commercial operation. In some cases, this value will need to be calculated external to the model if such PBI is derived from a "base year" and specified inflation index. The following cells can be used to account for inflation and the maximum term of eligibility.
Input cannot be less than zero.
</t>
        </r>
      </text>
    </comment>
    <comment ref="I714" authorId="1" shapeId="0" xr:uid="{9C960520-47E2-4119-8C8B-B3CB829B1C72}">
      <text>
        <r>
          <rPr>
            <b/>
            <sz val="14"/>
            <color indexed="81"/>
            <rFont val="Tahoma"/>
            <family val="2"/>
          </rPr>
          <t>Note:</t>
        </r>
        <r>
          <rPr>
            <sz val="14"/>
            <color indexed="81"/>
            <rFont val="Tahoma"/>
            <family val="2"/>
          </rPr>
          <t xml:space="preserve">
Calculation of total project cost net applicable grants. 
</t>
        </r>
      </text>
    </comment>
    <comment ref="S714" authorId="0" shapeId="0" xr:uid="{64363AC6-757C-4BA7-A4B0-3D751B92368E}">
      <text>
        <r>
          <rPr>
            <b/>
            <sz val="14"/>
            <color indexed="81"/>
            <rFont val="Tahoma"/>
            <family val="2"/>
          </rPr>
          <t>Note:</t>
        </r>
        <r>
          <rPr>
            <sz val="14"/>
            <color indexed="81"/>
            <rFont val="Tahoma"/>
            <family val="2"/>
          </rPr>
          <t xml:space="preserve">
This is the length of time that a project would be eligible for any Performance Based Incentives outlined in the cell immediately above. For example, the Federal Renewable Energy Production Incentive and Production Tax Credit incentives are available for the first 10 years of project operation.
Input cannot be less than zero.
</t>
        </r>
      </text>
    </comment>
    <comment ref="I715" authorId="1" shapeId="0" xr:uid="{AE76F57B-F9F8-4E83-9E3C-DF24C33C2607}">
      <text>
        <r>
          <rPr>
            <b/>
            <sz val="14"/>
            <color indexed="81"/>
            <rFont val="Tahoma"/>
            <family val="2"/>
          </rPr>
          <t xml:space="preserve">Note:
</t>
        </r>
        <r>
          <rPr>
            <sz val="14"/>
            <color indexed="81"/>
            <rFont val="Tahoma"/>
            <family val="2"/>
          </rPr>
          <t xml:space="preserve">Calculation, based on net project cost and total installed capacity. 
</t>
        </r>
      </text>
    </comment>
    <comment ref="S715" authorId="0" shapeId="0" xr:uid="{1CD8B6C9-7A4D-4548-822F-5DD2F37D1BEE}">
      <text>
        <r>
          <rPr>
            <b/>
            <sz val="14"/>
            <color indexed="81"/>
            <rFont val="Tahoma"/>
            <family val="2"/>
          </rPr>
          <t xml:space="preserve">Note:
</t>
        </r>
        <r>
          <rPr>
            <sz val="14"/>
            <color indexed="81"/>
            <rFont val="Tahoma"/>
            <family val="2"/>
          </rPr>
          <t xml:space="preserve">Performance Based Incentives are often adjusted to account for inflation. For example, the Federal Production Tax Credit (PTC) is adjusted each year to account for changes in the GDP IPD index. This cell can be used as a proxy for the inflation that would apply to any PBI incentive entered above.
This input cannot be left blank.
</t>
        </r>
        <r>
          <rPr>
            <sz val="8"/>
            <color indexed="81"/>
            <rFont val="Tahoma"/>
            <family val="2"/>
          </rPr>
          <t xml:space="preserve">
</t>
        </r>
      </text>
    </comment>
    <comment ref="S716" authorId="0" shapeId="0" xr:uid="{8704B87B-C69C-4EB7-904B-5058241DC49F}">
      <text>
        <r>
          <rPr>
            <b/>
            <sz val="14"/>
            <color indexed="81"/>
            <rFont val="Tahoma"/>
            <family val="2"/>
          </rPr>
          <t xml:space="preserve">Note:
</t>
        </r>
        <r>
          <rPr>
            <sz val="14"/>
            <color indexed="81"/>
            <rFont val="Tahoma"/>
            <family val="2"/>
          </rPr>
          <t>In some cases, due to the nature of the requirements of some Performance Based Incentive programs, project owners are unable to maximize the full revenue stream of the incentive. For example, in the case of the Federal Production Tax Credit (PTC), the project owner may not have sufficienct tax appetite to fully utilize the tax credits. 
This input cell would allow the modeler to account for the owner's inability to fully utilize the PTC and/or the reduction of the PTC (a "haircut") due to the presence of subsidized (below market interest rate) financing.
Incentive "availability" will likely be a factor if this cell is being used to model the cash-based Renewable Energy Production Incentive (REPI).  The REPI program has historically been underfunded; available monies are allocated pro rata among eligible projects.  In this case, the value entered in this cell should reflect the user's expectation of the fraction of the face value REPI payment that will be available over the applicable incentive term.
Input must be between 0% to 100%.</t>
        </r>
      </text>
    </comment>
    <comment ref="F717" authorId="0" shapeId="0" xr:uid="{C6ED7E15-04FE-4F1D-A997-7F7EAAFDE516}">
      <text>
        <r>
          <rPr>
            <b/>
            <sz val="8"/>
            <color indexed="81"/>
            <rFont val="Tahoma"/>
            <family val="2"/>
          </rPr>
          <t>See "unit" definitions at the bottom of this worksheet.</t>
        </r>
        <r>
          <rPr>
            <sz val="8"/>
            <color indexed="81"/>
            <rFont val="Tahoma"/>
            <family val="2"/>
          </rPr>
          <t xml:space="preserve">
</t>
        </r>
      </text>
    </comment>
    <comment ref="S717" authorId="0" shapeId="0" xr:uid="{03FA4C9D-7F4B-4A5A-A97F-C62351ACC28D}">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I718" authorId="0" shapeId="0" xr:uid="{F7B8BC60-82D7-462B-86D2-28C428E23C91}">
      <text>
        <r>
          <rPr>
            <b/>
            <sz val="14"/>
            <color indexed="81"/>
            <rFont val="Tahoma"/>
            <family val="2"/>
          </rPr>
          <t>Note:</t>
        </r>
        <r>
          <rPr>
            <sz val="14"/>
            <color indexed="81"/>
            <rFont val="Tahoma"/>
            <family val="2"/>
          </rPr>
          <t xml:space="preserve">
Select either "Simple" or "Intermediate" O&amp;M expense detail using the drop-down menu to the right.
</t>
        </r>
        <r>
          <rPr>
            <sz val="8"/>
            <color indexed="81"/>
            <rFont val="Tahoma"/>
            <family val="2"/>
          </rPr>
          <t xml:space="preserve">
</t>
        </r>
      </text>
    </comment>
    <comment ref="I719" authorId="1" shapeId="0" xr:uid="{5CD6CAFB-04F6-44AF-AEFF-601887F4792C}">
      <text>
        <r>
          <rPr>
            <b/>
            <sz val="14"/>
            <color indexed="81"/>
            <rFont val="Tahoma"/>
            <family val="2"/>
          </rPr>
          <t>Note:</t>
        </r>
        <r>
          <rPr>
            <sz val="14"/>
            <color indexed="81"/>
            <rFont val="Tahoma"/>
            <family val="2"/>
          </rPr>
          <t xml:space="preserve">
If "Simple" is selected in the cell above, then this input should reflect the </t>
        </r>
        <r>
          <rPr>
            <b/>
            <u/>
            <sz val="14"/>
            <color indexed="81"/>
            <rFont val="Tahoma"/>
            <family val="2"/>
          </rPr>
          <t>total</t>
        </r>
        <r>
          <rPr>
            <sz val="14"/>
            <color indexed="81"/>
            <rFont val="Tahoma"/>
            <family val="2"/>
          </rPr>
          <t xml:space="preserve"> expected </t>
        </r>
        <r>
          <rPr>
            <b/>
            <u/>
            <sz val="14"/>
            <color indexed="81"/>
            <rFont val="Tahoma"/>
            <family val="2"/>
          </rPr>
          <t>fixed</t>
        </r>
        <r>
          <rPr>
            <sz val="14"/>
            <color indexed="81"/>
            <rFont val="Tahoma"/>
            <family val="2"/>
          </rPr>
          <t xml:space="preserve"> cost of project operations and maintenance, in $/kW-yr.  This </t>
        </r>
        <r>
          <rPr>
            <u/>
            <sz val="14"/>
            <color indexed="81"/>
            <rFont val="Tahoma"/>
            <family val="2"/>
          </rPr>
          <t>includes</t>
        </r>
        <r>
          <rPr>
            <sz val="14"/>
            <color indexed="81"/>
            <rFont val="Tahoma"/>
            <family val="2"/>
          </rPr>
          <t xml:space="preserve"> the insurance, project management, property tax (or payment in lieu thereof), land lease, and royalty expenses which would have been broken out separately in the "Intermediate" case.  Other labor and spare parts should also be included in this estimate.
If the user has obtained O&amp;M expense estimates from a third-party, it is critical to understand which costs have been included.  If the user is not certain that all of the above-listed expenses are included in the fixed cost estimate, then the "Intermediate" approach should be used and these expenses should be entered separately.
If "Intermediate" is selected, then this input should reflect  the expected annual fixed O&amp;M cost before taking into account the additional listed expenses, which are entered below. 
In all cases, fixed O&amp;M would include - among others - the ongoing cost of obtaining daily, weekly or monthly production estimates based on weather and other factors.
Input value must be greater than zero. 
</t>
        </r>
      </text>
    </comment>
    <comment ref="S719" authorId="1" shapeId="0" xr:uid="{46B2DEEC-8E3A-45D0-8452-3B7489831CD2}">
      <text>
        <r>
          <rPr>
            <b/>
            <sz val="14"/>
            <color indexed="81"/>
            <rFont val="Tahoma"/>
            <family val="2"/>
          </rPr>
          <t xml:space="preserve">Note:
</t>
        </r>
        <r>
          <rPr>
            <sz val="14"/>
            <color indexed="81"/>
            <rFont val="Tahoma"/>
            <family val="2"/>
          </rPr>
          <t xml:space="preserve">Some renewable energy projects may be eligible for other federal grants as well, such as funding from the U.S. Department of Agriculture. This input cell can be used to capture those funding opportunities, some of which are outlined online at:
http://dsireusa.org/incentives/index.cfm?state=us&amp;re=1&amp;EE=1
*See bottom of introduction page for a list of links
Input cannot be less than zero.
</t>
        </r>
      </text>
    </comment>
    <comment ref="I720" authorId="1" shapeId="0" xr:uid="{0885B941-EC26-4FAC-BAD3-5A64AAAC7037}">
      <text>
        <r>
          <rPr>
            <b/>
            <sz val="14"/>
            <color indexed="81"/>
            <rFont val="Tahoma"/>
            <family val="2"/>
          </rPr>
          <t>Note:</t>
        </r>
        <r>
          <rPr>
            <sz val="14"/>
            <color indexed="81"/>
            <rFont val="Tahoma"/>
            <family val="2"/>
          </rPr>
          <t xml:space="preserve">
This cell provides the user with the option of accounting for O&amp;M expenses (such as labor and spare parts) which are more easily estimated and modeled on a variable, cents per kWh basis.  
If "Simple" is selected above, then this cell should also take into account variable costs, such as royalties, </t>
        </r>
        <r>
          <rPr>
            <b/>
            <u/>
            <sz val="14"/>
            <color indexed="81"/>
            <rFont val="Tahoma"/>
            <family val="2"/>
          </rPr>
          <t>if</t>
        </r>
        <r>
          <rPr>
            <sz val="14"/>
            <color indexed="81"/>
            <rFont val="Tahoma"/>
            <family val="2"/>
          </rPr>
          <t xml:space="preserve"> such annual expenses are not already accounted for in the fixed cost input above.
Input cannot be less than zero.
</t>
        </r>
      </text>
    </comment>
    <comment ref="S720" authorId="0" shapeId="0" xr:uid="{0E1C5070-8098-44FA-9BC0-1FB48DE0DA58}">
      <text>
        <r>
          <rPr>
            <b/>
            <sz val="14"/>
            <color indexed="81"/>
            <rFont val="Tahoma"/>
            <family val="2"/>
          </rPr>
          <t xml:space="preserve">Note:
</t>
        </r>
        <r>
          <rPr>
            <sz val="14"/>
            <color indexed="81"/>
            <rFont val="Tahoma"/>
            <family val="2"/>
          </rPr>
          <t xml:space="preserve">Select here whether federal grants (other than the section 1603 payment in lieu of the ITC/PTC) are treated as taxable income. If no, depreciation basis is reduced. 
</t>
        </r>
      </text>
    </comment>
    <comment ref="I721" authorId="0" shapeId="0" xr:uid="{37563562-D275-47DD-8446-F5B322D884B8}">
      <text>
        <r>
          <rPr>
            <b/>
            <sz val="14"/>
            <color indexed="81"/>
            <rFont val="Tahoma"/>
            <family val="2"/>
          </rPr>
          <t>Note:</t>
        </r>
        <r>
          <rPr>
            <sz val="14"/>
            <color indexed="81"/>
            <rFont val="Tahoma"/>
            <family val="2"/>
          </rPr>
          <t xml:space="preserve">
This inflation rate applies to both fixed and variable O&amp;M expense, insurance, and project management costs entered above, if applicable. 
The model allows the user to specify an inflation assumption for an "initial period" and a second inflation assumption "thereafter." These inputs can be used to account for inflation which might be fixed during an initial O&amp;M service contract, but are unknown thereafter.  The final year of the "initial period" is  user-defined (e.g. final year of an O&amp;M service contract). 
The purpose of this feature is also to recognize that inflationary trends may change over time, or that some projects may not expect inflation of O&amp;M expenses for the first several years, but may expect inflation thereafter.
This inflation rate does not apply to PILOT or Royalty costs. Input cannot be less than zero.
</t>
        </r>
      </text>
    </comment>
    <comment ref="I722" authorId="0" shapeId="0" xr:uid="{95F2113C-6068-4B3F-9F37-34C6D7AA9F87}">
      <text>
        <r>
          <rPr>
            <b/>
            <sz val="14"/>
            <color indexed="81"/>
            <rFont val="Tahoma"/>
            <family val="2"/>
          </rPr>
          <t xml:space="preserve">Note:
</t>
        </r>
        <r>
          <rPr>
            <sz val="14"/>
            <color indexed="81"/>
            <rFont val="Tahoma"/>
            <family val="2"/>
          </rPr>
          <t xml:space="preserve">This feature allows the user to assume that the rate at which expenses change over time is not constant. This cell provides the year in which the first inflation period ends.
Input cannot be less than zero.
</t>
        </r>
      </text>
    </comment>
    <comment ref="P722" authorId="0" shapeId="0" xr:uid="{C4176D30-A9BD-4D01-AEDB-6808F54D803E}">
      <text>
        <r>
          <rPr>
            <b/>
            <sz val="8"/>
            <color indexed="81"/>
            <rFont val="Tahoma"/>
            <family val="2"/>
          </rPr>
          <t>See "unit" definitions at the bottom of this worksheet.</t>
        </r>
        <r>
          <rPr>
            <sz val="8"/>
            <color indexed="81"/>
            <rFont val="Tahoma"/>
            <family val="2"/>
          </rPr>
          <t xml:space="preserve">
</t>
        </r>
      </text>
    </comment>
    <comment ref="I723" authorId="0" shapeId="0" xr:uid="{28834C48-D465-49A4-BF9C-44CBB1724873}">
      <text>
        <r>
          <rPr>
            <b/>
            <sz val="14"/>
            <color indexed="81"/>
            <rFont val="Tahoma"/>
            <family val="2"/>
          </rPr>
          <t xml:space="preserve">Note:
</t>
        </r>
        <r>
          <rPr>
            <sz val="14"/>
            <color indexed="81"/>
            <rFont val="Tahoma"/>
            <family val="2"/>
          </rPr>
          <t xml:space="preserve">This cell provides the inflation rate for the remainder of the project's useful life.
Input must be greater than zero.
</t>
        </r>
      </text>
    </comment>
    <comment ref="S723" authorId="1" shapeId="0" xr:uid="{1030A8AA-0B9B-41E6-ACB7-3147B2403ED6}">
      <text>
        <r>
          <rPr>
            <b/>
            <sz val="14"/>
            <color indexed="81"/>
            <rFont val="Tahoma"/>
            <family val="2"/>
          </rPr>
          <t xml:space="preserve">Note:
</t>
        </r>
        <r>
          <rPr>
            <sz val="14"/>
            <color indexed="81"/>
            <rFont val="Tahoma"/>
            <family val="2"/>
          </rPr>
          <t>This drop-down input cell allows the user to specify whether state incentives are cost-based (e.g. an investment tax credit) or performance-based (e.g. a PTC or cash payment). If no state incentive is available or useable by the modeled project, the user will select "Neither." The magnitude and terms of these incentives are set in the cells below.
For more information, a useful resource for researching federal and state incentives online is:  
http://dsireusa.org/
*See bottom of introduction page for a list of links</t>
        </r>
      </text>
    </comment>
    <comment ref="I724" authorId="1" shapeId="0" xr:uid="{0482F364-15A4-47E2-A1F4-5BDA52916980}">
      <text>
        <r>
          <rPr>
            <b/>
            <sz val="14"/>
            <color indexed="81"/>
            <rFont val="Tahoma"/>
            <family val="2"/>
          </rPr>
          <t xml:space="preserve">Note:
</t>
        </r>
        <r>
          <rPr>
            <sz val="14"/>
            <color indexed="81"/>
            <rFont val="Tahoma"/>
            <family val="2"/>
          </rPr>
          <t xml:space="preserve">Project owners, or hosts, are required to carry insurance. This input accounts for the estimated cost of insuring the modeled power generating facility.
Input cannot be less than zero.
</t>
        </r>
      </text>
    </comment>
    <comment ref="S724" authorId="0" shapeId="0" xr:uid="{5F00C42E-A5A7-461F-8321-048652B652DD}">
      <text>
        <r>
          <rPr>
            <b/>
            <sz val="14"/>
            <color indexed="81"/>
            <rFont val="Tahoma"/>
            <family val="2"/>
          </rPr>
          <t xml:space="preserve">NOTE:
</t>
        </r>
        <r>
          <rPr>
            <sz val="14"/>
            <color indexed="81"/>
            <rFont val="Tahoma"/>
            <family val="2"/>
          </rPr>
          <t xml:space="preserve">The maximum potential Investment Tax Credit (ITC) benefit is assumed to be 30% of those project costs which are depreciable on the 5-year MACRS schedule.
</t>
        </r>
      </text>
    </comment>
    <comment ref="I725" authorId="0" shapeId="0" xr:uid="{8C24A286-B706-44F7-B13B-6E5FBB019E70}">
      <text>
        <r>
          <rPr>
            <b/>
            <sz val="14"/>
            <color indexed="81"/>
            <rFont val="Tahoma"/>
            <family val="2"/>
          </rPr>
          <t xml:space="preserve">Note:
</t>
        </r>
        <r>
          <rPr>
            <sz val="14"/>
            <color indexed="81"/>
            <rFont val="Tahoma"/>
            <family val="2"/>
          </rPr>
          <t xml:space="preserve">This cell calculates the resulting dollar value cost of insurance based on the input above and the project installed cost (net of financing costs).  It is provided simply as a reference for the user.
</t>
        </r>
        <r>
          <rPr>
            <sz val="8"/>
            <color indexed="81"/>
            <rFont val="Tahoma"/>
            <family val="2"/>
          </rPr>
          <t xml:space="preserve">
</t>
        </r>
      </text>
    </comment>
    <comment ref="S725" authorId="0" shapeId="0" xr:uid="{7F7B8A23-E151-4AE3-9C0B-7533141AAD1F}">
      <text>
        <r>
          <rPr>
            <b/>
            <sz val="14"/>
            <color indexed="81"/>
            <rFont val="Tahoma"/>
            <family val="2"/>
          </rPr>
          <t xml:space="preserve">NOTE:
</t>
        </r>
        <r>
          <rPr>
            <sz val="14"/>
            <color indexed="81"/>
            <rFont val="Tahoma"/>
            <family val="2"/>
          </rPr>
          <t xml:space="preserve">As a tax </t>
        </r>
        <r>
          <rPr>
            <u/>
            <sz val="14"/>
            <color indexed="81"/>
            <rFont val="Tahoma"/>
            <family val="2"/>
          </rPr>
          <t>credit</t>
        </r>
        <r>
          <rPr>
            <sz val="14"/>
            <color indexed="81"/>
            <rFont val="Tahoma"/>
            <family val="2"/>
          </rPr>
          <t>, the ITC is only usable by project owners with positive federal income tax liability.  
In cases where the owner's tax liability in the calendar year of the project's first commercial operation exceeds the ITC amount, the user may enter 100% in this field and assume full utilization of the ITC.
If the owner's tax liability is less than the available ITC, a % less than 100% must be entered in order to represent a less efficient utilization of this federal tax incentive.
Input must be betwee 0% and 100%.</t>
        </r>
      </text>
    </comment>
    <comment ref="I726" authorId="1" shapeId="0" xr:uid="{EFC05A3B-C992-4427-A6DC-E120A891F38B}">
      <text>
        <r>
          <rPr>
            <b/>
            <sz val="14"/>
            <color indexed="81"/>
            <rFont val="Tahoma"/>
            <family val="2"/>
          </rPr>
          <t>Note:</t>
        </r>
        <r>
          <rPr>
            <sz val="14"/>
            <color indexed="81"/>
            <rFont val="Tahoma"/>
            <family val="2"/>
          </rPr>
          <t xml:space="preserve">
"Project Management" accounts for the cost of staff time related to managing the project's Power Purchase Agreements, grid integration, and periodic reporting to the system operator and policymakers.  
Input cannot be less than zero.
</t>
        </r>
      </text>
    </comment>
    <comment ref="S726" authorId="0" shapeId="0" xr:uid="{B720440B-8140-4F1E-8475-FD44D4474ADB}">
      <text>
        <r>
          <rPr>
            <b/>
            <sz val="14"/>
            <color indexed="81"/>
            <rFont val="Tahoma"/>
            <family val="2"/>
          </rPr>
          <t xml:space="preserve">Note:
</t>
        </r>
        <r>
          <rPr>
            <sz val="14"/>
            <color indexed="81"/>
            <rFont val="Tahoma"/>
            <family val="2"/>
          </rPr>
          <t>Specifies whether the available ITC is realized in a single year or over multiple years. This input will be specified by state-specific law or regulation.
A good resource on available state incentives is:  
http://dsireusa.org/
*See bottom of introduction page for a list of links
Input must be greater than 1 and less than the Project Useful Life.</t>
        </r>
      </text>
    </comment>
    <comment ref="I727" authorId="1" shapeId="0" xr:uid="{6EFC0A5D-08FC-489F-B4E5-4EB6AFB3484B}">
      <text>
        <r>
          <rPr>
            <b/>
            <sz val="14"/>
            <color indexed="81"/>
            <rFont val="Tahoma"/>
            <family val="2"/>
          </rPr>
          <t xml:space="preserve">Note:
</t>
        </r>
        <r>
          <rPr>
            <sz val="14"/>
            <color indexed="81"/>
            <rFont val="Tahoma"/>
            <family val="2"/>
          </rPr>
          <t xml:space="preserve">"Property Tax or PILOT" accounts for costs associated with any local taxes incurred by the project. Many states offer tax exemptions for renewable energy systems; to check your local applicability, please visit: http://dsireusa.org/ 
This line can also be used to account for any PILOTs or Payment in Leiu of Taxes. Developers often negotiate a PILOT with the local community to secure a fixed, predictable payment that serves both parties appropriately. This model allows the user to input a year-one Property Tax or PILOT value along with an annual property tax adjsutment factor (see next cell down). As a result, taxes can be modeled as flat, increasing, or decreasing annually depending on the value entered in the adjustment factor cell below.
Input cannot be less than zero.
</t>
        </r>
      </text>
    </comment>
    <comment ref="S727" authorId="0" shapeId="0" xr:uid="{0050349E-E4AE-40AD-8AA3-9770D047E8A5}">
      <text>
        <r>
          <rPr>
            <b/>
            <sz val="14"/>
            <color indexed="81"/>
            <rFont val="Tahoma"/>
            <family val="2"/>
          </rPr>
          <t xml:space="preserve">Note:
</t>
        </r>
        <r>
          <rPr>
            <sz val="14"/>
            <color indexed="81"/>
            <rFont val="Tahoma"/>
            <family val="2"/>
          </rPr>
          <t xml:space="preserve">Calculates the dollar value of the State Investment Tax Credit, if applicable.
</t>
        </r>
      </text>
    </comment>
    <comment ref="I728" authorId="1" shapeId="0" xr:uid="{1AE33996-5486-48D1-A51B-D04F061357A7}">
      <text>
        <r>
          <rPr>
            <b/>
            <sz val="14"/>
            <color indexed="81"/>
            <rFont val="Tahoma"/>
            <family val="2"/>
          </rPr>
          <t xml:space="preserve">Note:
</t>
        </r>
        <r>
          <rPr>
            <sz val="14"/>
            <color indexed="81"/>
            <rFont val="Tahoma"/>
            <family val="2"/>
          </rPr>
          <t xml:space="preserve">The Annual Property Tax Adjustment Factor allows the user to specify whether the Year One tax (or PILOT) value will remain fixed and flat, will decrease (a negative percentage value entered in this cell) or increase (a positive percentage value entered in this cell) over time.  </t>
        </r>
        <r>
          <rPr>
            <sz val="8"/>
            <color indexed="81"/>
            <rFont val="Tahoma"/>
            <family val="2"/>
          </rPr>
          <t xml:space="preserve">
</t>
        </r>
      </text>
    </comment>
    <comment ref="S728" authorId="0" shapeId="0" xr:uid="{B430E524-D1BC-42B3-BEFF-F31C2862DD66}">
      <text>
        <r>
          <rPr>
            <b/>
            <sz val="14"/>
            <color indexed="81"/>
            <rFont val="Tahoma"/>
            <family val="2"/>
          </rPr>
          <t xml:space="preserve">Note: </t>
        </r>
        <r>
          <rPr>
            <sz val="14"/>
            <color indexed="81"/>
            <rFont val="Tahoma"/>
            <family val="2"/>
          </rPr>
          <t xml:space="preserve">
This input cell, the "Performance Based Incentive" or "PBI" is another potential incentive available to some specific projects. The PBI would be separate from a feed-in-tariff, but acts similarly in that it is per unit of production (typically kWh) income to a project.
Some examples of PBIs include the Federal Production Tax Credit (applicable to private projects with tax appetites) and the Federal Renewable Energy Production Incentive (REPI), historically available to some public projects.
</t>
        </r>
      </text>
    </comment>
    <comment ref="I729" authorId="1" shapeId="0" xr:uid="{7CE0D24E-9B0B-47EC-B9AA-912220AF7B41}">
      <text>
        <r>
          <rPr>
            <b/>
            <sz val="14"/>
            <color indexed="81"/>
            <rFont val="Tahoma"/>
            <family val="2"/>
          </rPr>
          <t xml:space="preserve">Note:
</t>
        </r>
        <r>
          <rPr>
            <sz val="14"/>
            <color indexed="81"/>
            <rFont val="Tahoma"/>
            <family val="2"/>
          </rPr>
          <t xml:space="preserve">The Land Lease input represents </t>
        </r>
        <r>
          <rPr>
            <b/>
            <u/>
            <sz val="14"/>
            <color indexed="81"/>
            <rFont val="Tahoma"/>
            <family val="2"/>
          </rPr>
          <t>fixed payments</t>
        </r>
        <r>
          <rPr>
            <sz val="14"/>
            <color indexed="81"/>
            <rFont val="Tahoma"/>
            <family val="2"/>
          </rPr>
          <t xml:space="preserve"> to the site host (and possibly other affected parties) for the use of the land on which the project is located.  
Variable royalty payments may be applied in addition to, or in lieu of, the land lease payment through the "Royalties" input below, if applicable.  
Input cannot be less than zero.
</t>
        </r>
      </text>
    </comment>
    <comment ref="S729" authorId="0" shapeId="0" xr:uid="{D48682A5-3A23-497A-86CF-392935BB061E}">
      <text>
        <r>
          <rPr>
            <b/>
            <sz val="14"/>
            <color indexed="81"/>
            <rFont val="Tahoma"/>
            <family val="2"/>
          </rPr>
          <t xml:space="preserve">Note:
</t>
        </r>
        <r>
          <rPr>
            <sz val="14"/>
            <color indexed="81"/>
            <rFont val="Tahoma"/>
            <family val="2"/>
          </rPr>
          <t xml:space="preserve">Impacts tax treatment of PBI if owner is a taxable entity.
</t>
        </r>
      </text>
    </comment>
    <comment ref="I730" authorId="1" shapeId="0" xr:uid="{308A8DF9-D61F-43FB-B41F-9E1FC281F2C2}">
      <text>
        <r>
          <rPr>
            <b/>
            <sz val="14"/>
            <color indexed="81"/>
            <rFont val="Tahoma"/>
            <family val="2"/>
          </rPr>
          <t xml:space="preserve">Note:
</t>
        </r>
        <r>
          <rPr>
            <sz val="14"/>
            <color indexed="81"/>
            <rFont val="Tahoma"/>
            <family val="2"/>
          </rPr>
          <t xml:space="preserve">The royalties input accounts for </t>
        </r>
        <r>
          <rPr>
            <b/>
            <u/>
            <sz val="14"/>
            <color indexed="81"/>
            <rFont val="Tahoma"/>
            <family val="2"/>
          </rPr>
          <t>variable</t>
        </r>
        <r>
          <rPr>
            <sz val="14"/>
            <color indexed="81"/>
            <rFont val="Tahoma"/>
            <family val="2"/>
          </rPr>
          <t xml:space="preserve"> payments to site hosts, neighbors, partners, or other parties which may have a stake in the project and which are NOT covered by the fixed "Land Lease" payment. 
Fixed payments may be applied in addition to, or in lieu of, the royalty payment through the "Land Lease" input above, if applicable.  
</t>
        </r>
        <r>
          <rPr>
            <b/>
            <sz val="14"/>
            <color indexed="81"/>
            <rFont val="Tahoma"/>
            <family val="2"/>
          </rPr>
          <t>Inflation is NOT applied to this input</t>
        </r>
        <r>
          <rPr>
            <sz val="14"/>
            <color indexed="81"/>
            <rFont val="Tahoma"/>
            <family val="2"/>
          </rPr>
          <t xml:space="preserve">. However, if tariff escalation is selected, then the assumed royalty payment will increase over time since it is calculated as a function of revenue over time.
If the modeled project's royalty payments are not the same over time, then an average annual royalty payment should be calculated externally and entered in this cell. 
This input cannot be less than zero.
</t>
        </r>
        <r>
          <rPr>
            <sz val="8"/>
            <color indexed="81"/>
            <rFont val="Tahoma"/>
            <family val="2"/>
          </rPr>
          <t xml:space="preserve">
</t>
        </r>
      </text>
    </comment>
    <comment ref="S730" authorId="0" shapeId="0" xr:uid="{596CB9AB-773F-470B-9CAE-C7090C763017}">
      <text>
        <r>
          <rPr>
            <b/>
            <sz val="14"/>
            <color indexed="81"/>
            <rFont val="Tahoma"/>
            <family val="2"/>
          </rPr>
          <t xml:space="preserve">Note: </t>
        </r>
        <r>
          <rPr>
            <sz val="14"/>
            <color indexed="81"/>
            <rFont val="Tahoma"/>
            <family val="2"/>
          </rPr>
          <t xml:space="preserve">
This cell denotes the value of the Performance Based Incentive applicable to the project's first year of commercial operation. In some cases, this value will need to be calculated external to the model if such PBI is derived from a "base year" and specified inflation index. The following cells can be used to account for inflation and the maximum term of eligibility.
Input cannot be less than zero.
</t>
        </r>
      </text>
    </comment>
    <comment ref="I731" authorId="0" shapeId="0" xr:uid="{2292DED3-9788-45E0-A8F7-2CBC71CA961C}">
      <text>
        <r>
          <rPr>
            <b/>
            <sz val="14"/>
            <color indexed="81"/>
            <rFont val="Tahoma"/>
            <family val="2"/>
          </rPr>
          <t xml:space="preserve">Note:
</t>
        </r>
        <r>
          <rPr>
            <sz val="14"/>
            <color indexed="81"/>
            <rFont val="Tahoma"/>
            <family val="2"/>
          </rPr>
          <t xml:space="preserve">This cell calculates the resulting dollar value cost of royalties paid to landowners or other stakeholders based on the input above and project revenue.  It is provided simply as a reference for the user.
</t>
        </r>
        <r>
          <rPr>
            <sz val="8"/>
            <color indexed="81"/>
            <rFont val="Tahoma"/>
            <family val="2"/>
          </rPr>
          <t xml:space="preserve">
</t>
        </r>
      </text>
    </comment>
    <comment ref="S731" authorId="0" shapeId="0" xr:uid="{941DBCE9-C3C6-4809-9B7E-A96997D8E26C}">
      <text>
        <r>
          <rPr>
            <b/>
            <sz val="14"/>
            <color indexed="81"/>
            <rFont val="Tahoma"/>
            <family val="2"/>
          </rPr>
          <t>Note:</t>
        </r>
        <r>
          <rPr>
            <sz val="14"/>
            <color indexed="81"/>
            <rFont val="Tahoma"/>
            <family val="2"/>
          </rPr>
          <t xml:space="preserve">
This is the length of time that a project would be eligible for any Performance Based Incentives outlined in the cell immediately above. For example, the Federal Renewable Energy Production Incentive and Production Tax Credit incentives are available for the first 10 years of project operation.
Input cannot be less than zero.
</t>
        </r>
      </text>
    </comment>
    <comment ref="S732" authorId="0" shapeId="0" xr:uid="{A7A80AF0-8C6A-4839-8112-B0D412768ABD}">
      <text>
        <r>
          <rPr>
            <b/>
            <sz val="14"/>
            <color indexed="81"/>
            <rFont val="Tahoma"/>
            <family val="2"/>
          </rPr>
          <t xml:space="preserve">Note:
</t>
        </r>
        <r>
          <rPr>
            <sz val="14"/>
            <color indexed="81"/>
            <rFont val="Tahoma"/>
            <family val="2"/>
          </rPr>
          <t xml:space="preserve">Performance Based Incentives are often adjusted to account for inflation. For example, the Federal Production Tax Credit (PTC) is adjusted each year to account for changes in the GDP IPD index. This cell can be used as a proxy for the inflation that would apply to any PBI incentive entered above.
This input cannot be left blank.
</t>
        </r>
      </text>
    </comment>
    <comment ref="F733" authorId="0" shapeId="0" xr:uid="{1EFF72F7-C006-4419-BBBB-43FFDFF2E4C2}">
      <text>
        <r>
          <rPr>
            <b/>
            <sz val="8"/>
            <color indexed="81"/>
            <rFont val="Tahoma"/>
            <family val="2"/>
          </rPr>
          <t>See "unit" definitions at the bottom of this worksheet.</t>
        </r>
        <r>
          <rPr>
            <sz val="8"/>
            <color indexed="81"/>
            <rFont val="Tahoma"/>
            <family val="2"/>
          </rPr>
          <t xml:space="preserve">
</t>
        </r>
      </text>
    </comment>
    <comment ref="S733" authorId="0" shapeId="0" xr:uid="{06FA6DB7-FA39-4D12-8584-8851D861F4E2}">
      <text>
        <r>
          <rPr>
            <b/>
            <sz val="14"/>
            <color indexed="81"/>
            <rFont val="Tahoma"/>
            <family val="2"/>
          </rPr>
          <t xml:space="preserve">Note:
</t>
        </r>
        <r>
          <rPr>
            <sz val="14"/>
            <color indexed="81"/>
            <rFont val="Tahoma"/>
            <family val="2"/>
          </rPr>
          <t xml:space="preserve">In some cases, due to the nature of the requirements of some Performance Based Incentive programs, project owners are unable to maximize the full revenue stream of the incentive. For example, in the case of the Federal Production Tax Credit (PTC), the project owner may not have sufficienct tax appetite to fully utilize the tax credits. 
This input cell would allow the modeler to account for the owner's inability to fully utilize the PTC and/or the reduction of the PTC (a "haircut") due to the presence of subsidized (below market interest rate) financing.
Input must be between 0% and 100%.
</t>
        </r>
        <r>
          <rPr>
            <sz val="8"/>
            <color indexed="81"/>
            <rFont val="Tahoma"/>
            <family val="2"/>
          </rPr>
          <t xml:space="preserve">
</t>
        </r>
      </text>
    </comment>
    <comment ref="I734" authorId="0" shapeId="0" xr:uid="{980BC581-0F4E-488D-B94E-13587357DDB4}">
      <text>
        <r>
          <rPr>
            <b/>
            <sz val="14"/>
            <color indexed="81"/>
            <rFont val="Tahoma"/>
            <family val="2"/>
          </rPr>
          <t xml:space="preserve">Note:
</t>
        </r>
        <r>
          <rPr>
            <sz val="14"/>
            <color indexed="81"/>
            <rFont val="Tahoma"/>
            <family val="2"/>
          </rPr>
          <t xml:space="preserve">The # of months from construction start to commercial operation. This input cannot be less than zero.
</t>
        </r>
      </text>
    </comment>
    <comment ref="S734" authorId="0" shapeId="0" xr:uid="{A1C8398A-7EE1-452E-86BB-4E39A476FF6B}">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I735" authorId="0" shapeId="0" xr:uid="{8BFA8533-5F36-4E69-A12C-693A4F7FA7AD}">
      <text>
        <r>
          <rPr>
            <b/>
            <sz val="14"/>
            <color indexed="81"/>
            <rFont val="Tahoma"/>
            <family val="2"/>
          </rPr>
          <t xml:space="preserve">Note:
</t>
        </r>
        <r>
          <rPr>
            <sz val="14"/>
            <color indexed="81"/>
            <rFont val="Tahoma"/>
            <family val="2"/>
          </rPr>
          <t xml:space="preserve">The annual interest rate on construction debt. This input cannot be less than zero.
</t>
        </r>
      </text>
    </comment>
    <comment ref="I736" authorId="0" shapeId="0" xr:uid="{EA9FACC3-45E0-4ACF-88A3-67314E6DEE2F}">
      <text>
        <r>
          <rPr>
            <b/>
            <sz val="14"/>
            <color indexed="81"/>
            <rFont val="Tahoma"/>
            <family val="2"/>
          </rPr>
          <t xml:space="preserve">Note:
</t>
        </r>
        <r>
          <rPr>
            <sz val="14"/>
            <color indexed="81"/>
            <rFont val="Tahoma"/>
            <family val="2"/>
          </rPr>
          <t xml:space="preserve">A calculated value showing the interest accrued during the construction period. Rather than requiring the user to define a detailed construction draw-down schedule, this calculation makes the simplifying assumption that the total project cost is spent in equal parts in each month of the construction period.
IDC is calculated on total project cost, assuming that any grants are collected after construction financing is repaid at time of permanent financing.
This cell is only used with the "Intermediate" and "Complex" capital cost options. The "Simple" capital cost option assumes that all project costs, including IDC, are included in the single input.
</t>
        </r>
      </text>
    </comment>
    <comment ref="S736" authorId="0" shapeId="0" xr:uid="{452A2311-AC63-4C75-88A5-1B10965AD6A6}">
      <text>
        <r>
          <rPr>
            <b/>
            <sz val="14"/>
            <color indexed="81"/>
            <rFont val="Tahoma"/>
            <family val="2"/>
          </rPr>
          <t xml:space="preserve">Note:
</t>
        </r>
        <r>
          <rPr>
            <sz val="14"/>
            <color indexed="81"/>
            <rFont val="Tahoma"/>
            <family val="2"/>
          </rPr>
          <t xml:space="preserve">Include here the total dollar value of any state-specific cash grants or rebates.
Input cannot be less than zero.
</t>
        </r>
      </text>
    </comment>
    <comment ref="S737" authorId="0" shapeId="0" xr:uid="{25ADD3A6-182A-4E41-B3C5-9DDCDA4658B2}">
      <text>
        <r>
          <rPr>
            <b/>
            <sz val="14"/>
            <color indexed="81"/>
            <rFont val="Tahoma"/>
            <family val="2"/>
          </rPr>
          <t xml:space="preserve">Note:
</t>
        </r>
        <r>
          <rPr>
            <sz val="14"/>
            <color indexed="81"/>
            <rFont val="Tahoma"/>
            <family val="2"/>
          </rPr>
          <t xml:space="preserve">Select here whether state grants are treated as taxable income.  If no, depreciation basis is reduced. 
</t>
        </r>
      </text>
    </comment>
    <comment ref="F738" authorId="0" shapeId="0" xr:uid="{9CB79D3D-3174-4189-B120-B0B3DBA99E50}">
      <text>
        <r>
          <rPr>
            <b/>
            <sz val="8"/>
            <color indexed="81"/>
            <rFont val="Tahoma"/>
            <family val="2"/>
          </rPr>
          <t>See "unit" definitions at the bottom of this worksheet.</t>
        </r>
        <r>
          <rPr>
            <sz val="8"/>
            <color indexed="81"/>
            <rFont val="Tahoma"/>
            <family val="2"/>
          </rPr>
          <t xml:space="preserve">
</t>
        </r>
      </text>
    </comment>
    <comment ref="I739" authorId="0" shapeId="0" xr:uid="{D60FD0B3-812E-4677-B5B8-7F4670BB9D35}">
      <text>
        <r>
          <rPr>
            <b/>
            <sz val="14"/>
            <color indexed="81"/>
            <rFont val="Tahoma"/>
            <family val="2"/>
          </rPr>
          <t xml:space="preserve">Note:
</t>
        </r>
        <r>
          <rPr>
            <sz val="14"/>
            <color indexed="81"/>
            <rFont val="Tahoma"/>
            <family val="2"/>
          </rPr>
          <t xml:space="preserve">For ease of use and comprehension by a wide range of stakeholders, this model allows the user to define the capital structure, and relies on mortgage-style amortization of the project debt. The "% Debt" input specifies the portion of funds borrowed, as a percentage of the total "hard costs." Equity is assumed to fund the remaining hard costs PLUS all "soft costs" (e.g. transaction costs and funding of initial reserve accounts, if applicable).  This input cannot be less than zero.
Where maximum sustainable leverage is desired, the user must manually adjust the "% Debt" entry upward to the highest point </t>
        </r>
        <r>
          <rPr>
            <b/>
            <i/>
            <sz val="14"/>
            <color indexed="81"/>
            <rFont val="Tahoma"/>
            <family val="2"/>
          </rPr>
          <t>before</t>
        </r>
        <r>
          <rPr>
            <sz val="14"/>
            <color indexed="81"/>
            <rFont val="Tahoma"/>
            <family val="2"/>
          </rPr>
          <t xml:space="preserve"> the DSCRs no longer "Pass."
If a specific % Debt is desired, </t>
        </r>
        <r>
          <rPr>
            <u/>
            <sz val="14"/>
            <color indexed="81"/>
            <rFont val="Tahoma"/>
            <family val="2"/>
          </rPr>
          <t>and such % is higher than the maximum sustainable debt</t>
        </r>
        <r>
          <rPr>
            <sz val="14"/>
            <color indexed="81"/>
            <rFont val="Tahoma"/>
            <family val="2"/>
          </rPr>
          <t xml:space="preserve"> (such that it causes the DSCR to "Fail"), then the user must define the % Debt and then manually adjust the "Target After-Tax Equity IRR" upward until the DSCRs are met.  The user should </t>
        </r>
        <r>
          <rPr>
            <b/>
            <sz val="14"/>
            <color indexed="81"/>
            <rFont val="Tahoma"/>
            <family val="2"/>
          </rPr>
          <t>take note</t>
        </r>
        <r>
          <rPr>
            <sz val="14"/>
            <color indexed="81"/>
            <rFont val="Tahoma"/>
            <family val="2"/>
          </rPr>
          <t xml:space="preserve"> that when leverage becomes very high (and the corresponding equity contribution low), the "Target After-Tax Equity IRR" will need to be adjusted to levels exceeding typical commercial returns </t>
        </r>
        <r>
          <rPr>
            <u/>
            <sz val="14"/>
            <color indexed="81"/>
            <rFont val="Tahoma"/>
            <family val="2"/>
          </rPr>
          <t>in order to maintain the DSCR ratio</t>
        </r>
        <r>
          <rPr>
            <sz val="14"/>
            <color indexed="81"/>
            <rFont val="Tahoma"/>
            <family val="2"/>
          </rPr>
          <t xml:space="preserve"> on such high debt levels.  For this reason, it is not recommended that users solve for the COE associated with a % Debt that is beyond the maximum sustainable leverage.
If a project is expected to be funded either by a pool of corporate funds or back-leveraged after commercial operation, the user might elect to enter 0% in the "% Debt" cell and enter a weighted average cost of capital (WACC) in the "Target After-Tax Equity IRR" cell.
</t>
        </r>
      </text>
    </comment>
    <comment ref="I740" authorId="1" shapeId="0" xr:uid="{B751090C-7EC2-4355-9FE4-FAB0D195290A}">
      <text>
        <r>
          <rPr>
            <b/>
            <sz val="14"/>
            <color indexed="81"/>
            <rFont val="Tahoma"/>
            <family val="2"/>
          </rPr>
          <t>Note:</t>
        </r>
        <r>
          <rPr>
            <sz val="14"/>
            <color indexed="81"/>
            <rFont val="Tahoma"/>
            <family val="2"/>
          </rPr>
          <t xml:space="preserve">
Debt "tenor" (also casually referred to as "term"), is the number of years in the debt repayment schedule.   
Caution: If the project will utilize debt, this value must be greater than zero but less than or equal to the total FIT contract duration.
</t>
        </r>
      </text>
    </comment>
    <comment ref="S740" authorId="0" shapeId="0" xr:uid="{B44A5962-7A14-40AE-83D8-906AD84B58CA}">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741" authorId="1" shapeId="0" xr:uid="{317D57B9-E60C-4F4A-9B5D-0BC1C6185890}">
      <text>
        <r>
          <rPr>
            <b/>
            <sz val="14"/>
            <color indexed="81"/>
            <rFont val="Tahoma"/>
            <family val="2"/>
          </rPr>
          <t>Note:</t>
        </r>
        <r>
          <rPr>
            <sz val="14"/>
            <color indexed="81"/>
            <rFont val="Tahoma"/>
            <family val="2"/>
          </rPr>
          <t xml:space="preserve">
The all-in interest rate is the financing rate provided by the bank or other debt investor.
This input cannot be less than zero.
</t>
        </r>
      </text>
    </comment>
    <comment ref="S741" authorId="0" shapeId="0" xr:uid="{8CDAC8E0-B05A-4681-8E74-B34F1420A64C}">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742" authorId="0" shapeId="0" xr:uid="{210CED6E-8CC4-42D9-ABA4-4375355E9813}">
      <text>
        <r>
          <rPr>
            <b/>
            <sz val="14"/>
            <color indexed="81"/>
            <rFont val="Tahoma"/>
            <family val="2"/>
          </rPr>
          <t xml:space="preserve">Note:
</t>
        </r>
        <r>
          <rPr>
            <sz val="14"/>
            <color indexed="81"/>
            <rFont val="Tahoma"/>
            <family val="2"/>
          </rPr>
          <t xml:space="preserve">A one-time fee collected by the lender and calculated as a % of the total loan amount. This value is typically between 1% and 4%.
This input cannot be less than zero.
</t>
        </r>
      </text>
    </comment>
    <comment ref="S742" authorId="0" shapeId="0" xr:uid="{51518D47-4BEA-4984-B206-D70649CA2F06}">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743" authorId="1" shapeId="0" xr:uid="{DBF32ADB-1A67-4DF1-BAF6-1EB7CC5AAA60}">
      <text>
        <r>
          <rPr>
            <b/>
            <sz val="14"/>
            <color indexed="81"/>
            <rFont val="Tahoma"/>
            <family val="2"/>
          </rPr>
          <t>Note:</t>
        </r>
        <r>
          <rPr>
            <sz val="14"/>
            <color indexed="81"/>
            <rFont val="Tahoma"/>
            <family val="2"/>
          </rPr>
          <t xml:space="preserve">
The annual Debt Service Coverage Ratio is calculated by dividing the sum of the annual principal and interest payment into that year's operating cash flow. Lenders will require the DSCR to demonstrate the project's ability to easily meet its annual debt service obligation.
Average DSCRs over the life of the loan typically range from 1.2 to 1.5 for private, commercially financed projects, or from 1.1 to 1.3 for publicly owned, bond-financed projects - depending on the level of reserves, or other surety, provided. 
The annual minimum DSCR will depend on the specific terms of the loan and the probability-weighting of the production estimate, but will likely be in the range of 1.0 to 1.3. This input must be greater than 1.
</t>
        </r>
      </text>
    </comment>
    <comment ref="S743" authorId="0" shapeId="0" xr:uid="{352B3F9C-32CC-4365-9EDB-DE0D3F326D2F}">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744" authorId="0" shapeId="0" xr:uid="{A84F847D-E58B-42E9-ACB4-F9A4DFB3216D}">
      <text>
        <r>
          <rPr>
            <b/>
            <sz val="14"/>
            <color indexed="81"/>
            <rFont val="Tahoma"/>
            <family val="2"/>
          </rPr>
          <t>Note:</t>
        </r>
        <r>
          <rPr>
            <sz val="14"/>
            <color indexed="81"/>
            <rFont val="Tahoma"/>
            <family val="2"/>
          </rPr>
          <t xml:space="preserve">
If "#N/A" appears, F9 should be pressed until the calculated COE achieves it's final value.</t>
        </r>
      </text>
    </comment>
    <comment ref="S744" authorId="0" shapeId="0" xr:uid="{CBA80F8D-2DE2-4A41-B481-C0DCA478CF44}">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745" authorId="1" shapeId="0" xr:uid="{31F4C528-E8BC-4F7B-90F6-DE2D5A7BE543}">
      <text>
        <r>
          <rPr>
            <b/>
            <sz val="14"/>
            <color indexed="81"/>
            <rFont val="Tahoma"/>
            <family val="2"/>
          </rPr>
          <t>Note:</t>
        </r>
        <r>
          <rPr>
            <sz val="14"/>
            <color indexed="81"/>
            <rFont val="Tahoma"/>
            <family val="2"/>
          </rPr>
          <t xml:space="preserve">
This cell checks that the debt service coverage ratio exceeds the user-defined minimum in each operating year (see note in DSCR cell for definition and rationale for DSCR). If the test "fails", the user must choose from one of several options in order to cure this deficiency (the extent to which these options are available will be specific to each project):
1. reduce the amount of project level debt, 
2. increase the feed-in tariff rate in order to generate cash flow sufficient to meet the bank's assumed coverage requirement.  In the CREST model, </t>
        </r>
        <r>
          <rPr>
            <u/>
            <sz val="14"/>
            <color indexed="81"/>
            <rFont val="Tahoma"/>
            <family val="2"/>
          </rPr>
          <t>this is done by manually increasing the "Target After-Tax Equity IRR."</t>
        </r>
        <r>
          <rPr>
            <sz val="14"/>
            <color indexed="81"/>
            <rFont val="Tahoma"/>
            <family val="2"/>
          </rPr>
          <t xml:space="preserve">
Other possible, but less likely, mechanisms include:
3. increase the loan tenor
4. decrease the interest rate</t>
        </r>
      </text>
    </comment>
    <comment ref="S745" authorId="0" shapeId="0" xr:uid="{33702689-C6DE-46BB-BFA5-A031E313CF47}">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746" authorId="1" shapeId="0" xr:uid="{3BC1CD43-10E9-4D7A-8A41-341537C95412}">
      <text>
        <r>
          <rPr>
            <b/>
            <sz val="14"/>
            <color indexed="81"/>
            <rFont val="Tahoma"/>
            <family val="2"/>
          </rPr>
          <t>Note:</t>
        </r>
        <r>
          <rPr>
            <sz val="14"/>
            <color indexed="81"/>
            <rFont val="Tahoma"/>
            <family val="2"/>
          </rPr>
          <t xml:space="preserve">
The annual Debt Service Coverage Ratio is calculated by dividing the sum of the annual principal and interest payment into that year's operating cash flow. Lenders will require the DSCR to demonstrate the project's ability to easily meet its annual debt service obligation.
</t>
        </r>
        <r>
          <rPr>
            <u/>
            <sz val="14"/>
            <color indexed="81"/>
            <rFont val="Tahoma"/>
            <family val="2"/>
          </rPr>
          <t>Average</t>
        </r>
        <r>
          <rPr>
            <sz val="14"/>
            <color indexed="81"/>
            <rFont val="Tahoma"/>
            <family val="2"/>
          </rPr>
          <t xml:space="preserve"> DSCRs over the life of the loan typically range from 1.2 to 1.5 for private, commercially financed projects, or from 1.1 to 1.3 for publicly owned, bond-financed projects - depending on the level of reserves, or other surety, provided. 
The </t>
        </r>
        <r>
          <rPr>
            <u/>
            <sz val="14"/>
            <color indexed="81"/>
            <rFont val="Tahoma"/>
            <family val="2"/>
          </rPr>
          <t>annual minimum</t>
        </r>
        <r>
          <rPr>
            <sz val="14"/>
            <color indexed="81"/>
            <rFont val="Tahoma"/>
            <family val="2"/>
          </rPr>
          <t xml:space="preserve"> DSCR will depend on the specific terms of the loan and the probability-weighting of the production estimate, but will likely be in the range of 1.0 to 1.3. This input must be greater than 1.
</t>
        </r>
      </text>
    </comment>
    <comment ref="S746" authorId="0" shapeId="0" xr:uid="{A22B343D-97F6-4F20-A057-8665458E68AF}">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747" authorId="0" shapeId="0" xr:uid="{9C098307-774C-49FE-9846-1DEE525BC421}">
      <text>
        <r>
          <rPr>
            <b/>
            <sz val="12"/>
            <color indexed="81"/>
            <rFont val="Tahoma"/>
            <family val="2"/>
          </rPr>
          <t>Note:</t>
        </r>
        <r>
          <rPr>
            <sz val="12"/>
            <color indexed="81"/>
            <rFont val="Tahoma"/>
            <family val="2"/>
          </rPr>
          <t xml:space="preserve">
If "#N/A" appears, F9 should be pressed until the calculated COE achieves it's final value.</t>
        </r>
      </text>
    </comment>
    <comment ref="S747" authorId="0" shapeId="0" xr:uid="{55E68B8B-11E3-4EC3-AC23-8C811D6F1BB5}">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748" authorId="1" shapeId="0" xr:uid="{A93CE798-99E0-42BD-AA99-C85F613957A6}">
      <text>
        <r>
          <rPr>
            <b/>
            <sz val="14"/>
            <color indexed="81"/>
            <rFont val="Tahoma"/>
            <family val="2"/>
          </rPr>
          <t>Note:</t>
        </r>
        <r>
          <rPr>
            <sz val="14"/>
            <color indexed="81"/>
            <rFont val="Tahoma"/>
            <family val="2"/>
          </rPr>
          <t xml:space="preserve">
This cell checks that the average debt service coverage ratio exceeds the user-defined minimum during the period for which debt is outstanding (see note in DSCR cell for definition and rationale for DSCR). If the test "fails", the user must choose from one of several options in order to cure this deficiency (the extent to which these options are available will be specific to each project):
1. reduce the amount of project level debt, 
2. increase the feed-in tariff rate in order to generate cash flow sufficient to meet the bank's assumed coverage requirement.  In the CREST model, </t>
        </r>
        <r>
          <rPr>
            <u/>
            <sz val="14"/>
            <color indexed="81"/>
            <rFont val="Tahoma"/>
            <family val="2"/>
          </rPr>
          <t>this is done by manually increasing the "Target After-Tax Equity IRR."</t>
        </r>
        <r>
          <rPr>
            <sz val="14"/>
            <color indexed="81"/>
            <rFont val="Tahoma"/>
            <family val="2"/>
          </rPr>
          <t xml:space="preserve">
Other possible, but less likely, mechanisms include:
3. increase the loan tenor
4. decrease the interest rate</t>
        </r>
      </text>
    </comment>
    <comment ref="I749" authorId="0" shapeId="0" xr:uid="{BEE15132-4C98-402B-B5D4-FD2FF59283BF}">
      <text>
        <r>
          <rPr>
            <b/>
            <sz val="14"/>
            <color indexed="81"/>
            <rFont val="Tahoma"/>
            <family val="2"/>
          </rPr>
          <t xml:space="preserve">Note:
</t>
        </r>
        <r>
          <rPr>
            <sz val="14"/>
            <color indexed="81"/>
            <rFont val="Tahoma"/>
            <family val="2"/>
          </rPr>
          <t xml:space="preserve">The portion of total project cost funded from equity investors. This cell is a calculation and not an input. It is calculated as 100% minus the "% Debt" entered above.
</t>
        </r>
      </text>
    </comment>
    <comment ref="P749" authorId="0" shapeId="0" xr:uid="{A1AE578C-5CD7-454B-A570-AD247150702D}">
      <text>
        <r>
          <rPr>
            <b/>
            <sz val="8"/>
            <color indexed="81"/>
            <rFont val="Tahoma"/>
            <family val="2"/>
          </rPr>
          <t>See "unit" definitions at the bottom of this worksheet.</t>
        </r>
        <r>
          <rPr>
            <sz val="8"/>
            <color indexed="81"/>
            <rFont val="Tahoma"/>
            <family val="2"/>
          </rPr>
          <t xml:space="preserve">
</t>
        </r>
      </text>
    </comment>
    <comment ref="I750" authorId="1" shapeId="0" xr:uid="{6C403819-E799-4EF2-BD8F-14396767C599}">
      <text>
        <r>
          <rPr>
            <b/>
            <sz val="14"/>
            <color indexed="81"/>
            <rFont val="Tahoma"/>
            <family val="2"/>
          </rPr>
          <t>Note:</t>
        </r>
        <r>
          <rPr>
            <sz val="14"/>
            <color indexed="81"/>
            <rFont val="Tahoma"/>
            <family val="2"/>
          </rPr>
          <t xml:space="preserve">
The target after-tax equity IRR is the equity investor's cost of capital -- or "discount rate" -- and is the minimum rate of return that the project owner will seek to attain in order to justify the project compared to alternative investments.  
The user should be explicit in his or her assumption regarding the term over which the target after-tax IRR is assumed to be realized. For example, the user could elect to align the return requirement with the tariff payment duration. In this case, the project useful life should be set equal to the tariff duration in order to calculate the COE associated with the target IRR over that period of time. 
In a second example, the user could elect to align the return requirement with the project's useful life. In this case, the user can either assume a tariff duration equal to the project life, or assume market-based revenue for the period after the tariff and before the end of the assumed project useful life.
This input cannot be less than zero.
If a project is expected to be funded either by a pool of corporate funds or back-leveraged after commercial operation, the user might elect to enter 0% in the "% Debt" cell and enter a weighted average cost of capital (WACC) in the "Target After-Tax Equity IRR" cell.
</t>
        </r>
      </text>
    </comment>
    <comment ref="I751" authorId="0" shapeId="0" xr:uid="{7B544356-7CBD-4461-881D-0250F8969429}">
      <text>
        <r>
          <rPr>
            <b/>
            <sz val="14"/>
            <color indexed="81"/>
            <rFont val="Tahoma"/>
            <family val="2"/>
          </rPr>
          <t xml:space="preserve">Note:
</t>
        </r>
        <r>
          <rPr>
            <sz val="14"/>
            <color indexed="81"/>
            <rFont val="Tahoma"/>
            <family val="2"/>
          </rPr>
          <t xml:space="preserve">The weighted average cost of capital combines the after-tax cost of both equity and debt in proportion to their use, and is calculated here for reference.
</t>
        </r>
      </text>
    </comment>
    <comment ref="S751" authorId="1" shapeId="0" xr:uid="{CE8A3B58-EAE5-4F48-9A99-C8F850BE814F}">
      <text>
        <r>
          <rPr>
            <b/>
            <sz val="14"/>
            <color indexed="81"/>
            <rFont val="Tahoma"/>
            <family val="2"/>
          </rPr>
          <t xml:space="preserve">Note:
</t>
        </r>
        <r>
          <rPr>
            <sz val="14"/>
            <color indexed="81"/>
            <rFont val="Tahoma"/>
            <family val="2"/>
          </rPr>
          <t xml:space="preserve">In order to ensure that project owners have sufficient funds to decommission and remove equipment at the end of a project's life, many owners choose to create and fund a reserve account throughout the course of project. 
This input cell allows the modeler to choose whether to pay for project removal by creating and funding a reserve account over the project life by selecting "Operations" or to assume that a project's removal will be funded by selling the equipment, by selecting "Salvage".
</t>
        </r>
      </text>
    </comment>
    <comment ref="I752" authorId="0" shapeId="0" xr:uid="{FC59BD92-9295-44C7-B5F3-DED5B5504993}">
      <text>
        <r>
          <rPr>
            <b/>
            <sz val="14"/>
            <color indexed="81"/>
            <rFont val="Tahoma"/>
            <family val="2"/>
          </rPr>
          <t xml:space="preserve">Note:
</t>
        </r>
        <r>
          <rPr>
            <sz val="14"/>
            <color indexed="81"/>
            <rFont val="Tahoma"/>
            <family val="2"/>
          </rPr>
          <t>This cell represents the costs of both equity and debt due diligence (if applicable) and other transaction costs.
Input cannot be less than zero.</t>
        </r>
      </text>
    </comment>
    <comment ref="S752" authorId="0" shapeId="0" xr:uid="{1E6EC2E6-BA10-4003-9BB2-684140042280}">
      <text>
        <r>
          <rPr>
            <b/>
            <sz val="14"/>
            <color indexed="81"/>
            <rFont val="Tahoma"/>
            <family val="2"/>
          </rPr>
          <t>Note:</t>
        </r>
        <r>
          <rPr>
            <sz val="14"/>
            <color indexed="81"/>
            <rFont val="Tahoma"/>
            <family val="2"/>
          </rPr>
          <t xml:space="preserve">
This input cell allows the user to assume the creation of a reserve account. The value entered here will be accounted for in the project's cash flow, and would be funded evenly over the number of years available between the project's commercial operation and the end of its useful life.
Input cannot be less than zero.
</t>
        </r>
      </text>
    </comment>
    <comment ref="P754" authorId="0" shapeId="0" xr:uid="{A2F707BA-C65A-4194-8A18-0785416017C1}">
      <text>
        <r>
          <rPr>
            <b/>
            <sz val="8"/>
            <color indexed="81"/>
            <rFont val="Tahoma"/>
            <family val="2"/>
          </rPr>
          <t>See "unit" definitions at the bottom of this worksheet.</t>
        </r>
        <r>
          <rPr>
            <sz val="8"/>
            <color indexed="81"/>
            <rFont val="Tahoma"/>
            <family val="2"/>
          </rPr>
          <t xml:space="preserve">
</t>
        </r>
      </text>
    </comment>
    <comment ref="I755" authorId="0" shapeId="0" xr:uid="{5213D6F7-B27C-4029-8576-13A85C1AC654}">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at the project's "Total Installed Cost."
</t>
        </r>
      </text>
    </comment>
    <comment ref="I756" authorId="0" shapeId="0" xr:uid="{D6D62B52-BCA0-4621-B968-C22F0FF1F01D}">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t>
        </r>
      </text>
    </comment>
    <comment ref="S756" authorId="0" shapeId="0" xr:uid="{B222C133-A9F8-4100-8A2B-911898C25135}">
      <text>
        <r>
          <rPr>
            <b/>
            <sz val="14"/>
            <color indexed="81"/>
            <rFont val="Tahoma"/>
            <family val="2"/>
          </rPr>
          <t>Note:</t>
        </r>
        <r>
          <rPr>
            <sz val="14"/>
            <color indexed="81"/>
            <rFont val="Tahoma"/>
            <family val="2"/>
          </rPr>
          <t xml:space="preserve">
Lenders typically require the project owner to establish a reserve account prior to the commencement of operations to ensure that loan repayments occur in full and on time even if the project has insufficient operating cash flow in a specific period due to lower than expected production, higher costs, or both. The size of the reserve account is typically equal to 6 months of debt service obligation.
Input cannot be less than zero.
</t>
        </r>
      </text>
    </comment>
    <comment ref="I757" authorId="0" shapeId="0" xr:uid="{644A0618-F1D8-4A6A-95F1-6E1BDD610943}">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As previously described, this value excludes the ITC Cash Grant, which must be financed prior to commercial operation.  
</t>
        </r>
      </text>
    </comment>
    <comment ref="S757" authorId="0" shapeId="0" xr:uid="{CDAB75C1-6DFE-45F4-B8DB-CB01C09435C1}">
      <text>
        <r>
          <rPr>
            <b/>
            <sz val="14"/>
            <color indexed="81"/>
            <rFont val="Tahoma"/>
            <family val="2"/>
          </rPr>
          <t>Note:</t>
        </r>
        <r>
          <rPr>
            <sz val="14"/>
            <color indexed="81"/>
            <rFont val="Tahoma"/>
            <family val="2"/>
          </rPr>
          <t xml:space="preserve">
Calculated value based on the # months of required reserve and the capital structure and associated periodic debt obligation.
</t>
        </r>
      </text>
    </comment>
    <comment ref="I758" authorId="0" shapeId="0" xr:uid="{FBB40D1F-3764-4EFB-953F-873EF9060D11}">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t>
        </r>
      </text>
    </comment>
    <comment ref="S759" authorId="0" shapeId="0" xr:uid="{E37A3AC9-6B91-4F1D-B37F-5154EDEE8B1B}">
      <text>
        <r>
          <rPr>
            <b/>
            <sz val="14"/>
            <color indexed="81"/>
            <rFont val="Tahoma"/>
            <family val="2"/>
          </rPr>
          <t>Note:</t>
        </r>
        <r>
          <rPr>
            <sz val="14"/>
            <color indexed="81"/>
            <rFont val="Tahoma"/>
            <family val="2"/>
          </rPr>
          <t xml:space="preserve">
Lenders typically require the project owner to establish a reserve account prior to the commencement of operations to ensure that all O&amp;M expenses can be met even if the project has insufficient operating cash flow in a specific period due to lower than expected production, higher costs, or both. The size of the reserve account is typically 3 to 6 months of O&amp;M expenses, and includes all categories of O&amp;M expenses.
Input cannot be less than zero.
</t>
        </r>
      </text>
    </comment>
    <comment ref="F760" authorId="0" shapeId="0" xr:uid="{5C1CDA2B-6B7D-4CA8-A12F-781317189B45}">
      <text>
        <r>
          <rPr>
            <b/>
            <sz val="8"/>
            <color indexed="81"/>
            <rFont val="Tahoma"/>
            <family val="2"/>
          </rPr>
          <t>See "unit" definitions at the bottom of this worksheet.</t>
        </r>
        <r>
          <rPr>
            <sz val="8"/>
            <color indexed="81"/>
            <rFont val="Tahoma"/>
            <family val="2"/>
          </rPr>
          <t xml:space="preserve">
</t>
        </r>
      </text>
    </comment>
    <comment ref="S760" authorId="0" shapeId="0" xr:uid="{266BB4DD-28D0-4255-906B-80E19A611698}">
      <text>
        <r>
          <rPr>
            <b/>
            <sz val="14"/>
            <color indexed="81"/>
            <rFont val="Tahoma"/>
            <family val="2"/>
          </rPr>
          <t>Note:</t>
        </r>
        <r>
          <rPr>
            <sz val="14"/>
            <color indexed="81"/>
            <rFont val="Tahoma"/>
            <family val="2"/>
          </rPr>
          <t xml:space="preserve">
Calculated value based on the # months of required reserve and all annual operating expenses.
</t>
        </r>
      </text>
    </comment>
    <comment ref="I761" authorId="0" shapeId="0" xr:uid="{6EAD406F-3A4B-4273-A671-3E7A2C2907ED}">
      <text>
        <r>
          <rPr>
            <b/>
            <sz val="14"/>
            <color indexed="81"/>
            <rFont val="Tahoma"/>
            <family val="2"/>
          </rPr>
          <t xml:space="preserve">Note:
</t>
        </r>
        <r>
          <rPr>
            <sz val="14"/>
            <color indexed="81"/>
            <rFont val="Tahoma"/>
            <family val="2"/>
          </rPr>
          <t xml:space="preserve">Defines whether the project owner is a taxable or non-taxable entity. This determines the treatment of income taxes and other tax-related items.
</t>
        </r>
      </text>
    </comment>
    <comment ref="S761" authorId="0" shapeId="0" xr:uid="{61010E6B-A109-4D82-8F30-0E16DF83B5D2}">
      <text>
        <r>
          <rPr>
            <b/>
            <sz val="14"/>
            <color indexed="81"/>
            <rFont val="Tahoma"/>
            <family val="2"/>
          </rPr>
          <t>Note:</t>
        </r>
        <r>
          <rPr>
            <sz val="14"/>
            <color indexed="81"/>
            <rFont val="Tahoma"/>
            <family val="2"/>
          </rPr>
          <t xml:space="preserve">
Unused reserves earn interest at this rate. Input cannot be less than zero.
</t>
        </r>
      </text>
    </comment>
    <comment ref="I762" authorId="0" shapeId="0" xr:uid="{C6ABF91A-2DC8-4E66-B154-E2B9EC372152}">
      <text>
        <r>
          <rPr>
            <b/>
            <sz val="14"/>
            <color indexed="81"/>
            <rFont val="Tahoma"/>
            <family val="2"/>
          </rPr>
          <t xml:space="preserve">Note:
</t>
        </r>
        <r>
          <rPr>
            <sz val="14"/>
            <color indexed="81"/>
            <rFont val="Tahoma"/>
            <family val="2"/>
          </rPr>
          <t xml:space="preserve">Defines the project's federal income tax rate, if applicable.
Input cannot be less than zero.
</t>
        </r>
      </text>
    </comment>
    <comment ref="I763" authorId="0" shapeId="0" xr:uid="{C52E53CD-F686-43D8-AF7D-A385A6B5C424}">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I764" authorId="0" shapeId="0" xr:uid="{FA71B11D-7762-4BBA-9C51-0FF5F713A069}">
      <text>
        <r>
          <rPr>
            <b/>
            <sz val="14"/>
            <color indexed="81"/>
            <rFont val="Tahoma"/>
            <family val="2"/>
          </rPr>
          <t xml:space="preserve">Note:
</t>
        </r>
        <r>
          <rPr>
            <sz val="14"/>
            <color indexed="81"/>
            <rFont val="Tahoma"/>
            <family val="2"/>
          </rPr>
          <t xml:space="preserve">Defines the project's state income tax rate, if applicable.
Input cannot be less than zero.
</t>
        </r>
      </text>
    </comment>
    <comment ref="S764" authorId="0" shapeId="0" xr:uid="{770E4685-8867-41BB-A2E8-2FAC5ADC6D6E}">
      <text>
        <r>
          <rPr>
            <b/>
            <sz val="14"/>
            <color indexed="81"/>
            <rFont val="Tahoma"/>
            <family val="2"/>
          </rPr>
          <t>Note:</t>
        </r>
        <r>
          <rPr>
            <sz val="14"/>
            <color indexed="81"/>
            <rFont val="Tahoma"/>
            <family val="2"/>
          </rPr>
          <t xml:space="preserve">
To qualify for Bonus Depreciation the property must have a recovery period of 20 years or less (under normal federal tax depreciation rules), and the project must commence operation in the year in which bonus depreciation is in effect and under the ownership of the entity claiming the deduction. 
For qualifying projects, the owner is entitled to deduct 50% of the adjusted basis of the property during the tax year the property is first placed in service. The remaining 50% of the adjusted basis of the property is depreciated over the ordinary MACRS depreciation schedule. The bonus depreciation rules do not override the depreciation limit applicable to projects qualifying for the federal ITC. Before calculating depreciation for such a project, including any bonus depreciation, the adjusted basis of the project must be reduced by one-half of the amount of the ITC for which the project qualifies. 
</t>
        </r>
      </text>
    </comment>
    <comment ref="I765" authorId="0" shapeId="0" xr:uid="{0C0D5FDF-61A5-4024-BD2D-72206494B133}">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P765" authorId="0" shapeId="0" xr:uid="{A1CE6C14-F85C-463D-9638-A2657E21D525}">
      <text>
        <r>
          <rPr>
            <b/>
            <sz val="12"/>
            <color indexed="81"/>
            <rFont val="Tahoma"/>
            <family val="2"/>
          </rPr>
          <t>Jason Gifford:</t>
        </r>
        <r>
          <rPr>
            <sz val="12"/>
            <color indexed="81"/>
            <rFont val="Tahoma"/>
            <family val="2"/>
          </rPr>
          <t xml:space="preserve">
The Consolidated Appropriations Act, signed in December 2015, extended the "placed in service" deadline for bonus depreciation. Equipment placed in service before January 1, 2018 can qualify for 50% bonus depreciation. Equipment placed in service during 2018 can qualify for 40% bonus depreciation. And equipment placed in service during 2019 can qualify for 30% bonus depreciation. </t>
        </r>
      </text>
    </comment>
    <comment ref="S765" authorId="0" shapeId="0" xr:uid="{4F8A4998-73BF-4151-8B80-E02E2D384ED7}">
      <text>
        <r>
          <rPr>
            <b/>
            <sz val="14"/>
            <color indexed="81"/>
            <rFont val="Tahoma"/>
            <family val="2"/>
          </rPr>
          <t>Note:</t>
        </r>
        <r>
          <rPr>
            <sz val="14"/>
            <color indexed="81"/>
            <rFont val="Tahoma"/>
            <family val="2"/>
          </rPr>
          <t xml:space="preserve">
This input allows the user to define the bonus depreciation % applied in Year 1, if applicable.  Historically, federal bonus depreciation has been 50% of the eligible cost basis (after taking into account reductions in such cost basis for the ITC, if applicable).  
Input cannot be less than zero.
</t>
        </r>
      </text>
    </comment>
    <comment ref="I766" authorId="0" shapeId="0" xr:uid="{9FC1E881-1F5B-4A02-85B4-B72AC318B379}">
      <text>
        <r>
          <rPr>
            <b/>
            <sz val="14"/>
            <color indexed="81"/>
            <rFont val="Tahoma"/>
            <family val="2"/>
          </rPr>
          <t xml:space="preserve">Note:
</t>
        </r>
        <r>
          <rPr>
            <sz val="14"/>
            <color indexed="81"/>
            <rFont val="Tahoma"/>
            <family val="2"/>
          </rPr>
          <t xml:space="preserve">Takes into account the interaction between federal and state tax rates. This is a calculated value.
</t>
        </r>
      </text>
    </comment>
    <comment ref="I767" authorId="0" shapeId="0" xr:uid="{62130DFB-4E95-47B1-92ED-098F35B347D5}">
      <text>
        <r>
          <rPr>
            <b/>
            <sz val="14"/>
            <color indexed="81"/>
            <rFont val="Tahoma"/>
            <family val="2"/>
          </rPr>
          <t xml:space="preserve">Note:
</t>
        </r>
        <r>
          <rPr>
            <sz val="14"/>
            <color indexed="81"/>
            <rFont val="Tahoma"/>
            <family val="2"/>
          </rPr>
          <t>Depreciation accounts for the "use" of equipment for tax purposes. The depreciation inputs are provided in the table to the right and on the Complex Capital Costs tab when this option is selected.</t>
        </r>
      </text>
    </comment>
    <comment ref="AB768" authorId="0" shapeId="0" xr:uid="{731D8050-CF7A-474C-BB44-BCF0CCBBF7E3}">
      <text>
        <r>
          <rPr>
            <b/>
            <sz val="14"/>
            <color indexed="81"/>
            <rFont val="Tahoma"/>
            <family val="2"/>
          </rPr>
          <t>Note:</t>
        </r>
        <r>
          <rPr>
            <sz val="14"/>
            <color indexed="81"/>
            <rFont val="Tahoma"/>
            <family val="2"/>
          </rPr>
          <t xml:space="preserve">
When the "Simple" capital cost option is selected, the depreciation of total project costs is divided among the classifications using this row. The depreciation options associated with other levels of cost detail will be hidden.
</t>
        </r>
        <r>
          <rPr>
            <b/>
            <sz val="14"/>
            <color indexed="81"/>
            <rFont val="Tahoma"/>
            <family val="2"/>
          </rPr>
          <t xml:space="preserve">This row must sum to 100%.
</t>
        </r>
      </text>
    </comment>
    <comment ref="AB769" authorId="0" shapeId="0" xr:uid="{98D44CC9-CE77-47CB-B4E4-97F4C26308DB}">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770" authorId="0" shapeId="0" xr:uid="{36289DA7-C3F9-41DF-8566-6DF870EC2A24}">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771" authorId="0" shapeId="0" xr:uid="{0069F242-B166-477D-90DB-77E1A28A6C64}">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772" authorId="0" shapeId="0" xr:uid="{A5EF2394-6294-4CAC-B8C0-861A1484BF9D}">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773" authorId="0" shapeId="0" xr:uid="{690839E9-2DEE-4AFB-B991-EA393A85525F}">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774" authorId="0" shapeId="0" xr:uid="{9763593F-2569-4824-B6B3-8B4BA498B1E3}">
      <text>
        <r>
          <rPr>
            <b/>
            <sz val="14"/>
            <color indexed="81"/>
            <rFont val="Tahoma"/>
            <family val="2"/>
          </rPr>
          <t>Note:</t>
        </r>
        <r>
          <rPr>
            <sz val="14"/>
            <color indexed="81"/>
            <rFont val="Tahoma"/>
            <family val="2"/>
          </rPr>
          <t xml:space="preserve">
When the "Complex" capital cost option is selected, each line items is assigned its own depreciation classification using a drop-down menu on the Complex Capital Costs tab.
</t>
        </r>
      </text>
    </comment>
    <comment ref="C779" authorId="0" shapeId="0" xr:uid="{3B5242F2-EB4B-4FCC-8B5B-76E5F7A2F26C}">
      <text>
        <r>
          <rPr>
            <sz val="14"/>
            <color indexed="81"/>
            <rFont val="Tahoma"/>
            <family val="2"/>
          </rPr>
          <t xml:space="preserve">The "Check" column evaluates whether or not values have been enterred in all required fields.  Green denotes an accepted entry in a required field or a calculation for which the minimum required precedents have been satisfied.  Red denotes the absence of an entry in a required field, or a calculation for which the minimum required precendents have NOT been satisfied.
</t>
        </r>
        <r>
          <rPr>
            <b/>
            <sz val="14"/>
            <color indexed="81"/>
            <rFont val="Tahoma"/>
            <family val="2"/>
          </rPr>
          <t>Please note</t>
        </r>
        <r>
          <rPr>
            <sz val="14"/>
            <color indexed="81"/>
            <rFont val="Tahoma"/>
            <family val="2"/>
          </rPr>
          <t xml:space="preserve"> that while the "Check" column ensures the population of all required fields, this column does NOT validate the magnitude of such entries.  It is the model user's responsibility to provide inputs which accurately represent the project being modeled.  In some cases, a range of typical values for a specified input are provided in that input's "Notes" cell.</t>
        </r>
      </text>
    </comment>
    <comment ref="I779" authorId="0" shapeId="0" xr:uid="{802A057D-7BF2-4913-BEAE-44F9E0EBDB63}">
      <text>
        <r>
          <rPr>
            <sz val="14"/>
            <color indexed="81"/>
            <rFont val="Tahoma"/>
            <family val="2"/>
          </rPr>
          <t xml:space="preserve">Each cell in the "Notes" column provides a brief description of the input in the corresponding row, its application within the model, and (in some cases) the range of values that might be expected to populate that  input cell.  It is the model user's responsibility, however, to research and validate the applicability of, and appropriate value for, each input.
</t>
        </r>
        <r>
          <rPr>
            <sz val="8"/>
            <color indexed="81"/>
            <rFont val="Tahoma"/>
            <family val="2"/>
          </rPr>
          <t xml:space="preserve">
</t>
        </r>
      </text>
    </comment>
    <comment ref="M779" authorId="0" shapeId="0" xr:uid="{236F5031-65B8-42D8-BA07-05E6B9956AC1}">
      <text>
        <r>
          <rPr>
            <sz val="14"/>
            <color indexed="81"/>
            <rFont val="Tahoma"/>
            <family val="2"/>
          </rPr>
          <t xml:space="preserve">The "Check" column evaluates whether or not values have been enterred in all required fields.  Green denotes an accepted entry in a required field or a calculation for which the minimum required precedents have been satisfied.  Red denotes the absence of an entry in a required field, or a calculation for which the minimum required precendents have NOT been satisfied.
</t>
        </r>
        <r>
          <rPr>
            <b/>
            <sz val="14"/>
            <color indexed="81"/>
            <rFont val="Tahoma"/>
            <family val="2"/>
          </rPr>
          <t>Please note</t>
        </r>
        <r>
          <rPr>
            <sz val="14"/>
            <color indexed="81"/>
            <rFont val="Tahoma"/>
            <family val="2"/>
          </rPr>
          <t xml:space="preserve"> that while the "Check" column ensures the population of all required fields, this column does NOT validate the magnitude of such entries.  It is the model user's responsibility to provide inputs which accurately represent the project being modeled.  In some cases, a range of typical values for a specified input are provided in that input's "Notes" cell.</t>
        </r>
      </text>
    </comment>
    <comment ref="S779" authorId="0" shapeId="0" xr:uid="{D1C516CD-4934-42FE-A11E-E4D99A3BE57C}">
      <text>
        <r>
          <rPr>
            <sz val="14"/>
            <color indexed="81"/>
            <rFont val="Tahoma"/>
            <family val="2"/>
          </rPr>
          <t>Each cell in the "Notes" column provides a brief description of the input in the corresponding row, its application within the model, and (in some cases) the range of values that might be expected to populate that  input cell. It is the model user's responsibility, however, to research and validate the applicability of, and appropriate value for, each input.</t>
        </r>
        <r>
          <rPr>
            <sz val="8"/>
            <color indexed="81"/>
            <rFont val="Tahoma"/>
            <family val="2"/>
          </rPr>
          <t xml:space="preserve">
</t>
        </r>
      </text>
    </comment>
    <comment ref="F781" authorId="0" shapeId="0" xr:uid="{B0C61F4E-1697-4619-B054-CBA627A40CE5}">
      <text>
        <r>
          <rPr>
            <b/>
            <sz val="8"/>
            <color indexed="81"/>
            <rFont val="Tahoma"/>
            <family val="2"/>
          </rPr>
          <t>See "unit" definitions at the bottom of this worksheet.</t>
        </r>
        <r>
          <rPr>
            <sz val="8"/>
            <color indexed="81"/>
            <rFont val="Tahoma"/>
            <family val="2"/>
          </rPr>
          <t xml:space="preserve">
</t>
        </r>
      </text>
    </comment>
    <comment ref="P781" authorId="0" shapeId="0" xr:uid="{40AA25C8-AA5F-4DBD-AF59-D83393133752}">
      <text>
        <r>
          <rPr>
            <b/>
            <sz val="8"/>
            <color indexed="81"/>
            <rFont val="Tahoma"/>
            <family val="2"/>
          </rPr>
          <t>See "unit" definitions at the bottom of this worksheet.</t>
        </r>
        <r>
          <rPr>
            <sz val="8"/>
            <color indexed="81"/>
            <rFont val="Tahoma"/>
            <family val="2"/>
          </rPr>
          <t xml:space="preserve">
</t>
        </r>
      </text>
    </comment>
    <comment ref="I782" authorId="1" shapeId="0" xr:uid="{3307B83D-9A5F-4CD5-A125-3B0EC251BE6D}">
      <text>
        <r>
          <rPr>
            <b/>
            <sz val="14"/>
            <color indexed="81"/>
            <rFont val="Tahoma"/>
            <family val="2"/>
          </rPr>
          <t>Note:</t>
        </r>
        <r>
          <rPr>
            <sz val="14"/>
            <color indexed="81"/>
            <rFont val="Tahoma"/>
            <family val="2"/>
          </rPr>
          <t xml:space="preserve">
This is the aggregate nameplate rating for the entire generating facility.
Input must be greater than zero.
</t>
        </r>
      </text>
    </comment>
    <comment ref="S782" authorId="1" shapeId="0" xr:uid="{C2633B29-8EDA-4C54-98EA-68AF3475DC8D}">
      <text>
        <r>
          <rPr>
            <b/>
            <sz val="14"/>
            <color indexed="81"/>
            <rFont val="Tahoma"/>
            <family val="2"/>
          </rPr>
          <t xml:space="preserve">Note:
</t>
        </r>
        <r>
          <rPr>
            <sz val="14"/>
            <color indexed="81"/>
            <rFont val="Tahoma"/>
            <family val="2"/>
          </rPr>
          <t xml:space="preserve">The FIT contract length is the number of years for which the rate specified by this model is available. This term is established by policymakers and must be less than or equal to the project's useful life.  
The contract duration is also different than the debt tenor (if applicable), which is specified in the Permanent Financing section below.
</t>
        </r>
      </text>
    </comment>
    <comment ref="I783" authorId="1" shapeId="0" xr:uid="{5FFE3769-1D99-459D-872B-F6415AA21ECD}">
      <text>
        <r>
          <rPr>
            <b/>
            <sz val="14"/>
            <color indexed="81"/>
            <rFont val="Tahoma"/>
            <family val="2"/>
          </rPr>
          <t>Note:</t>
        </r>
        <r>
          <rPr>
            <sz val="14"/>
            <color indexed="81"/>
            <rFont val="Tahoma"/>
            <family val="2"/>
          </rPr>
          <t xml:space="preserve">
Capacity Factor is the % representation of the actual production vs. the theoretical maximum annual production of an energy project. This model requires the input of a </t>
        </r>
        <r>
          <rPr>
            <b/>
            <sz val="14"/>
            <color indexed="81"/>
            <rFont val="Tahoma"/>
            <family val="2"/>
          </rPr>
          <t>Net Capacity Factor</t>
        </r>
        <r>
          <rPr>
            <sz val="14"/>
            <color indexed="81"/>
            <rFont val="Tahoma"/>
            <family val="2"/>
          </rPr>
          <t xml:space="preserve">, meaning that the estimate of actual energy production should take into account all electricity losses (including those incurred between the generating facility and the contract delivery point), scheduled and unscheduled maintenance, forced outages, wake effects, icing, and any other factors that could reduce production.
Wind projects typically have a capacity factor between 25% and 40% depending on region and site-specific topography. 
Input must be between 0% and 100%.
</t>
        </r>
      </text>
    </comment>
    <comment ref="S783" authorId="1" shapeId="0" xr:uid="{7436F4BC-C271-4519-8BF0-5F63B4A7C6BB}">
      <text>
        <r>
          <rPr>
            <b/>
            <sz val="14"/>
            <color indexed="81"/>
            <rFont val="Tahoma"/>
            <family val="2"/>
          </rPr>
          <t xml:space="preserve">Note:
</t>
        </r>
        <r>
          <rPr>
            <sz val="14"/>
            <color indexed="81"/>
            <rFont val="Tahoma"/>
            <family val="2"/>
          </rPr>
          <t xml:space="preserve">This is the portion (%) of the tariff which is subject to annual escalation.  
Program administrators may determine that some or all of the tariff rate should be escalated to reflect the uncertainty associated with the future cost of owning and operating an electricity generating facility. This input is separate from the inflation assumed to apply to certain O&amp;M expenses, which is provided as an input in the O&amp;M section below.
Input must be between 0% and 100%.
</t>
        </r>
      </text>
    </comment>
    <comment ref="I784" authorId="1" shapeId="0" xr:uid="{AB01D2C9-7A2C-4C08-8F99-26F0D92FA346}">
      <text>
        <r>
          <rPr>
            <b/>
            <sz val="14"/>
            <color indexed="81"/>
            <rFont val="Tahoma"/>
            <family val="2"/>
          </rPr>
          <t>Note:</t>
        </r>
        <r>
          <rPr>
            <sz val="14"/>
            <color indexed="81"/>
            <rFont val="Tahoma"/>
            <family val="2"/>
          </rPr>
          <t xml:space="preserve">
This is a calculation, based on the system size and capacity factor provided above. 
</t>
        </r>
      </text>
    </comment>
    <comment ref="S784" authorId="1" shapeId="0" xr:uid="{2B6C5085-4067-4346-B03E-143386D272E8}">
      <text>
        <r>
          <rPr>
            <b/>
            <sz val="14"/>
            <color indexed="81"/>
            <rFont val="Tahoma"/>
            <family val="2"/>
          </rPr>
          <t xml:space="preserve">Note:
</t>
        </r>
        <r>
          <rPr>
            <sz val="14"/>
            <color indexed="81"/>
            <rFont val="Tahoma"/>
            <family val="2"/>
          </rPr>
          <t xml:space="preserve">To calculate a </t>
        </r>
        <r>
          <rPr>
            <b/>
            <sz val="14"/>
            <color indexed="81"/>
            <rFont val="Tahoma"/>
            <family val="2"/>
          </rPr>
          <t>nominal levelized tariff rate</t>
        </r>
        <r>
          <rPr>
            <sz val="14"/>
            <color indexed="81"/>
            <rFont val="Tahoma"/>
            <family val="2"/>
          </rPr>
          <t xml:space="preserve">, the "feed-in tariff escalation rate" field should be </t>
        </r>
        <r>
          <rPr>
            <b/>
            <sz val="14"/>
            <color indexed="81"/>
            <rFont val="Tahoma"/>
            <family val="2"/>
          </rPr>
          <t>set to zero</t>
        </r>
        <r>
          <rPr>
            <sz val="14"/>
            <color indexed="81"/>
            <rFont val="Tahoma"/>
            <family val="2"/>
          </rPr>
          <t>.</t>
        </r>
        <r>
          <rPr>
            <b/>
            <sz val="14"/>
            <color indexed="81"/>
            <rFont val="Tahoma"/>
            <family val="2"/>
          </rPr>
          <t xml:space="preserve">
</t>
        </r>
        <r>
          <rPr>
            <sz val="14"/>
            <color indexed="81"/>
            <rFont val="Tahoma"/>
            <family val="2"/>
          </rPr>
          <t xml:space="preserve">Where applied, tariff rate escalation is intended to serve as a risk mitigating tool, at least partially protecting the project investor from the uncertainty associated with the future cost of owning and operating the renewable energy facility. The escalation rate can be used to assume a year over year increase in all, or a portion, of the per unit payment provided to eligible generators. This concept is separate from inflationary adjustments to future operating cost assumptions -- which are input below.
This rate is applied annually.  Note that in this model, calendar years and tariff years are aligned.
</t>
        </r>
        <r>
          <rPr>
            <b/>
            <sz val="14"/>
            <color indexed="81"/>
            <rFont val="Tahoma"/>
            <family val="2"/>
          </rPr>
          <t>Caution:</t>
        </r>
        <r>
          <rPr>
            <sz val="14"/>
            <color indexed="81"/>
            <rFont val="Tahoma"/>
            <family val="2"/>
          </rPr>
          <t xml:space="preserve"> A value must be entered into this cell in order for the model to function properly. The input can be positive or negative (if the FIT value decreases over time), and a typical value may fall between 0% and 5%.  
</t>
        </r>
      </text>
    </comment>
    <comment ref="I785" authorId="1" shapeId="0" xr:uid="{BEDDF8B1-06B9-44D1-B30D-DB1D270E338D}">
      <text>
        <r>
          <rPr>
            <b/>
            <sz val="14"/>
            <color indexed="81"/>
            <rFont val="Tahoma"/>
            <family val="2"/>
          </rPr>
          <t>Note:</t>
        </r>
        <r>
          <rPr>
            <sz val="14"/>
            <color indexed="81"/>
            <rFont val="Tahoma"/>
            <family val="2"/>
          </rPr>
          <t xml:space="preserve">
The natural aging of the mechanical components of a wind turbine generator may lead to a drop in turbine availability (or efficiency), and therefore production, over time.  
This input allows the user to model the potential for such degradation, which may be between 0% and 2% per year.
</t>
        </r>
        <r>
          <rPr>
            <b/>
            <sz val="14"/>
            <color indexed="81"/>
            <rFont val="Tahoma"/>
            <family val="2"/>
          </rPr>
          <t>If the modeled "Net Capacity Factor" is intented to take long-term average availability into account, then the user may wish to enter 0% in the Annual Production Degradation field.</t>
        </r>
        <r>
          <rPr>
            <sz val="14"/>
            <color indexed="81"/>
            <rFont val="Tahoma"/>
            <family val="2"/>
          </rPr>
          <t xml:space="preserve">
Input must be =&gt; 0%.
</t>
        </r>
      </text>
    </comment>
    <comment ref="I786" authorId="1" shapeId="0" xr:uid="{4594E2C3-96B7-477A-BED5-86D4725118B4}">
      <text>
        <r>
          <rPr>
            <b/>
            <sz val="14"/>
            <color indexed="81"/>
            <rFont val="Tahoma"/>
            <family val="2"/>
          </rPr>
          <t xml:space="preserve">Note:
</t>
        </r>
        <r>
          <rPr>
            <sz val="14"/>
            <color indexed="81"/>
            <rFont val="Tahoma"/>
            <family val="2"/>
          </rPr>
          <t xml:space="preserve">The Project Useful Life is the number of years that the project is expected to be fully operational, reliably delivering electricity to the grid, and generating revenue. This concept is different from the FIT Contract Length, which is administratively determined by policymakers. These two values may be the same if a FIT contract is offered for the project's entire expected useful life. This approach is likely to generate the lowest tariff rate, while successfully attracting investors to renewable energy projects.  
The CREST model is built for a maximum Project Useful Life of 30 years.
Input must be greater than 0 and less than or equal to 30.
</t>
        </r>
      </text>
    </comment>
    <comment ref="S786" authorId="1" shapeId="0" xr:uid="{173C9F56-353B-499D-B8F0-A479D5EFB17D}">
      <text>
        <r>
          <rPr>
            <b/>
            <sz val="14"/>
            <color indexed="81"/>
            <rFont val="Tahoma"/>
            <family val="2"/>
          </rPr>
          <t xml:space="preserve">Note:
</t>
        </r>
        <r>
          <rPr>
            <sz val="14"/>
            <color indexed="81"/>
            <rFont val="Tahoma"/>
            <family val="2"/>
          </rPr>
          <t>If the designated "FIT Contract Length" is less than the defined "Project Useful Life", then this grouping of inputs is used to calculate the project's market-based revenue during the period from FIT contract expiration to the end of the project's life.</t>
        </r>
        <r>
          <rPr>
            <b/>
            <sz val="14"/>
            <color indexed="81"/>
            <rFont val="Tahoma"/>
            <family val="2"/>
          </rPr>
          <t xml:space="preserve">
</t>
        </r>
        <r>
          <rPr>
            <sz val="14"/>
            <color indexed="81"/>
            <rFont val="Tahoma"/>
            <family val="2"/>
          </rPr>
          <t xml:space="preserve">
</t>
        </r>
      </text>
    </comment>
    <comment ref="S787" authorId="1" shapeId="0" xr:uid="{822CEFE0-F93B-4980-B71F-86680191A69C}">
      <text>
        <r>
          <rPr>
            <b/>
            <sz val="14"/>
            <color indexed="81"/>
            <rFont val="Tahoma"/>
            <family val="2"/>
          </rPr>
          <t xml:space="preserve">Note:
</t>
        </r>
        <r>
          <rPr>
            <sz val="14"/>
            <color indexed="81"/>
            <rFont val="Tahoma"/>
            <family val="2"/>
          </rPr>
          <t>Selecting "Year One" forecasts the total market value of production based on an estimate of that value in the project's first year of commercial operation and a user-defined escalation rate.  
Selecting "Year-by-Year" enables the user to enter unique annual values for the period after the FIT expires and before the end of the project's useful life.</t>
        </r>
        <r>
          <rPr>
            <b/>
            <sz val="14"/>
            <color indexed="81"/>
            <rFont val="Tahoma"/>
            <family val="2"/>
          </rPr>
          <t xml:space="preserve">
</t>
        </r>
        <r>
          <rPr>
            <sz val="14"/>
            <color indexed="81"/>
            <rFont val="Tahoma"/>
            <family val="2"/>
          </rPr>
          <t xml:space="preserve">
</t>
        </r>
      </text>
    </comment>
    <comment ref="F788" authorId="0" shapeId="0" xr:uid="{EDB1417D-D5F7-473F-B129-A039C93B7774}">
      <text>
        <r>
          <rPr>
            <b/>
            <sz val="8"/>
            <color indexed="81"/>
            <rFont val="Tahoma"/>
            <family val="2"/>
          </rPr>
          <t>See "unit" definitions at the bottom of this worksheet.</t>
        </r>
        <r>
          <rPr>
            <sz val="8"/>
            <color indexed="81"/>
            <rFont val="Tahoma"/>
            <family val="2"/>
          </rPr>
          <t xml:space="preserve">
</t>
        </r>
      </text>
    </comment>
    <comment ref="S788" authorId="1" shapeId="0" xr:uid="{D47277B8-1360-4498-82EE-5F2EB2524AB9}">
      <text>
        <r>
          <rPr>
            <b/>
            <sz val="14"/>
            <color indexed="81"/>
            <rFont val="Tahoma"/>
            <family val="2"/>
          </rPr>
          <t xml:space="preserve">Note:
</t>
        </r>
        <r>
          <rPr>
            <sz val="14"/>
            <color indexed="81"/>
            <rFont val="Tahoma"/>
            <family val="2"/>
          </rPr>
          <t xml:space="preserve">This is the </t>
        </r>
        <r>
          <rPr>
            <b/>
            <sz val="14"/>
            <color indexed="81"/>
            <rFont val="Tahoma"/>
            <family val="2"/>
          </rPr>
          <t>combined</t>
        </r>
        <r>
          <rPr>
            <sz val="14"/>
            <color indexed="81"/>
            <rFont val="Tahoma"/>
            <family val="2"/>
          </rPr>
          <t xml:space="preserve"> (or "bundled") market value of energy + capacity + Renewable Energy Credtis (RECs) in the same year in which the project's first enters commercial operation.
This input must be greater than zero.
</t>
        </r>
      </text>
    </comment>
    <comment ref="I789" authorId="1" shapeId="0" xr:uid="{CDF8E912-7F75-4333-9808-0D0A1F583380}">
      <text>
        <r>
          <rPr>
            <b/>
            <sz val="14"/>
            <color indexed="81"/>
            <rFont val="Tahoma"/>
            <family val="2"/>
          </rPr>
          <t>Note:</t>
        </r>
        <r>
          <rPr>
            <sz val="14"/>
            <color indexed="81"/>
            <rFont val="Tahoma"/>
            <family val="2"/>
          </rPr>
          <t xml:space="preserve">
This model alllows the user to input system cost at 1 of 3 levels of detail: "simple", "intermediate" or "complex." Simple offers a single input in $/kW, Intermediate offers five cost subcategories in total dollars, and Complex offers line-by-line project costing with user-defined categories and costs per line-item.  
Select your preferred method and use the cells below to enter your cost information. If you choose the "Complex" option, you will need to follow the link below to the "Complex Capital Costs" tab.</t>
        </r>
      </text>
    </comment>
    <comment ref="S789" authorId="1" shapeId="0" xr:uid="{9AD80DB1-03DD-4CDE-A817-87D14FB42564}">
      <text>
        <r>
          <rPr>
            <b/>
            <sz val="14"/>
            <color indexed="81"/>
            <rFont val="Tahoma"/>
            <family val="2"/>
          </rPr>
          <t xml:space="preserve">Note:
</t>
        </r>
        <r>
          <rPr>
            <sz val="14"/>
            <color indexed="81"/>
            <rFont val="Tahoma"/>
            <family val="2"/>
          </rPr>
          <t xml:space="preserve">When the "Year One" forecast methodology is selected, this is the user-defined escalation rate at which the market value of production is expected to change.
Input must be greater than zero.
</t>
        </r>
      </text>
    </comment>
    <comment ref="I790" authorId="1" shapeId="0" xr:uid="{F1263E54-48B2-434B-A25A-7C3BDB365BBC}">
      <text>
        <r>
          <rPr>
            <b/>
            <sz val="14"/>
            <color indexed="81"/>
            <rFont val="Tahoma"/>
            <family val="2"/>
          </rPr>
          <t>Note:</t>
        </r>
        <r>
          <rPr>
            <sz val="14"/>
            <color indexed="81"/>
            <rFont val="Tahoma"/>
            <family val="2"/>
          </rPr>
          <t xml:space="preserve">
When "Simple" is selected in the Cost Level of Detail cell, this "Total Installed Cost" row represents the total expected all-in project cost, which should include all hardware, balance of plant, interconnection, design, construction, permitting, development (including developer fee), interest during construction and financing costs. This figure should not account for any tax incentives, grants, or other cash incentives, each of which will be addressed elsewhere in the model. This figure should, however, reflect any applicable sales tax or exemptions thereof.
Input must be greater than zero.
</t>
        </r>
      </text>
    </comment>
    <comment ref="S790" authorId="1" shapeId="0" xr:uid="{0CEA9270-5A62-41DA-B9D9-3D3875DEF744}">
      <text>
        <r>
          <rPr>
            <b/>
            <sz val="14"/>
            <color indexed="81"/>
            <rFont val="Tahoma"/>
            <family val="2"/>
          </rPr>
          <t xml:space="preserve">Note:
</t>
        </r>
        <r>
          <rPr>
            <sz val="14"/>
            <color indexed="81"/>
            <rFont val="Tahoma"/>
            <family val="2"/>
          </rPr>
          <t xml:space="preserve">When "Year-by-Year" market value of production forecast is selected, this link brings the user to another worksheet on which unique annual values may be entered.
</t>
        </r>
      </text>
    </comment>
    <comment ref="I791" authorId="1" shapeId="0" xr:uid="{1E42B94E-3B6B-4141-BEE0-2544338C2F11}">
      <text>
        <r>
          <rPr>
            <b/>
            <sz val="14"/>
            <color indexed="81"/>
            <rFont val="Tahoma"/>
            <family val="2"/>
          </rPr>
          <t>Note:</t>
        </r>
        <r>
          <rPr>
            <sz val="14"/>
            <color indexed="81"/>
            <rFont val="Tahoma"/>
            <family val="2"/>
          </rPr>
          <t xml:space="preserve">
"Generation Equipment" should include hardware such as the generator, blades and tower.  
Caution: the model assumes that if "Intermediate" is selected as the level of detail section, the "Generation Equipment" row must have a value greater than zero. 
</t>
        </r>
      </text>
    </comment>
    <comment ref="I792" authorId="1" shapeId="0" xr:uid="{36CB41B1-8A12-4F0E-891C-E5B3C4DD2C74}">
      <text>
        <r>
          <rPr>
            <b/>
            <sz val="14"/>
            <color indexed="81"/>
            <rFont val="Tahoma"/>
            <family val="2"/>
          </rPr>
          <t>Note:</t>
        </r>
        <r>
          <rPr>
            <sz val="14"/>
            <color indexed="81"/>
            <rFont val="Tahoma"/>
            <family val="2"/>
          </rPr>
          <t xml:space="preserve">
Balance of Plant (also known as Balance of System) represents all infrastructure, site prep and labor supporting the installation of the generation equipment. BOP costs include foundations, mounting devices, other hardware, and labor not already accounted for in the "Generation Equipment" row.
Input cannot be less than zero.
</t>
        </r>
      </text>
    </comment>
    <comment ref="P792" authorId="0" shapeId="0" xr:uid="{0A0AD98C-8583-4948-A721-D0CDE7AF330A}">
      <text>
        <r>
          <rPr>
            <b/>
            <sz val="8"/>
            <color indexed="81"/>
            <rFont val="Tahoma"/>
            <family val="2"/>
          </rPr>
          <t>See "unit" definitions at the bottom of this worksheet.</t>
        </r>
        <r>
          <rPr>
            <sz val="8"/>
            <color indexed="81"/>
            <rFont val="Tahoma"/>
            <family val="2"/>
          </rPr>
          <t xml:space="preserve">
</t>
        </r>
      </text>
    </comment>
    <comment ref="I793" authorId="1" shapeId="0" xr:uid="{2C3057E2-FC92-44DB-BEEF-C98325964FCF}">
      <text>
        <r>
          <rPr>
            <b/>
            <sz val="14"/>
            <color indexed="81"/>
            <rFont val="Tahoma"/>
            <family val="2"/>
          </rPr>
          <t>Note:</t>
        </r>
        <r>
          <rPr>
            <sz val="14"/>
            <color indexed="81"/>
            <rFont val="Tahoma"/>
            <family val="2"/>
          </rPr>
          <t xml:space="preserve">
The "Interconnection" row should account for all project costs relating to connecting to the grid, such as the construction of transmission lines, permitting costs with the utility, and start-up costs. This category will also include the cost of a new substation, if necessary.
Regulators wishing to explore the potential that interconnection costs may be recovered from ratepayers separately can elect to enter zeros in this cost category whenever "Intermediate" or "Complex" is selected.
Input cannot be less than zero.
</t>
        </r>
      </text>
    </comment>
    <comment ref="S793" authorId="0" shapeId="0" xr:uid="{D37083C6-E590-49BE-9DE7-6FB9BFAC3C67}">
      <text>
        <r>
          <rPr>
            <b/>
            <sz val="14"/>
            <color indexed="81"/>
            <rFont val="Tahoma"/>
            <family val="2"/>
          </rPr>
          <t xml:space="preserve">Note:
</t>
        </r>
        <r>
          <rPr>
            <sz val="14"/>
            <color indexed="81"/>
            <rFont val="Tahoma"/>
            <family val="2"/>
          </rPr>
          <t>This drop-down input cell allows the user to specify whether federal incentives are cost-based (e.g. an investment tax credit) or performance-based (e.g. a PTC). The magnitude and terms of these incentives are set in the cells below.
For more information, a useful resource for researching federal and state incentives online is:  
http://dsireusa.org/
*See bottom of introduction page for a list of links</t>
        </r>
      </text>
    </comment>
    <comment ref="E794" authorId="0" shapeId="0" xr:uid="{169A05B2-9EB4-4FC9-9D87-8B82BB16529A}">
      <text>
        <r>
          <rPr>
            <b/>
            <sz val="14"/>
            <color indexed="81"/>
            <rFont val="Tahoma"/>
            <family val="2"/>
          </rPr>
          <t>Jason Gifford:</t>
        </r>
        <r>
          <rPr>
            <sz val="14"/>
            <color indexed="81"/>
            <rFont val="Tahoma"/>
            <family val="2"/>
          </rPr>
          <t xml:space="preserve">
Converted to "admin cost" for community remote DG</t>
        </r>
      </text>
    </comment>
    <comment ref="I794" authorId="1" shapeId="0" xr:uid="{AD9FCADF-9B12-45A7-86E7-BC5C94401C09}">
      <text>
        <r>
          <rPr>
            <b/>
            <sz val="14"/>
            <color indexed="81"/>
            <rFont val="Tahoma"/>
            <family val="2"/>
          </rPr>
          <t>Note:</t>
        </r>
        <r>
          <rPr>
            <sz val="8"/>
            <color indexed="81"/>
            <rFont val="Tahoma"/>
            <family val="2"/>
          </rPr>
          <t xml:space="preserve">
</t>
        </r>
        <r>
          <rPr>
            <sz val="14"/>
            <color indexed="81"/>
            <rFont val="Tahoma"/>
            <family val="2"/>
          </rPr>
          <t xml:space="preserve">The "Development Costs" row should include all costs relating to project management, studies, engineering, permitting, contingencies, success fees, and other soft costs not accounted for elsewhere in the "Intermediate" cost breakdown. 
Input cannot be less than zero.
</t>
        </r>
      </text>
    </comment>
    <comment ref="S794" authorId="1" shapeId="0" xr:uid="{0438DDF9-E33D-4D0A-8241-E16D109E63BA}">
      <text>
        <r>
          <rPr>
            <b/>
            <sz val="14"/>
            <color indexed="81"/>
            <rFont val="Tahoma"/>
            <family val="2"/>
          </rPr>
          <t xml:space="preserve">Note:
</t>
        </r>
        <r>
          <rPr>
            <sz val="14"/>
            <color indexed="81"/>
            <rFont val="Tahoma"/>
            <family val="2"/>
          </rPr>
          <t>Some renewable energy projects may be eligible to take advantagee of Federal incentives such as the Investment Tax Credit or a Treasury Grant. Information on eligibility for funding opportunities such as these is available online at:
http://dsireusa.org/incentives/incentive.cfm?Incentive_Code=US02F&amp;re=1&amp;ee=1
*See bottom of introduction page for a list of links</t>
        </r>
        <r>
          <rPr>
            <b/>
            <sz val="14"/>
            <color indexed="81"/>
            <rFont val="Tahoma"/>
            <family val="2"/>
          </rPr>
          <t xml:space="preserve">
</t>
        </r>
        <r>
          <rPr>
            <sz val="14"/>
            <color indexed="81"/>
            <rFont val="Tahoma"/>
            <family val="2"/>
          </rPr>
          <t xml:space="preserve">
</t>
        </r>
      </text>
    </comment>
    <comment ref="I795" authorId="1" shapeId="0" xr:uid="{368BB44A-D4D0-42C9-87F1-565175D9807D}">
      <text>
        <r>
          <rPr>
            <b/>
            <sz val="14"/>
            <color indexed="81"/>
            <rFont val="Tahoma"/>
            <family val="2"/>
          </rPr>
          <t>Note:</t>
        </r>
        <r>
          <rPr>
            <sz val="14"/>
            <color indexed="81"/>
            <rFont val="Tahoma"/>
            <family val="2"/>
          </rPr>
          <t xml:space="preserve">
The "Reserves &amp; Financing Costs" row accounts for all costs relating to financing, such as lender fees, closing costs, legal fees, interest during construction, due diligence costs, and any other relevant, financing relating costs. The model calculates this field by aggregating G22 through G25, G51, G54, G63, G66, Q57 and Q60.
</t>
        </r>
      </text>
    </comment>
    <comment ref="S795" authorId="0" shapeId="0" xr:uid="{65C44ADD-942A-4F63-ABA3-8EED09ED0725}">
      <text>
        <r>
          <rPr>
            <b/>
            <sz val="14"/>
            <color indexed="81"/>
            <rFont val="Tahoma"/>
            <family val="2"/>
          </rPr>
          <t xml:space="preserve">NOTE:
</t>
        </r>
        <r>
          <rPr>
            <sz val="14"/>
            <color indexed="81"/>
            <rFont val="Tahoma"/>
            <family val="2"/>
          </rPr>
          <t xml:space="preserve">The maximum potential Investment Tax Credit (ITC) benefit is assumed to be 30% of those project costs which are depreciable on the 5-year MACRS schedule.  This 'eligible costs' assumption is purposefully simplified for this analysis.  Project costs depreciated on other bases may also be eligible for the ITC.  Developers should consult with tax counsel for project-specific depreciation and ITC treatment of each project cost.
</t>
        </r>
        <r>
          <rPr>
            <sz val="8"/>
            <color indexed="81"/>
            <rFont val="Tahoma"/>
            <family val="2"/>
          </rPr>
          <t xml:space="preserve">
</t>
        </r>
      </text>
    </comment>
    <comment ref="I796" authorId="1" shapeId="0" xr:uid="{224C4BDB-C621-43F5-B0D7-8A0175D0ED59}">
      <text>
        <r>
          <rPr>
            <b/>
            <sz val="14"/>
            <color indexed="81"/>
            <rFont val="Tahoma"/>
            <family val="2"/>
          </rPr>
          <t>Note:</t>
        </r>
        <r>
          <rPr>
            <sz val="14"/>
            <color indexed="81"/>
            <rFont val="Tahoma"/>
            <family val="2"/>
          </rPr>
          <t xml:space="preserve">
If you wish to enter your project costs under the "Complex" format, select Complex from the drop-down menu and use the link to the left to access additional worksheets which provide the opportunitiy to add significant, additional detail on project costs. Once complete, the model will roll up the detailed costs and populate this row with the resultant final project cost. </t>
        </r>
      </text>
    </comment>
    <comment ref="S796" authorId="0" shapeId="0" xr:uid="{8943C78B-B554-4DCA-83DA-3E37EE2921E3}">
      <text>
        <r>
          <rPr>
            <b/>
            <sz val="14"/>
            <color indexed="81"/>
            <rFont val="Tahoma"/>
            <family val="2"/>
          </rPr>
          <t xml:space="preserve">NOTE:
</t>
        </r>
        <r>
          <rPr>
            <sz val="14"/>
            <color indexed="81"/>
            <rFont val="Tahoma"/>
            <family val="2"/>
          </rPr>
          <t xml:space="preserve">As a tax </t>
        </r>
        <r>
          <rPr>
            <u/>
            <sz val="14"/>
            <color indexed="81"/>
            <rFont val="Tahoma"/>
            <family val="2"/>
          </rPr>
          <t>credit</t>
        </r>
        <r>
          <rPr>
            <sz val="14"/>
            <color indexed="81"/>
            <rFont val="Tahoma"/>
            <family val="2"/>
          </rPr>
          <t>, the ITC is only usable by project owners with positive federal income tax liability.  
In cases where the owner's tax liability in the calendar year of the project's first commercial operation exceeds the ITC amount, the user may enter 100% in this field and assume full utilization of the ITC.
If the owner's tax liability is less than the available ITC, the user may either enter a % value less than 100% or select the "carried forward" method in the "Tax Benefits used as generated or carried forward?" cell.  
Input must be between 0% and 100%.</t>
        </r>
        <r>
          <rPr>
            <sz val="8"/>
            <color indexed="81"/>
            <rFont val="Tahoma"/>
            <family val="2"/>
          </rPr>
          <t xml:space="preserve">
</t>
        </r>
      </text>
    </comment>
    <comment ref="I797" authorId="1" shapeId="0" xr:uid="{068858F3-19F0-424D-B120-1D4F303C9E65}">
      <text>
        <r>
          <rPr>
            <b/>
            <sz val="14"/>
            <color indexed="81"/>
            <rFont val="Tahoma"/>
            <family val="2"/>
          </rPr>
          <t>Note:</t>
        </r>
        <r>
          <rPr>
            <sz val="14"/>
            <color indexed="81"/>
            <rFont val="Tahoma"/>
            <family val="2"/>
          </rPr>
          <t xml:space="preserve">
The total system cost is a calculation, based on the level of detail selected and the assocated inputs.
</t>
        </r>
      </text>
    </comment>
    <comment ref="S797" authorId="0" shapeId="0" xr:uid="{1B3EC98D-1FAE-4D05-AC7A-9D4E32D75410}">
      <text>
        <r>
          <rPr>
            <b/>
            <sz val="14"/>
            <color indexed="81"/>
            <rFont val="Tahoma"/>
            <family val="2"/>
          </rPr>
          <t xml:space="preserve">Note:
</t>
        </r>
        <r>
          <rPr>
            <sz val="14"/>
            <color indexed="81"/>
            <rFont val="Tahoma"/>
            <family val="2"/>
          </rPr>
          <t xml:space="preserve">Calculates the dollar value of the Investment Tax Credit or Cash Grant, if applicable.
</t>
        </r>
      </text>
    </comment>
    <comment ref="I798" authorId="1" shapeId="0" xr:uid="{00C89AEC-3D9E-4F53-AA54-B569CE50392F}">
      <text>
        <r>
          <rPr>
            <b/>
            <sz val="14"/>
            <color indexed="81"/>
            <rFont val="Tahoma"/>
            <family val="2"/>
          </rPr>
          <t>Note:</t>
        </r>
        <r>
          <rPr>
            <sz val="14"/>
            <color indexed="81"/>
            <rFont val="Tahoma"/>
            <family val="2"/>
          </rPr>
          <t xml:space="preserve">
Calculation based on the total system cost in the cell above and the system size reported. Typical costs (as of 2010) fall between $2,000/kW and $3,000/kW.</t>
        </r>
        <r>
          <rPr>
            <sz val="8"/>
            <color indexed="81"/>
            <rFont val="Tahoma"/>
            <family val="2"/>
          </rPr>
          <t xml:space="preserve">
</t>
        </r>
      </text>
    </comment>
    <comment ref="S798" authorId="0" shapeId="0" xr:uid="{350135C4-D39B-47E7-8EA1-E52BF0A7A2AA}">
      <text>
        <r>
          <rPr>
            <b/>
            <sz val="14"/>
            <color indexed="81"/>
            <rFont val="Tahoma"/>
            <family val="2"/>
          </rPr>
          <t xml:space="preserve">Note: </t>
        </r>
        <r>
          <rPr>
            <sz val="14"/>
            <color indexed="81"/>
            <rFont val="Tahoma"/>
            <family val="2"/>
          </rPr>
          <t xml:space="preserve">
This input cell, the "Performance Based Incentive" or "PBI" is another potential incentive available to some specific projects. The PBI would be separate from a feed-in-tariff, but acts similarly in that it is per unit of production (typically kWh) income to a project.
Some examples of PBIs include the Federal Production Tax Credit (applicable to private projects with tax appetites) and the Federal Renewable Energy Production Incentive (REPI), historically available to some public projects.
</t>
        </r>
      </text>
    </comment>
    <comment ref="I799" authorId="1" shapeId="0" xr:uid="{2AD508FD-231D-4C70-BE3E-B24EBBD1DD4A}">
      <text>
        <r>
          <rPr>
            <b/>
            <sz val="14"/>
            <color indexed="81"/>
            <rFont val="Tahoma"/>
            <family val="2"/>
          </rPr>
          <t xml:space="preserve">Note:
</t>
        </r>
        <r>
          <rPr>
            <sz val="14"/>
            <color indexed="81"/>
            <rFont val="Tahoma"/>
            <family val="2"/>
          </rPr>
          <t xml:space="preserve">This cell calculates the total of all applicable grants, excluding the payment in lieu of the Federal ITC (also known as the ITC Cash Grant, or Cash Grant), if applicable.  The ITC Cash Grant is considered separately because unlike grants issued upfront and used to offset capital costs, the ITC Cash Grant is disbursed approxiamtely 60 days after the start of commercial operations and therefore becomes an integral part of the project's financing.
Where grants are treated as taxable income, this cell calculates the after-tax impact on the total cost of the project.
  </t>
        </r>
        <r>
          <rPr>
            <sz val="8"/>
            <color indexed="81"/>
            <rFont val="Tahoma"/>
            <family val="2"/>
          </rPr>
          <t xml:space="preserve">
</t>
        </r>
      </text>
    </comment>
    <comment ref="S799" authorId="0" shapeId="0" xr:uid="{D362FA8E-18F9-465F-AE58-165AA41E0E80}">
      <text>
        <r>
          <rPr>
            <b/>
            <sz val="14"/>
            <color indexed="81"/>
            <rFont val="Tahoma"/>
            <family val="2"/>
          </rPr>
          <t xml:space="preserve">Note: </t>
        </r>
        <r>
          <rPr>
            <sz val="14"/>
            <color indexed="81"/>
            <rFont val="Tahoma"/>
            <family val="2"/>
          </rPr>
          <t xml:space="preserve">
This cell denotes the value of the Performance Based Incentive applicable to the project's first year of commercial operation. In some cases, this value will need to be calculated external to the model if such PBI is derived from a "base year" and specified inflation index. The following cells can be used to account for inflation and the maximum term of eligibility.
Input cannot be less than zero.
</t>
        </r>
      </text>
    </comment>
    <comment ref="I800" authorId="1" shapeId="0" xr:uid="{D8DA5469-7E47-4CD4-9678-568A8E6196C2}">
      <text>
        <r>
          <rPr>
            <b/>
            <sz val="14"/>
            <color indexed="81"/>
            <rFont val="Tahoma"/>
            <family val="2"/>
          </rPr>
          <t>Note:</t>
        </r>
        <r>
          <rPr>
            <sz val="14"/>
            <color indexed="81"/>
            <rFont val="Tahoma"/>
            <family val="2"/>
          </rPr>
          <t xml:space="preserve">
Calculation of total project cost net applicable grants. 
</t>
        </r>
      </text>
    </comment>
    <comment ref="S800" authorId="0" shapeId="0" xr:uid="{8CC84E91-6660-4CD8-97D3-EEED4EC3154F}">
      <text>
        <r>
          <rPr>
            <b/>
            <sz val="14"/>
            <color indexed="81"/>
            <rFont val="Tahoma"/>
            <family val="2"/>
          </rPr>
          <t>Note:</t>
        </r>
        <r>
          <rPr>
            <sz val="14"/>
            <color indexed="81"/>
            <rFont val="Tahoma"/>
            <family val="2"/>
          </rPr>
          <t xml:space="preserve">
This is the length of time that a project would be eligible for any Performance Based Incentives outlined in the cell immediately above. For example, the Federal Renewable Energy Production Incentive and Production Tax Credit incentives are available for the first 10 years of project operation.
Input cannot be less than zero.
</t>
        </r>
      </text>
    </comment>
    <comment ref="I801" authorId="1" shapeId="0" xr:uid="{EDDD69B5-1ECE-4906-B3C4-8A82DC530DCE}">
      <text>
        <r>
          <rPr>
            <b/>
            <sz val="14"/>
            <color indexed="81"/>
            <rFont val="Tahoma"/>
            <family val="2"/>
          </rPr>
          <t xml:space="preserve">Note:
</t>
        </r>
        <r>
          <rPr>
            <sz val="14"/>
            <color indexed="81"/>
            <rFont val="Tahoma"/>
            <family val="2"/>
          </rPr>
          <t xml:space="preserve">Calculation, based on net project cost and total installed capacity. 
</t>
        </r>
      </text>
    </comment>
    <comment ref="S801" authorId="0" shapeId="0" xr:uid="{BD15EC2C-30C9-4B3E-AE9B-D6FB735CD5AE}">
      <text>
        <r>
          <rPr>
            <b/>
            <sz val="14"/>
            <color indexed="81"/>
            <rFont val="Tahoma"/>
            <family val="2"/>
          </rPr>
          <t xml:space="preserve">Note:
</t>
        </r>
        <r>
          <rPr>
            <sz val="14"/>
            <color indexed="81"/>
            <rFont val="Tahoma"/>
            <family val="2"/>
          </rPr>
          <t xml:space="preserve">Performance Based Incentives are often adjusted to account for inflation. For example, the Federal Production Tax Credit (PTC) is adjusted each year to account for changes in the GDP IPD index. This cell can be used as a proxy for the inflation that would apply to any PBI incentive entered above.
This input cannot be left blank.
</t>
        </r>
        <r>
          <rPr>
            <sz val="8"/>
            <color indexed="81"/>
            <rFont val="Tahoma"/>
            <family val="2"/>
          </rPr>
          <t xml:space="preserve">
</t>
        </r>
      </text>
    </comment>
    <comment ref="S802" authorId="0" shapeId="0" xr:uid="{3E2FB8DC-4E75-4136-8CA1-B63D5C047EA2}">
      <text>
        <r>
          <rPr>
            <b/>
            <sz val="14"/>
            <color indexed="81"/>
            <rFont val="Tahoma"/>
            <family val="2"/>
          </rPr>
          <t xml:space="preserve">Note:
</t>
        </r>
        <r>
          <rPr>
            <sz val="14"/>
            <color indexed="81"/>
            <rFont val="Tahoma"/>
            <family val="2"/>
          </rPr>
          <t>In some cases, due to the nature of the requirements of some Performance Based Incentive programs, project owners are unable to maximize the full revenue stream of the incentive. For example, in the case of the Federal Production Tax Credit (PTC), the project owner may not have sufficienct tax appetite to fully utilize the tax credits. 
This input cell would allow the modeler to account for the owner's inability to fully utilize the PTC and/or the reduction of the PTC (a "haircut") due to the presence of subsidized (below market interest rate) financing.
Incentive "availability" will likely be a factor if this cell is being used to model the cash-based Renewable Energy Production Incentive (REPI).  The REPI program has historically been underfunded; available monies are allocated pro rata among eligible projects.  In this case, the value entered in this cell should reflect the user's expectation of the fraction of the face value REPI payment that will be available over the applicable incentive term.
Input must be between 0% to 100%.</t>
        </r>
      </text>
    </comment>
    <comment ref="F803" authorId="0" shapeId="0" xr:uid="{AF5A60B2-D3BB-4DCC-A81B-D432B363EDAF}">
      <text>
        <r>
          <rPr>
            <b/>
            <sz val="8"/>
            <color indexed="81"/>
            <rFont val="Tahoma"/>
            <family val="2"/>
          </rPr>
          <t>See "unit" definitions at the bottom of this worksheet.</t>
        </r>
        <r>
          <rPr>
            <sz val="8"/>
            <color indexed="81"/>
            <rFont val="Tahoma"/>
            <family val="2"/>
          </rPr>
          <t xml:space="preserve">
</t>
        </r>
      </text>
    </comment>
    <comment ref="S803" authorId="0" shapeId="0" xr:uid="{5B75A3F9-C637-4873-8FD6-7B0B98227093}">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I804" authorId="0" shapeId="0" xr:uid="{BE25C9A2-51B4-4BB5-9649-F46E60D821F5}">
      <text>
        <r>
          <rPr>
            <b/>
            <sz val="14"/>
            <color indexed="81"/>
            <rFont val="Tahoma"/>
            <family val="2"/>
          </rPr>
          <t>Note:</t>
        </r>
        <r>
          <rPr>
            <sz val="14"/>
            <color indexed="81"/>
            <rFont val="Tahoma"/>
            <family val="2"/>
          </rPr>
          <t xml:space="preserve">
Select either "Simple" or "Intermediate" O&amp;M expense detail using the drop-down menu to the right.
</t>
        </r>
        <r>
          <rPr>
            <sz val="8"/>
            <color indexed="81"/>
            <rFont val="Tahoma"/>
            <family val="2"/>
          </rPr>
          <t xml:space="preserve">
</t>
        </r>
      </text>
    </comment>
    <comment ref="I805" authorId="1" shapeId="0" xr:uid="{D7A62239-661F-4C77-AB90-D5F10B2F33C7}">
      <text>
        <r>
          <rPr>
            <b/>
            <sz val="14"/>
            <color indexed="81"/>
            <rFont val="Tahoma"/>
            <family val="2"/>
          </rPr>
          <t>Note:</t>
        </r>
        <r>
          <rPr>
            <sz val="14"/>
            <color indexed="81"/>
            <rFont val="Tahoma"/>
            <family val="2"/>
          </rPr>
          <t xml:space="preserve">
If "Simple" is selected in the cell above, then this input should reflect the </t>
        </r>
        <r>
          <rPr>
            <b/>
            <u/>
            <sz val="14"/>
            <color indexed="81"/>
            <rFont val="Tahoma"/>
            <family val="2"/>
          </rPr>
          <t>total</t>
        </r>
        <r>
          <rPr>
            <sz val="14"/>
            <color indexed="81"/>
            <rFont val="Tahoma"/>
            <family val="2"/>
          </rPr>
          <t xml:space="preserve"> expected </t>
        </r>
        <r>
          <rPr>
            <b/>
            <u/>
            <sz val="14"/>
            <color indexed="81"/>
            <rFont val="Tahoma"/>
            <family val="2"/>
          </rPr>
          <t>fixed</t>
        </r>
        <r>
          <rPr>
            <sz val="14"/>
            <color indexed="81"/>
            <rFont val="Tahoma"/>
            <family val="2"/>
          </rPr>
          <t xml:space="preserve"> cost of project operations and maintenance, in $/kW-yr.  This </t>
        </r>
        <r>
          <rPr>
            <u/>
            <sz val="14"/>
            <color indexed="81"/>
            <rFont val="Tahoma"/>
            <family val="2"/>
          </rPr>
          <t>includes</t>
        </r>
        <r>
          <rPr>
            <sz val="14"/>
            <color indexed="81"/>
            <rFont val="Tahoma"/>
            <family val="2"/>
          </rPr>
          <t xml:space="preserve"> the insurance, project management, property tax (or payment in lieu thereof), land lease, and royalty expenses which would have been broken out separately in the "Intermediate" case.  Other labor and spare parts should also be included in this estimate.
If the user has obtained O&amp;M expense estimates from a third-party, it is critical to understand which costs have been included.  If the user is not certain that all of the above-listed expenses are included in the fixed cost estimate, then the "Intermediate" approach should be used and these expenses should be entered separately.
If "Intermediate" is selected, then this input should reflect  the expected annual fixed O&amp;M cost before taking into account the additional listed expenses, which are entered below. 
In all cases, fixed O&amp;M would include - among others - the ongoing cost of obtaining daily, weekly or monthly production estimates based on weather and other factors.
Input value must be greater than zero. 
</t>
        </r>
      </text>
    </comment>
    <comment ref="S805" authorId="1" shapeId="0" xr:uid="{276D36F0-3F07-4513-A5A2-3688BD496704}">
      <text>
        <r>
          <rPr>
            <b/>
            <sz val="14"/>
            <color indexed="81"/>
            <rFont val="Tahoma"/>
            <family val="2"/>
          </rPr>
          <t xml:space="preserve">Note:
</t>
        </r>
        <r>
          <rPr>
            <sz val="14"/>
            <color indexed="81"/>
            <rFont val="Tahoma"/>
            <family val="2"/>
          </rPr>
          <t xml:space="preserve">Some renewable energy projects may be eligible for other federal grants as well, such as funding from the U.S. Department of Agriculture. This input cell can be used to capture those funding opportunities, some of which are outlined online at:
http://dsireusa.org/incentives/index.cfm?state=us&amp;re=1&amp;EE=1
*See bottom of introduction page for a list of links
Input cannot be less than zero.
</t>
        </r>
      </text>
    </comment>
    <comment ref="I806" authorId="1" shapeId="0" xr:uid="{D9C7D742-0AA5-4274-9B23-872B3A481F25}">
      <text>
        <r>
          <rPr>
            <b/>
            <sz val="14"/>
            <color indexed="81"/>
            <rFont val="Tahoma"/>
            <family val="2"/>
          </rPr>
          <t>Note:</t>
        </r>
        <r>
          <rPr>
            <sz val="14"/>
            <color indexed="81"/>
            <rFont val="Tahoma"/>
            <family val="2"/>
          </rPr>
          <t xml:space="preserve">
This cell provides the user with the option of accounting for O&amp;M expenses (such as labor and spare parts) which are more easily estimated and modeled on a variable, cents per kWh basis.  
If "Simple" is selected above, then this cell should also take into account variable costs, such as royalties, </t>
        </r>
        <r>
          <rPr>
            <b/>
            <u/>
            <sz val="14"/>
            <color indexed="81"/>
            <rFont val="Tahoma"/>
            <family val="2"/>
          </rPr>
          <t>if</t>
        </r>
        <r>
          <rPr>
            <sz val="14"/>
            <color indexed="81"/>
            <rFont val="Tahoma"/>
            <family val="2"/>
          </rPr>
          <t xml:space="preserve"> such annual expenses are not already accounted for in the fixed cost input above.
Input cannot be less than zero.
</t>
        </r>
      </text>
    </comment>
    <comment ref="S806" authorId="0" shapeId="0" xr:uid="{A92B0B14-990F-4774-B61F-E474591F8A3A}">
      <text>
        <r>
          <rPr>
            <b/>
            <sz val="14"/>
            <color indexed="81"/>
            <rFont val="Tahoma"/>
            <family val="2"/>
          </rPr>
          <t xml:space="preserve">Note:
</t>
        </r>
        <r>
          <rPr>
            <sz val="14"/>
            <color indexed="81"/>
            <rFont val="Tahoma"/>
            <family val="2"/>
          </rPr>
          <t xml:space="preserve">Select here whether federal grants (other than the section 1603 payment in lieu of the ITC/PTC) are treated as taxable income. If no, depreciation basis is reduced. 
</t>
        </r>
      </text>
    </comment>
    <comment ref="I807" authorId="0" shapeId="0" xr:uid="{2AD23AE5-D21C-47A1-8160-43BCB0046390}">
      <text>
        <r>
          <rPr>
            <b/>
            <sz val="14"/>
            <color indexed="81"/>
            <rFont val="Tahoma"/>
            <family val="2"/>
          </rPr>
          <t>Note:</t>
        </r>
        <r>
          <rPr>
            <sz val="14"/>
            <color indexed="81"/>
            <rFont val="Tahoma"/>
            <family val="2"/>
          </rPr>
          <t xml:space="preserve">
This inflation rate applies to both fixed and variable O&amp;M expense, insurance, and project management costs entered above, if applicable. 
The model allows the user to specify an inflation assumption for an "initial period" and a second inflation assumption "thereafter." These inputs can be used to account for inflation which might be fixed during an initial O&amp;M service contract, but are unknown thereafter.  The final year of the "initial period" is  user-defined (e.g. final year of an O&amp;M service contract). 
The purpose of this feature is also to recognize that inflationary trends may change over time, or that some projects may not expect inflation of O&amp;M expenses for the first several years, but may expect inflation thereafter.
This inflation rate does not apply to PILOT or Royalty costs. Input cannot be less than zero.
</t>
        </r>
      </text>
    </comment>
    <comment ref="I808" authorId="0" shapeId="0" xr:uid="{EA0FCA8F-0A5E-40F9-8448-E098EC5EFF09}">
      <text>
        <r>
          <rPr>
            <b/>
            <sz val="14"/>
            <color indexed="81"/>
            <rFont val="Tahoma"/>
            <family val="2"/>
          </rPr>
          <t xml:space="preserve">Note:
</t>
        </r>
        <r>
          <rPr>
            <sz val="14"/>
            <color indexed="81"/>
            <rFont val="Tahoma"/>
            <family val="2"/>
          </rPr>
          <t xml:space="preserve">This feature allows the user to assume that the rate at which expenses change over time is not constant. This cell provides the year in which the first inflation period ends.
Input cannot be less than zero.
</t>
        </r>
      </text>
    </comment>
    <comment ref="P808" authorId="0" shapeId="0" xr:uid="{EFB291C7-9939-4BA6-8D83-551EDD7308B6}">
      <text>
        <r>
          <rPr>
            <b/>
            <sz val="8"/>
            <color indexed="81"/>
            <rFont val="Tahoma"/>
            <family val="2"/>
          </rPr>
          <t>See "unit" definitions at the bottom of this worksheet.</t>
        </r>
        <r>
          <rPr>
            <sz val="8"/>
            <color indexed="81"/>
            <rFont val="Tahoma"/>
            <family val="2"/>
          </rPr>
          <t xml:space="preserve">
</t>
        </r>
      </text>
    </comment>
    <comment ref="I809" authorId="0" shapeId="0" xr:uid="{7EFEE850-3950-44AA-814B-846076AD1187}">
      <text>
        <r>
          <rPr>
            <b/>
            <sz val="14"/>
            <color indexed="81"/>
            <rFont val="Tahoma"/>
            <family val="2"/>
          </rPr>
          <t xml:space="preserve">Note:
</t>
        </r>
        <r>
          <rPr>
            <sz val="14"/>
            <color indexed="81"/>
            <rFont val="Tahoma"/>
            <family val="2"/>
          </rPr>
          <t xml:space="preserve">This cell provides the inflation rate for the remainder of the project's useful life.
Input must be greater than zero.
</t>
        </r>
      </text>
    </comment>
    <comment ref="S809" authorId="1" shapeId="0" xr:uid="{4E2FCF7A-F27E-4F41-94F9-CBA79C61CB3A}">
      <text>
        <r>
          <rPr>
            <b/>
            <sz val="14"/>
            <color indexed="81"/>
            <rFont val="Tahoma"/>
            <family val="2"/>
          </rPr>
          <t xml:space="preserve">Note:
</t>
        </r>
        <r>
          <rPr>
            <sz val="14"/>
            <color indexed="81"/>
            <rFont val="Tahoma"/>
            <family val="2"/>
          </rPr>
          <t>This drop-down input cell allows the user to specify whether state incentives are cost-based (e.g. an investment tax credit) or performance-based (e.g. a PTC or cash payment). If no state incentive is available or useable by the modeled project, the user will select "Neither." The magnitude and terms of these incentives are set in the cells below.
For more information, a useful resource for researching federal and state incentives online is:  
http://dsireusa.org/
*See bottom of introduction page for a list of links</t>
        </r>
      </text>
    </comment>
    <comment ref="I810" authorId="1" shapeId="0" xr:uid="{571696A5-FEDE-442F-968A-94D92BD46096}">
      <text>
        <r>
          <rPr>
            <b/>
            <sz val="14"/>
            <color indexed="81"/>
            <rFont val="Tahoma"/>
            <family val="2"/>
          </rPr>
          <t xml:space="preserve">Note:
</t>
        </r>
        <r>
          <rPr>
            <sz val="14"/>
            <color indexed="81"/>
            <rFont val="Tahoma"/>
            <family val="2"/>
          </rPr>
          <t xml:space="preserve">Project owners, or hosts, are required to carry insurance. This input accounts for the estimated cost of insuring the modeled power generating facility.
Input cannot be less than zero.
</t>
        </r>
      </text>
    </comment>
    <comment ref="S810" authorId="0" shapeId="0" xr:uid="{2EB41B23-FFCC-4C45-A56C-B3DBFBC856A8}">
      <text>
        <r>
          <rPr>
            <b/>
            <sz val="14"/>
            <color indexed="81"/>
            <rFont val="Tahoma"/>
            <family val="2"/>
          </rPr>
          <t xml:space="preserve">NOTE:
</t>
        </r>
        <r>
          <rPr>
            <sz val="14"/>
            <color indexed="81"/>
            <rFont val="Tahoma"/>
            <family val="2"/>
          </rPr>
          <t xml:space="preserve">The maximum potential Investment Tax Credit (ITC) benefit is assumed to be 30% of those project costs which are depreciable on the 5-year MACRS schedule.
</t>
        </r>
      </text>
    </comment>
    <comment ref="I811" authorId="0" shapeId="0" xr:uid="{D90F37E9-10DE-4C7D-9B83-C4AEC34EE91C}">
      <text>
        <r>
          <rPr>
            <b/>
            <sz val="14"/>
            <color indexed="81"/>
            <rFont val="Tahoma"/>
            <family val="2"/>
          </rPr>
          <t xml:space="preserve">Note:
</t>
        </r>
        <r>
          <rPr>
            <sz val="14"/>
            <color indexed="81"/>
            <rFont val="Tahoma"/>
            <family val="2"/>
          </rPr>
          <t xml:space="preserve">This cell calculates the resulting dollar value cost of insurance based on the input above and the project installed cost (net of financing costs).  It is provided simply as a reference for the user.
</t>
        </r>
        <r>
          <rPr>
            <sz val="8"/>
            <color indexed="81"/>
            <rFont val="Tahoma"/>
            <family val="2"/>
          </rPr>
          <t xml:space="preserve">
</t>
        </r>
      </text>
    </comment>
    <comment ref="S811" authorId="0" shapeId="0" xr:uid="{F9BF7A64-4534-4071-BDF6-5E5017F02D12}">
      <text>
        <r>
          <rPr>
            <b/>
            <sz val="14"/>
            <color indexed="81"/>
            <rFont val="Tahoma"/>
            <family val="2"/>
          </rPr>
          <t xml:space="preserve">NOTE:
</t>
        </r>
        <r>
          <rPr>
            <sz val="14"/>
            <color indexed="81"/>
            <rFont val="Tahoma"/>
            <family val="2"/>
          </rPr>
          <t xml:space="preserve">As a tax </t>
        </r>
        <r>
          <rPr>
            <u/>
            <sz val="14"/>
            <color indexed="81"/>
            <rFont val="Tahoma"/>
            <family val="2"/>
          </rPr>
          <t>credit</t>
        </r>
        <r>
          <rPr>
            <sz val="14"/>
            <color indexed="81"/>
            <rFont val="Tahoma"/>
            <family val="2"/>
          </rPr>
          <t>, the ITC is only usable by project owners with positive federal income tax liability.  
In cases where the owner's tax liability in the calendar year of the project's first commercial operation exceeds the ITC amount, the user may enter 100% in this field and assume full utilization of the ITC.
If the owner's tax liability is less than the available ITC, a % less than 100% must be entered in order to represent a less efficient utilization of this federal tax incentive.
Input must be betwee 0% and 100%.</t>
        </r>
      </text>
    </comment>
    <comment ref="I812" authorId="1" shapeId="0" xr:uid="{7FDF60E2-FE3A-4F50-89A4-A31D809CA29B}">
      <text>
        <r>
          <rPr>
            <b/>
            <sz val="14"/>
            <color indexed="81"/>
            <rFont val="Tahoma"/>
            <family val="2"/>
          </rPr>
          <t>Note:</t>
        </r>
        <r>
          <rPr>
            <sz val="14"/>
            <color indexed="81"/>
            <rFont val="Tahoma"/>
            <family val="2"/>
          </rPr>
          <t xml:space="preserve">
"Project Management" accounts for the cost of staff time related to managing the project's Power Purchase Agreements, grid integration, and periodic reporting to the system operator and policymakers.  
Input cannot be less than zero.
</t>
        </r>
      </text>
    </comment>
    <comment ref="S812" authorId="0" shapeId="0" xr:uid="{EF3BF068-3867-4806-A0CB-3B175535750F}">
      <text>
        <r>
          <rPr>
            <b/>
            <sz val="14"/>
            <color indexed="81"/>
            <rFont val="Tahoma"/>
            <family val="2"/>
          </rPr>
          <t xml:space="preserve">Note:
</t>
        </r>
        <r>
          <rPr>
            <sz val="14"/>
            <color indexed="81"/>
            <rFont val="Tahoma"/>
            <family val="2"/>
          </rPr>
          <t>Specifies whether the available ITC is realized in a single year or over multiple years. This input will be specified by state-specific law or regulation.
A good resource on available state incentives is:  
http://dsireusa.org/
*See bottom of introduction page for a list of links
Input must be greater than 1 and less than the Project Useful Life.</t>
        </r>
      </text>
    </comment>
    <comment ref="I813" authorId="1" shapeId="0" xr:uid="{7C6E51B9-6775-476F-8FA5-0F581C3086C7}">
      <text>
        <r>
          <rPr>
            <b/>
            <sz val="14"/>
            <color indexed="81"/>
            <rFont val="Tahoma"/>
            <family val="2"/>
          </rPr>
          <t xml:space="preserve">Note:
</t>
        </r>
        <r>
          <rPr>
            <sz val="14"/>
            <color indexed="81"/>
            <rFont val="Tahoma"/>
            <family val="2"/>
          </rPr>
          <t xml:space="preserve">"Property Tax or PILOT" accounts for costs associated with any local taxes incurred by the project. Many states offer tax exemptions for renewable energy systems; to check your local applicability, please visit: http://dsireusa.org/ 
This line can also be used to account for any PILOTs or Payment in Leiu of Taxes. Developers often negotiate a PILOT with the local community to secure a fixed, predictable payment that serves both parties appropriately. This model allows the user to input a year-one Property Tax or PILOT value along with an annual property tax adjsutment factor (see next cell down). As a result, taxes can be modeled as flat, increasing, or decreasing annually depending on the value entered in the adjustment factor cell below.
Input cannot be less than zero.
</t>
        </r>
      </text>
    </comment>
    <comment ref="S813" authorId="0" shapeId="0" xr:uid="{0EFA6EE3-A186-4C3F-B4B4-C61770B5083F}">
      <text>
        <r>
          <rPr>
            <b/>
            <sz val="14"/>
            <color indexed="81"/>
            <rFont val="Tahoma"/>
            <family val="2"/>
          </rPr>
          <t xml:space="preserve">Note:
</t>
        </r>
        <r>
          <rPr>
            <sz val="14"/>
            <color indexed="81"/>
            <rFont val="Tahoma"/>
            <family val="2"/>
          </rPr>
          <t xml:space="preserve">Calculates the dollar value of the State Investment Tax Credit, if applicable.
</t>
        </r>
      </text>
    </comment>
    <comment ref="I814" authorId="1" shapeId="0" xr:uid="{FDB0C1C8-9AAC-4D35-B98F-ADE2413BCC66}">
      <text>
        <r>
          <rPr>
            <b/>
            <sz val="14"/>
            <color indexed="81"/>
            <rFont val="Tahoma"/>
            <family val="2"/>
          </rPr>
          <t xml:space="preserve">Note:
</t>
        </r>
        <r>
          <rPr>
            <sz val="14"/>
            <color indexed="81"/>
            <rFont val="Tahoma"/>
            <family val="2"/>
          </rPr>
          <t xml:space="preserve">The Annual Property Tax Adjustment Factor allows the user to specify whether the Year One tax (or PILOT) value will remain fixed and flat, will decrease (a negative percentage value entered in this cell) or increase (a positive percentage value entered in this cell) over time.  </t>
        </r>
        <r>
          <rPr>
            <sz val="8"/>
            <color indexed="81"/>
            <rFont val="Tahoma"/>
            <family val="2"/>
          </rPr>
          <t xml:space="preserve">
</t>
        </r>
      </text>
    </comment>
    <comment ref="S814" authorId="0" shapeId="0" xr:uid="{FC845AE4-75C9-4196-B9D5-D7B76D9862DA}">
      <text>
        <r>
          <rPr>
            <b/>
            <sz val="14"/>
            <color indexed="81"/>
            <rFont val="Tahoma"/>
            <family val="2"/>
          </rPr>
          <t xml:space="preserve">Note: </t>
        </r>
        <r>
          <rPr>
            <sz val="14"/>
            <color indexed="81"/>
            <rFont val="Tahoma"/>
            <family val="2"/>
          </rPr>
          <t xml:space="preserve">
This input cell, the "Performance Based Incentive" or "PBI" is another potential incentive available to some specific projects. The PBI would be separate from a feed-in-tariff, but acts similarly in that it is per unit of production (typically kWh) income to a project.
Some examples of PBIs include the Federal Production Tax Credit (applicable to private projects with tax appetites) and the Federal Renewable Energy Production Incentive (REPI), historically available to some public projects.
</t>
        </r>
      </text>
    </comment>
    <comment ref="I815" authorId="1" shapeId="0" xr:uid="{DF1A6AA6-3822-4B03-BABE-21E609523ECD}">
      <text>
        <r>
          <rPr>
            <b/>
            <sz val="14"/>
            <color indexed="81"/>
            <rFont val="Tahoma"/>
            <family val="2"/>
          </rPr>
          <t xml:space="preserve">Note:
</t>
        </r>
        <r>
          <rPr>
            <sz val="14"/>
            <color indexed="81"/>
            <rFont val="Tahoma"/>
            <family val="2"/>
          </rPr>
          <t xml:space="preserve">The Land Lease input represents </t>
        </r>
        <r>
          <rPr>
            <b/>
            <u/>
            <sz val="14"/>
            <color indexed="81"/>
            <rFont val="Tahoma"/>
            <family val="2"/>
          </rPr>
          <t>fixed payments</t>
        </r>
        <r>
          <rPr>
            <sz val="14"/>
            <color indexed="81"/>
            <rFont val="Tahoma"/>
            <family val="2"/>
          </rPr>
          <t xml:space="preserve"> to the site host (and possibly other affected parties) for the use of the land on which the project is located.  
Variable royalty payments may be applied in addition to, or in lieu of, the land lease payment through the "Royalties" input below, if applicable.  
Input cannot be less than zero.
</t>
        </r>
      </text>
    </comment>
    <comment ref="S815" authorId="0" shapeId="0" xr:uid="{0537241B-23A5-4381-92D4-626CE4A2C975}">
      <text>
        <r>
          <rPr>
            <b/>
            <sz val="14"/>
            <color indexed="81"/>
            <rFont val="Tahoma"/>
            <family val="2"/>
          </rPr>
          <t xml:space="preserve">Note:
</t>
        </r>
        <r>
          <rPr>
            <sz val="14"/>
            <color indexed="81"/>
            <rFont val="Tahoma"/>
            <family val="2"/>
          </rPr>
          <t xml:space="preserve">Impacts tax treatment of PBI if owner is a taxable entity.
</t>
        </r>
      </text>
    </comment>
    <comment ref="I816" authorId="1" shapeId="0" xr:uid="{998FF958-2CFC-42F7-BD32-5411216912BE}">
      <text>
        <r>
          <rPr>
            <b/>
            <sz val="14"/>
            <color indexed="81"/>
            <rFont val="Tahoma"/>
            <family val="2"/>
          </rPr>
          <t xml:space="preserve">Note:
</t>
        </r>
        <r>
          <rPr>
            <sz val="14"/>
            <color indexed="81"/>
            <rFont val="Tahoma"/>
            <family val="2"/>
          </rPr>
          <t xml:space="preserve">The royalties input accounts for </t>
        </r>
        <r>
          <rPr>
            <b/>
            <u/>
            <sz val="14"/>
            <color indexed="81"/>
            <rFont val="Tahoma"/>
            <family val="2"/>
          </rPr>
          <t>variable</t>
        </r>
        <r>
          <rPr>
            <sz val="14"/>
            <color indexed="81"/>
            <rFont val="Tahoma"/>
            <family val="2"/>
          </rPr>
          <t xml:space="preserve"> payments to site hosts, neighbors, partners, or other parties which may have a stake in the project and which are NOT covered by the fixed "Land Lease" payment. 
Fixed payments may be applied in addition to, or in lieu of, the royalty payment through the "Land Lease" input above, if applicable.  
</t>
        </r>
        <r>
          <rPr>
            <b/>
            <sz val="14"/>
            <color indexed="81"/>
            <rFont val="Tahoma"/>
            <family val="2"/>
          </rPr>
          <t>Inflation is NOT applied to this input</t>
        </r>
        <r>
          <rPr>
            <sz val="14"/>
            <color indexed="81"/>
            <rFont val="Tahoma"/>
            <family val="2"/>
          </rPr>
          <t xml:space="preserve">. However, if tariff escalation is selected, then the assumed royalty payment will increase over time since it is calculated as a function of revenue over time.
If the modeled project's royalty payments are not the same over time, then an average annual royalty payment should be calculated externally and entered in this cell. 
This input cannot be less than zero.
</t>
        </r>
        <r>
          <rPr>
            <sz val="8"/>
            <color indexed="81"/>
            <rFont val="Tahoma"/>
            <family val="2"/>
          </rPr>
          <t xml:space="preserve">
</t>
        </r>
      </text>
    </comment>
    <comment ref="S816" authorId="0" shapeId="0" xr:uid="{735ED225-D53B-4F38-939E-D91945134E6D}">
      <text>
        <r>
          <rPr>
            <b/>
            <sz val="14"/>
            <color indexed="81"/>
            <rFont val="Tahoma"/>
            <family val="2"/>
          </rPr>
          <t xml:space="preserve">Note: </t>
        </r>
        <r>
          <rPr>
            <sz val="14"/>
            <color indexed="81"/>
            <rFont val="Tahoma"/>
            <family val="2"/>
          </rPr>
          <t xml:space="preserve">
This cell denotes the value of the Performance Based Incentive applicable to the project's first year of commercial operation. In some cases, this value will need to be calculated external to the model if such PBI is derived from a "base year" and specified inflation index. The following cells can be used to account for inflation and the maximum term of eligibility.
Input cannot be less than zero.
</t>
        </r>
      </text>
    </comment>
    <comment ref="I817" authorId="0" shapeId="0" xr:uid="{11569D9A-D55D-4F22-8328-50BC8BC57168}">
      <text>
        <r>
          <rPr>
            <b/>
            <sz val="14"/>
            <color indexed="81"/>
            <rFont val="Tahoma"/>
            <family val="2"/>
          </rPr>
          <t xml:space="preserve">Note:
</t>
        </r>
        <r>
          <rPr>
            <sz val="14"/>
            <color indexed="81"/>
            <rFont val="Tahoma"/>
            <family val="2"/>
          </rPr>
          <t xml:space="preserve">This cell calculates the resulting dollar value cost of royalties paid to landowners or other stakeholders based on the input above and project revenue.  It is provided simply as a reference for the user.
</t>
        </r>
        <r>
          <rPr>
            <sz val="8"/>
            <color indexed="81"/>
            <rFont val="Tahoma"/>
            <family val="2"/>
          </rPr>
          <t xml:space="preserve">
</t>
        </r>
      </text>
    </comment>
    <comment ref="S817" authorId="0" shapeId="0" xr:uid="{047DB903-E59A-4BEB-865F-D112CEC6393B}">
      <text>
        <r>
          <rPr>
            <b/>
            <sz val="14"/>
            <color indexed="81"/>
            <rFont val="Tahoma"/>
            <family val="2"/>
          </rPr>
          <t>Note:</t>
        </r>
        <r>
          <rPr>
            <sz val="14"/>
            <color indexed="81"/>
            <rFont val="Tahoma"/>
            <family val="2"/>
          </rPr>
          <t xml:space="preserve">
This is the length of time that a project would be eligible for any Performance Based Incentives outlined in the cell immediately above. For example, the Federal Renewable Energy Production Incentive and Production Tax Credit incentives are available for the first 10 years of project operation.
Input cannot be less than zero.
</t>
        </r>
      </text>
    </comment>
    <comment ref="S818" authorId="0" shapeId="0" xr:uid="{8A7E4B26-BA17-4E4E-9FC9-6E39204C51CF}">
      <text>
        <r>
          <rPr>
            <b/>
            <sz val="14"/>
            <color indexed="81"/>
            <rFont val="Tahoma"/>
            <family val="2"/>
          </rPr>
          <t xml:space="preserve">Note:
</t>
        </r>
        <r>
          <rPr>
            <sz val="14"/>
            <color indexed="81"/>
            <rFont val="Tahoma"/>
            <family val="2"/>
          </rPr>
          <t xml:space="preserve">Performance Based Incentives are often adjusted to account for inflation. For example, the Federal Production Tax Credit (PTC) is adjusted each year to account for changes in the GDP IPD index. This cell can be used as a proxy for the inflation that would apply to any PBI incentive entered above.
This input cannot be left blank.
</t>
        </r>
      </text>
    </comment>
    <comment ref="F819" authorId="0" shapeId="0" xr:uid="{4E3BC11A-43FB-4794-B123-FE36136CDD96}">
      <text>
        <r>
          <rPr>
            <b/>
            <sz val="8"/>
            <color indexed="81"/>
            <rFont val="Tahoma"/>
            <family val="2"/>
          </rPr>
          <t>See "unit" definitions at the bottom of this worksheet.</t>
        </r>
        <r>
          <rPr>
            <sz val="8"/>
            <color indexed="81"/>
            <rFont val="Tahoma"/>
            <family val="2"/>
          </rPr>
          <t xml:space="preserve">
</t>
        </r>
      </text>
    </comment>
    <comment ref="S819" authorId="0" shapeId="0" xr:uid="{B2E2235F-1739-47D6-8C96-286C144B9936}">
      <text>
        <r>
          <rPr>
            <b/>
            <sz val="14"/>
            <color indexed="81"/>
            <rFont val="Tahoma"/>
            <family val="2"/>
          </rPr>
          <t xml:space="preserve">Note:
</t>
        </r>
        <r>
          <rPr>
            <sz val="14"/>
            <color indexed="81"/>
            <rFont val="Tahoma"/>
            <family val="2"/>
          </rPr>
          <t xml:space="preserve">In some cases, due to the nature of the requirements of some Performance Based Incentive programs, project owners are unable to maximize the full revenue stream of the incentive. For example, in the case of the Federal Production Tax Credit (PTC), the project owner may not have sufficienct tax appetite to fully utilize the tax credits. 
This input cell would allow the modeler to account for the owner's inability to fully utilize the PTC and/or the reduction of the PTC (a "haircut") due to the presence of subsidized (below market interest rate) financing.
Input must be between 0% and 100%.
</t>
        </r>
        <r>
          <rPr>
            <sz val="8"/>
            <color indexed="81"/>
            <rFont val="Tahoma"/>
            <family val="2"/>
          </rPr>
          <t xml:space="preserve">
</t>
        </r>
      </text>
    </comment>
    <comment ref="I820" authorId="0" shapeId="0" xr:uid="{FFAE6311-1637-4D5F-98F4-1D59E6EF7F46}">
      <text>
        <r>
          <rPr>
            <b/>
            <sz val="14"/>
            <color indexed="81"/>
            <rFont val="Tahoma"/>
            <family val="2"/>
          </rPr>
          <t xml:space="preserve">Note:
</t>
        </r>
        <r>
          <rPr>
            <sz val="14"/>
            <color indexed="81"/>
            <rFont val="Tahoma"/>
            <family val="2"/>
          </rPr>
          <t xml:space="preserve">The # of months from construction start to commercial operation. This input cannot be less than zero.
</t>
        </r>
      </text>
    </comment>
    <comment ref="S820" authorId="0" shapeId="0" xr:uid="{7C50052A-66F4-441B-8055-BD028C3C78F3}">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I821" authorId="0" shapeId="0" xr:uid="{584411A2-C49F-4D9A-8088-F9A5D2F3F983}">
      <text>
        <r>
          <rPr>
            <b/>
            <sz val="14"/>
            <color indexed="81"/>
            <rFont val="Tahoma"/>
            <family val="2"/>
          </rPr>
          <t xml:space="preserve">Note:
</t>
        </r>
        <r>
          <rPr>
            <sz val="14"/>
            <color indexed="81"/>
            <rFont val="Tahoma"/>
            <family val="2"/>
          </rPr>
          <t xml:space="preserve">The annual interest rate on construction debt. This input cannot be less than zero.
</t>
        </r>
      </text>
    </comment>
    <comment ref="I822" authorId="0" shapeId="0" xr:uid="{62C200F6-493B-4BED-A3CF-176F57E2B580}">
      <text>
        <r>
          <rPr>
            <b/>
            <sz val="14"/>
            <color indexed="81"/>
            <rFont val="Tahoma"/>
            <family val="2"/>
          </rPr>
          <t xml:space="preserve">Note:
</t>
        </r>
        <r>
          <rPr>
            <sz val="14"/>
            <color indexed="81"/>
            <rFont val="Tahoma"/>
            <family val="2"/>
          </rPr>
          <t xml:space="preserve">A calculated value showing the interest accrued during the construction period. Rather than requiring the user to define a detailed construction draw-down schedule, this calculation makes the simplifying assumption that the total project cost is spent in equal parts in each month of the construction period.
IDC is calculated on total project cost, assuming that any grants are collected after construction financing is repaid at time of permanent financing.
This cell is only used with the "Intermediate" and "Complex" capital cost options. The "Simple" capital cost option assumes that all project costs, including IDC, are included in the single input.
</t>
        </r>
      </text>
    </comment>
    <comment ref="S822" authorId="0" shapeId="0" xr:uid="{8CC22F1B-BB41-4609-93DF-D7F304BC932C}">
      <text>
        <r>
          <rPr>
            <b/>
            <sz val="14"/>
            <color indexed="81"/>
            <rFont val="Tahoma"/>
            <family val="2"/>
          </rPr>
          <t xml:space="preserve">Note:
</t>
        </r>
        <r>
          <rPr>
            <sz val="14"/>
            <color indexed="81"/>
            <rFont val="Tahoma"/>
            <family val="2"/>
          </rPr>
          <t xml:space="preserve">Include here the total dollar value of any state-specific cash grants or rebates.
Input cannot be less than zero.
</t>
        </r>
      </text>
    </comment>
    <comment ref="S823" authorId="0" shapeId="0" xr:uid="{AA462095-E489-4FF2-B744-4B338E0FB2EB}">
      <text>
        <r>
          <rPr>
            <b/>
            <sz val="14"/>
            <color indexed="81"/>
            <rFont val="Tahoma"/>
            <family val="2"/>
          </rPr>
          <t xml:space="preserve">Note:
</t>
        </r>
        <r>
          <rPr>
            <sz val="14"/>
            <color indexed="81"/>
            <rFont val="Tahoma"/>
            <family val="2"/>
          </rPr>
          <t xml:space="preserve">Select here whether state grants are treated as taxable income.  If no, depreciation basis is reduced. 
</t>
        </r>
      </text>
    </comment>
    <comment ref="F824" authorId="0" shapeId="0" xr:uid="{4C768889-E568-45E5-BE0E-832DCC5E1906}">
      <text>
        <r>
          <rPr>
            <b/>
            <sz val="8"/>
            <color indexed="81"/>
            <rFont val="Tahoma"/>
            <family val="2"/>
          </rPr>
          <t>See "unit" definitions at the bottom of this worksheet.</t>
        </r>
        <r>
          <rPr>
            <sz val="8"/>
            <color indexed="81"/>
            <rFont val="Tahoma"/>
            <family val="2"/>
          </rPr>
          <t xml:space="preserve">
</t>
        </r>
      </text>
    </comment>
    <comment ref="I825" authorId="0" shapeId="0" xr:uid="{F6DB4E43-8754-45C6-AE3A-8247CC3F25DD}">
      <text>
        <r>
          <rPr>
            <b/>
            <sz val="14"/>
            <color indexed="81"/>
            <rFont val="Tahoma"/>
            <family val="2"/>
          </rPr>
          <t xml:space="preserve">Note:
</t>
        </r>
        <r>
          <rPr>
            <sz val="14"/>
            <color indexed="81"/>
            <rFont val="Tahoma"/>
            <family val="2"/>
          </rPr>
          <t xml:space="preserve">For ease of use and comprehension by a wide range of stakeholders, this model allows the user to define the capital structure, and relies on mortgage-style amortization of the project debt. The "% Debt" input specifies the portion of funds borrowed, as a percentage of the total "hard costs." Equity is assumed to fund the remaining hard costs PLUS all "soft costs" (e.g. transaction costs and funding of initial reserve accounts, if applicable).  This input cannot be less than zero.
Where maximum sustainable leverage is desired, the user must manually adjust the "% Debt" entry upward to the highest point </t>
        </r>
        <r>
          <rPr>
            <b/>
            <i/>
            <sz val="14"/>
            <color indexed="81"/>
            <rFont val="Tahoma"/>
            <family val="2"/>
          </rPr>
          <t>before</t>
        </r>
        <r>
          <rPr>
            <sz val="14"/>
            <color indexed="81"/>
            <rFont val="Tahoma"/>
            <family val="2"/>
          </rPr>
          <t xml:space="preserve"> the DSCRs no longer "Pass."
If a specific % Debt is desired, </t>
        </r>
        <r>
          <rPr>
            <u/>
            <sz val="14"/>
            <color indexed="81"/>
            <rFont val="Tahoma"/>
            <family val="2"/>
          </rPr>
          <t>and such % is higher than the maximum sustainable debt</t>
        </r>
        <r>
          <rPr>
            <sz val="14"/>
            <color indexed="81"/>
            <rFont val="Tahoma"/>
            <family val="2"/>
          </rPr>
          <t xml:space="preserve"> (such that it causes the DSCR to "Fail"), then the user must define the % Debt and then manually adjust the "Target After-Tax Equity IRR" upward until the DSCRs are met.  The user should </t>
        </r>
        <r>
          <rPr>
            <b/>
            <sz val="14"/>
            <color indexed="81"/>
            <rFont val="Tahoma"/>
            <family val="2"/>
          </rPr>
          <t>take note</t>
        </r>
        <r>
          <rPr>
            <sz val="14"/>
            <color indexed="81"/>
            <rFont val="Tahoma"/>
            <family val="2"/>
          </rPr>
          <t xml:space="preserve"> that when leverage becomes very high (and the corresponding equity contribution low), the "Target After-Tax Equity IRR" will need to be adjusted to levels exceeding typical commercial returns </t>
        </r>
        <r>
          <rPr>
            <u/>
            <sz val="14"/>
            <color indexed="81"/>
            <rFont val="Tahoma"/>
            <family val="2"/>
          </rPr>
          <t>in order to maintain the DSCR ratio</t>
        </r>
        <r>
          <rPr>
            <sz val="14"/>
            <color indexed="81"/>
            <rFont val="Tahoma"/>
            <family val="2"/>
          </rPr>
          <t xml:space="preserve"> on such high debt levels.  For this reason, it is not recommended that users solve for the COE associated with a % Debt that is beyond the maximum sustainable leverage.
If a project is expected to be funded either by a pool of corporate funds or back-leveraged after commercial operation, the user might elect to enter 0% in the "% Debt" cell and enter a weighted average cost of capital (WACC) in the "Target After-Tax Equity IRR" cell.
</t>
        </r>
      </text>
    </comment>
    <comment ref="I826" authorId="1" shapeId="0" xr:uid="{AF476676-0789-4F6D-AFCF-913063F330E3}">
      <text>
        <r>
          <rPr>
            <b/>
            <sz val="14"/>
            <color indexed="81"/>
            <rFont val="Tahoma"/>
            <family val="2"/>
          </rPr>
          <t>Note:</t>
        </r>
        <r>
          <rPr>
            <sz val="14"/>
            <color indexed="81"/>
            <rFont val="Tahoma"/>
            <family val="2"/>
          </rPr>
          <t xml:space="preserve">
Debt "tenor" (also casually referred to as "term"), is the number of years in the debt repayment schedule.   
Caution: If the project will utilize debt, this value must be greater than zero but less than or equal to the total FIT contract duration.
</t>
        </r>
      </text>
    </comment>
    <comment ref="S826" authorId="0" shapeId="0" xr:uid="{42AA1FE0-6857-43C4-B513-E7C6CE64B25C}">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827" authorId="1" shapeId="0" xr:uid="{AF6BFE73-C59C-47C2-8509-24949C7387CD}">
      <text>
        <r>
          <rPr>
            <b/>
            <sz val="14"/>
            <color indexed="81"/>
            <rFont val="Tahoma"/>
            <family val="2"/>
          </rPr>
          <t>Note:</t>
        </r>
        <r>
          <rPr>
            <sz val="14"/>
            <color indexed="81"/>
            <rFont val="Tahoma"/>
            <family val="2"/>
          </rPr>
          <t xml:space="preserve">
The all-in interest rate is the financing rate provided by the bank or other debt investor.
This input cannot be less than zero.
</t>
        </r>
      </text>
    </comment>
    <comment ref="S827" authorId="0" shapeId="0" xr:uid="{9417BEE5-E2F4-4BED-9D83-44DC31FF1C3E}">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828" authorId="0" shapeId="0" xr:uid="{D049ACE5-0E76-4B53-8FC8-FE385FF1AE2A}">
      <text>
        <r>
          <rPr>
            <b/>
            <sz val="14"/>
            <color indexed="81"/>
            <rFont val="Tahoma"/>
            <family val="2"/>
          </rPr>
          <t xml:space="preserve">Note:
</t>
        </r>
        <r>
          <rPr>
            <sz val="14"/>
            <color indexed="81"/>
            <rFont val="Tahoma"/>
            <family val="2"/>
          </rPr>
          <t xml:space="preserve">A one-time fee collected by the lender and calculated as a % of the total loan amount. This value is typically between 1% and 4%.
This input cannot be less than zero.
</t>
        </r>
      </text>
    </comment>
    <comment ref="S828" authorId="0" shapeId="0" xr:uid="{A741D787-BA68-4465-B98D-71F0B941EC4B}">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829" authorId="1" shapeId="0" xr:uid="{91732774-5673-489A-A86C-7CDF4A496708}">
      <text>
        <r>
          <rPr>
            <b/>
            <sz val="14"/>
            <color indexed="81"/>
            <rFont val="Tahoma"/>
            <family val="2"/>
          </rPr>
          <t>Note:</t>
        </r>
        <r>
          <rPr>
            <sz val="14"/>
            <color indexed="81"/>
            <rFont val="Tahoma"/>
            <family val="2"/>
          </rPr>
          <t xml:space="preserve">
The annual Debt Service Coverage Ratio is calculated by dividing the sum of the annual principal and interest payment into that year's operating cash flow. Lenders will require the DSCR to demonstrate the project's ability to easily meet its annual debt service obligation.
Average DSCRs over the life of the loan typically range from 1.2 to 1.5 for private, commercially financed projects, or from 1.1 to 1.3 for publicly owned, bond-financed projects - depending on the level of reserves, or other surety, provided. 
The annual minimum DSCR will depend on the specific terms of the loan and the probability-weighting of the production estimate, but will likely be in the range of 1.0 to 1.3. This input must be greater than 1.
</t>
        </r>
      </text>
    </comment>
    <comment ref="S829" authorId="0" shapeId="0" xr:uid="{2F01D45A-F877-4473-AFB7-CB9FE8114108}">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830" authorId="0" shapeId="0" xr:uid="{9B5E049F-536C-4955-987C-148599DA7DCD}">
      <text>
        <r>
          <rPr>
            <b/>
            <sz val="14"/>
            <color indexed="81"/>
            <rFont val="Tahoma"/>
            <family val="2"/>
          </rPr>
          <t>Note:</t>
        </r>
        <r>
          <rPr>
            <sz val="14"/>
            <color indexed="81"/>
            <rFont val="Tahoma"/>
            <family val="2"/>
          </rPr>
          <t xml:space="preserve">
If "#N/A" appears, F9 should be pressed until the calculated COE achieves it's final value.</t>
        </r>
      </text>
    </comment>
    <comment ref="S830" authorId="0" shapeId="0" xr:uid="{2ADA28B7-E941-4A8B-8AC7-196EF987D798}">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831" authorId="1" shapeId="0" xr:uid="{63FD150D-B4D6-4958-954D-69CA4D8D90A2}">
      <text>
        <r>
          <rPr>
            <b/>
            <sz val="14"/>
            <color indexed="81"/>
            <rFont val="Tahoma"/>
            <family val="2"/>
          </rPr>
          <t>Note:</t>
        </r>
        <r>
          <rPr>
            <sz val="14"/>
            <color indexed="81"/>
            <rFont val="Tahoma"/>
            <family val="2"/>
          </rPr>
          <t xml:space="preserve">
This cell checks that the debt service coverage ratio exceeds the user-defined minimum in each operating year (see note in DSCR cell for definition and rationale for DSCR). If the test "fails", the user must choose from one of several options in order to cure this deficiency (the extent to which these options are available will be specific to each project):
1. reduce the amount of project level debt, 
2. increase the feed-in tariff rate in order to generate cash flow sufficient to meet the bank's assumed coverage requirement.  In the CREST model, </t>
        </r>
        <r>
          <rPr>
            <u/>
            <sz val="14"/>
            <color indexed="81"/>
            <rFont val="Tahoma"/>
            <family val="2"/>
          </rPr>
          <t>this is done by manually increasing the "Target After-Tax Equity IRR."</t>
        </r>
        <r>
          <rPr>
            <sz val="14"/>
            <color indexed="81"/>
            <rFont val="Tahoma"/>
            <family val="2"/>
          </rPr>
          <t xml:space="preserve">
Other possible, but less likely, mechanisms include:
3. increase the loan tenor
4. decrease the interest rate</t>
        </r>
      </text>
    </comment>
    <comment ref="S831" authorId="0" shapeId="0" xr:uid="{61A32F1B-0FF6-4A3A-BC51-1816920CF342}">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832" authorId="1" shapeId="0" xr:uid="{26C38DCE-3987-4B02-9949-3A884A34F878}">
      <text>
        <r>
          <rPr>
            <b/>
            <sz val="14"/>
            <color indexed="81"/>
            <rFont val="Tahoma"/>
            <family val="2"/>
          </rPr>
          <t>Note:</t>
        </r>
        <r>
          <rPr>
            <sz val="14"/>
            <color indexed="81"/>
            <rFont val="Tahoma"/>
            <family val="2"/>
          </rPr>
          <t xml:space="preserve">
The annual Debt Service Coverage Ratio is calculated by dividing the sum of the annual principal and interest payment into that year's operating cash flow. Lenders will require the DSCR to demonstrate the project's ability to easily meet its annual debt service obligation.
</t>
        </r>
        <r>
          <rPr>
            <u/>
            <sz val="14"/>
            <color indexed="81"/>
            <rFont val="Tahoma"/>
            <family val="2"/>
          </rPr>
          <t>Average</t>
        </r>
        <r>
          <rPr>
            <sz val="14"/>
            <color indexed="81"/>
            <rFont val="Tahoma"/>
            <family val="2"/>
          </rPr>
          <t xml:space="preserve"> DSCRs over the life of the loan typically range from 1.2 to 1.5 for private, commercially financed projects, or from 1.1 to 1.3 for publicly owned, bond-financed projects - depending on the level of reserves, or other surety, provided. 
The </t>
        </r>
        <r>
          <rPr>
            <u/>
            <sz val="14"/>
            <color indexed="81"/>
            <rFont val="Tahoma"/>
            <family val="2"/>
          </rPr>
          <t>annual minimum</t>
        </r>
        <r>
          <rPr>
            <sz val="14"/>
            <color indexed="81"/>
            <rFont val="Tahoma"/>
            <family val="2"/>
          </rPr>
          <t xml:space="preserve"> DSCR will depend on the specific terms of the loan and the probability-weighting of the production estimate, but will likely be in the range of 1.0 to 1.3. This input must be greater than 1.
</t>
        </r>
      </text>
    </comment>
    <comment ref="S832" authorId="0" shapeId="0" xr:uid="{5A39D58B-1BD7-4409-9EB7-C0E401E6D0DA}">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833" authorId="0" shapeId="0" xr:uid="{F97E7F88-6FEE-4979-B4F8-BD44BAEC76B4}">
      <text>
        <r>
          <rPr>
            <b/>
            <sz val="12"/>
            <color indexed="81"/>
            <rFont val="Tahoma"/>
            <family val="2"/>
          </rPr>
          <t>Note:</t>
        </r>
        <r>
          <rPr>
            <sz val="12"/>
            <color indexed="81"/>
            <rFont val="Tahoma"/>
            <family val="2"/>
          </rPr>
          <t xml:space="preserve">
If "#N/A" appears, F9 should be pressed until the calculated COE achieves it's final value.</t>
        </r>
      </text>
    </comment>
    <comment ref="S833" authorId="0" shapeId="0" xr:uid="{A000FBE7-AD89-4971-B801-53DEF23FF52A}">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834" authorId="1" shapeId="0" xr:uid="{76F3A1A0-11F7-4E95-9384-429942241623}">
      <text>
        <r>
          <rPr>
            <b/>
            <sz val="14"/>
            <color indexed="81"/>
            <rFont val="Tahoma"/>
            <family val="2"/>
          </rPr>
          <t>Note:</t>
        </r>
        <r>
          <rPr>
            <sz val="14"/>
            <color indexed="81"/>
            <rFont val="Tahoma"/>
            <family val="2"/>
          </rPr>
          <t xml:space="preserve">
This cell checks that the average debt service coverage ratio exceeds the user-defined minimum during the period for which debt is outstanding (see note in DSCR cell for definition and rationale for DSCR). If the test "fails", the user must choose from one of several options in order to cure this deficiency (the extent to which these options are available will be specific to each project):
1. reduce the amount of project level debt, 
2. increase the feed-in tariff rate in order to generate cash flow sufficient to meet the bank's assumed coverage requirement.  In the CREST model, </t>
        </r>
        <r>
          <rPr>
            <u/>
            <sz val="14"/>
            <color indexed="81"/>
            <rFont val="Tahoma"/>
            <family val="2"/>
          </rPr>
          <t>this is done by manually increasing the "Target After-Tax Equity IRR."</t>
        </r>
        <r>
          <rPr>
            <sz val="14"/>
            <color indexed="81"/>
            <rFont val="Tahoma"/>
            <family val="2"/>
          </rPr>
          <t xml:space="preserve">
Other possible, but less likely, mechanisms include:
3. increase the loan tenor
4. decrease the interest rate</t>
        </r>
      </text>
    </comment>
    <comment ref="I835" authorId="0" shapeId="0" xr:uid="{78988B44-9477-4D8C-A00F-F1AF82424D64}">
      <text>
        <r>
          <rPr>
            <b/>
            <sz val="14"/>
            <color indexed="81"/>
            <rFont val="Tahoma"/>
            <family val="2"/>
          </rPr>
          <t xml:space="preserve">Note:
</t>
        </r>
        <r>
          <rPr>
            <sz val="14"/>
            <color indexed="81"/>
            <rFont val="Tahoma"/>
            <family val="2"/>
          </rPr>
          <t xml:space="preserve">The portion of total project cost funded from equity investors. This cell is a calculation and not an input. It is calculated as 100% minus the "% Debt" entered above.
</t>
        </r>
      </text>
    </comment>
    <comment ref="P835" authorId="0" shapeId="0" xr:uid="{5A6748F2-299E-452A-B0FA-68AAB66305FE}">
      <text>
        <r>
          <rPr>
            <b/>
            <sz val="8"/>
            <color indexed="81"/>
            <rFont val="Tahoma"/>
            <family val="2"/>
          </rPr>
          <t>See "unit" definitions at the bottom of this worksheet.</t>
        </r>
        <r>
          <rPr>
            <sz val="8"/>
            <color indexed="81"/>
            <rFont val="Tahoma"/>
            <family val="2"/>
          </rPr>
          <t xml:space="preserve">
</t>
        </r>
      </text>
    </comment>
    <comment ref="I836" authorId="1" shapeId="0" xr:uid="{432DBAEE-BEC4-46F7-9756-E4333FA094CD}">
      <text>
        <r>
          <rPr>
            <b/>
            <sz val="14"/>
            <color indexed="81"/>
            <rFont val="Tahoma"/>
            <family val="2"/>
          </rPr>
          <t>Note:</t>
        </r>
        <r>
          <rPr>
            <sz val="14"/>
            <color indexed="81"/>
            <rFont val="Tahoma"/>
            <family val="2"/>
          </rPr>
          <t xml:space="preserve">
The target after-tax equity IRR is the equity investor's cost of capital -- or "discount rate" -- and is the minimum rate of return that the project owner will seek to attain in order to justify the project compared to alternative investments.  
The user should be explicit in his or her assumption regarding the term over which the target after-tax IRR is assumed to be realized. For example, the user could elect to align the return requirement with the tariff payment duration. In this case, the project useful life should be set equal to the tariff duration in order to calculate the COE associated with the target IRR over that period of time. 
In a second example, the user could elect to align the return requirement with the project's useful life. In this case, the user can either assume a tariff duration equal to the project life, or assume market-based revenue for the period after the tariff and before the end of the assumed project useful life.
This input cannot be less than zero.
If a project is expected to be funded either by a pool of corporate funds or back-leveraged after commercial operation, the user might elect to enter 0% in the "% Debt" cell and enter a weighted average cost of capital (WACC) in the "Target After-Tax Equity IRR" cell.
</t>
        </r>
      </text>
    </comment>
    <comment ref="I837" authorId="0" shapeId="0" xr:uid="{113D9F1D-521A-41E4-8465-F2F7B03A9F7C}">
      <text>
        <r>
          <rPr>
            <b/>
            <sz val="14"/>
            <color indexed="81"/>
            <rFont val="Tahoma"/>
            <family val="2"/>
          </rPr>
          <t xml:space="preserve">Note:
</t>
        </r>
        <r>
          <rPr>
            <sz val="14"/>
            <color indexed="81"/>
            <rFont val="Tahoma"/>
            <family val="2"/>
          </rPr>
          <t xml:space="preserve">The weighted average cost of capital combines the after-tax cost of both equity and debt in proportion to their use, and is calculated here for reference.
</t>
        </r>
      </text>
    </comment>
    <comment ref="S837" authorId="1" shapeId="0" xr:uid="{4763CFC3-1F47-4C1D-92AE-CFF46A221647}">
      <text>
        <r>
          <rPr>
            <b/>
            <sz val="14"/>
            <color indexed="81"/>
            <rFont val="Tahoma"/>
            <family val="2"/>
          </rPr>
          <t xml:space="preserve">Note:
</t>
        </r>
        <r>
          <rPr>
            <sz val="14"/>
            <color indexed="81"/>
            <rFont val="Tahoma"/>
            <family val="2"/>
          </rPr>
          <t xml:space="preserve">In order to ensure that project owners have sufficient funds to decommission and remove equipment at the end of a project's life, many owners choose to create and fund a reserve account throughout the course of project. 
This input cell allows the modeler to choose whether to pay for project removal by creating and funding a reserve account over the project life by selecting "Operations" or to assume that a project's removal will be funded by selling the equipment, by selecting "Salvage".
</t>
        </r>
      </text>
    </comment>
    <comment ref="I838" authorId="0" shapeId="0" xr:uid="{A9A448A7-8F70-48DE-88D5-79E703B18B87}">
      <text>
        <r>
          <rPr>
            <b/>
            <sz val="14"/>
            <color indexed="81"/>
            <rFont val="Tahoma"/>
            <family val="2"/>
          </rPr>
          <t xml:space="preserve">Note:
</t>
        </r>
        <r>
          <rPr>
            <sz val="14"/>
            <color indexed="81"/>
            <rFont val="Tahoma"/>
            <family val="2"/>
          </rPr>
          <t>This cell represents the costs of both equity and debt due diligence (if applicable) and other transaction costs.
Input cannot be less than zero.</t>
        </r>
      </text>
    </comment>
    <comment ref="S838" authorId="0" shapeId="0" xr:uid="{43E74519-9D39-4104-8AB1-D330D0F10D26}">
      <text>
        <r>
          <rPr>
            <b/>
            <sz val="14"/>
            <color indexed="81"/>
            <rFont val="Tahoma"/>
            <family val="2"/>
          </rPr>
          <t>Note:</t>
        </r>
        <r>
          <rPr>
            <sz val="14"/>
            <color indexed="81"/>
            <rFont val="Tahoma"/>
            <family val="2"/>
          </rPr>
          <t xml:space="preserve">
This input cell allows the user to assume the creation of a reserve account. The value entered here will be accounted for in the project's cash flow, and would be funded evenly over the number of years available between the project's commercial operation and the end of its useful life.
Input cannot be less than zero.
</t>
        </r>
      </text>
    </comment>
    <comment ref="P840" authorId="0" shapeId="0" xr:uid="{36746C33-5B83-4877-A9D9-95D32DBE7FAB}">
      <text>
        <r>
          <rPr>
            <b/>
            <sz val="8"/>
            <color indexed="81"/>
            <rFont val="Tahoma"/>
            <family val="2"/>
          </rPr>
          <t>See "unit" definitions at the bottom of this worksheet.</t>
        </r>
        <r>
          <rPr>
            <sz val="8"/>
            <color indexed="81"/>
            <rFont val="Tahoma"/>
            <family val="2"/>
          </rPr>
          <t xml:space="preserve">
</t>
        </r>
      </text>
    </comment>
    <comment ref="I841" authorId="0" shapeId="0" xr:uid="{7B395949-0CCD-4787-AC80-9AD877BCE3E4}">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at the project's "Total Installed Cost."
</t>
        </r>
      </text>
    </comment>
    <comment ref="I842" authorId="0" shapeId="0" xr:uid="{1DDBF3A5-34D6-41EA-9A99-8C0B5E05903D}">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t>
        </r>
      </text>
    </comment>
    <comment ref="S842" authorId="0" shapeId="0" xr:uid="{33910F25-7B8F-459E-BC21-610667DD32B0}">
      <text>
        <r>
          <rPr>
            <b/>
            <sz val="14"/>
            <color indexed="81"/>
            <rFont val="Tahoma"/>
            <family val="2"/>
          </rPr>
          <t>Note:</t>
        </r>
        <r>
          <rPr>
            <sz val="14"/>
            <color indexed="81"/>
            <rFont val="Tahoma"/>
            <family val="2"/>
          </rPr>
          <t xml:space="preserve">
Lenders typically require the project owner to establish a reserve account prior to the commencement of operations to ensure that loan repayments occur in full and on time even if the project has insufficient operating cash flow in a specific period due to lower than expected production, higher costs, or both. The size of the reserve account is typically equal to 6 months of debt service obligation.
Input cannot be less than zero.
</t>
        </r>
      </text>
    </comment>
    <comment ref="I843" authorId="0" shapeId="0" xr:uid="{C09FA3B8-0168-4E80-82EC-58755F0B4066}">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As previously described, this value excludes the ITC Cash Grant, which must be financed prior to commercial operation.  
</t>
        </r>
      </text>
    </comment>
    <comment ref="S843" authorId="0" shapeId="0" xr:uid="{790D1FFB-9561-4020-964B-9F9E68B0A0EA}">
      <text>
        <r>
          <rPr>
            <b/>
            <sz val="14"/>
            <color indexed="81"/>
            <rFont val="Tahoma"/>
            <family val="2"/>
          </rPr>
          <t>Note:</t>
        </r>
        <r>
          <rPr>
            <sz val="14"/>
            <color indexed="81"/>
            <rFont val="Tahoma"/>
            <family val="2"/>
          </rPr>
          <t xml:space="preserve">
Calculated value based on the # months of required reserve and the capital structure and associated periodic debt obligation.
</t>
        </r>
      </text>
    </comment>
    <comment ref="I844" authorId="0" shapeId="0" xr:uid="{42929011-FEC2-47A0-A39B-B9331E1AC6AB}">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t>
        </r>
      </text>
    </comment>
    <comment ref="S845" authorId="0" shapeId="0" xr:uid="{271B30DB-662B-4B08-ADAA-8BC0AECB2C18}">
      <text>
        <r>
          <rPr>
            <b/>
            <sz val="14"/>
            <color indexed="81"/>
            <rFont val="Tahoma"/>
            <family val="2"/>
          </rPr>
          <t>Note:</t>
        </r>
        <r>
          <rPr>
            <sz val="14"/>
            <color indexed="81"/>
            <rFont val="Tahoma"/>
            <family val="2"/>
          </rPr>
          <t xml:space="preserve">
Lenders typically require the project owner to establish a reserve account prior to the commencement of operations to ensure that all O&amp;M expenses can be met even if the project has insufficient operating cash flow in a specific period due to lower than expected production, higher costs, or both. The size of the reserve account is typically 3 to 6 months of O&amp;M expenses, and includes all categories of O&amp;M expenses.
Input cannot be less than zero.
</t>
        </r>
      </text>
    </comment>
    <comment ref="F846" authorId="0" shapeId="0" xr:uid="{68155FA4-E375-4AFC-AB0E-6182970FECB2}">
      <text>
        <r>
          <rPr>
            <b/>
            <sz val="8"/>
            <color indexed="81"/>
            <rFont val="Tahoma"/>
            <family val="2"/>
          </rPr>
          <t>See "unit" definitions at the bottom of this worksheet.</t>
        </r>
        <r>
          <rPr>
            <sz val="8"/>
            <color indexed="81"/>
            <rFont val="Tahoma"/>
            <family val="2"/>
          </rPr>
          <t xml:space="preserve">
</t>
        </r>
      </text>
    </comment>
    <comment ref="S846" authorId="0" shapeId="0" xr:uid="{92A031EA-EE4B-404E-B70C-8B9235B19B84}">
      <text>
        <r>
          <rPr>
            <b/>
            <sz val="14"/>
            <color indexed="81"/>
            <rFont val="Tahoma"/>
            <family val="2"/>
          </rPr>
          <t>Note:</t>
        </r>
        <r>
          <rPr>
            <sz val="14"/>
            <color indexed="81"/>
            <rFont val="Tahoma"/>
            <family val="2"/>
          </rPr>
          <t xml:space="preserve">
Calculated value based on the # months of required reserve and all annual operating expenses.
</t>
        </r>
      </text>
    </comment>
    <comment ref="I847" authorId="0" shapeId="0" xr:uid="{1001414A-8E58-4184-BC85-9161BCCB40B4}">
      <text>
        <r>
          <rPr>
            <b/>
            <sz val="14"/>
            <color indexed="81"/>
            <rFont val="Tahoma"/>
            <family val="2"/>
          </rPr>
          <t xml:space="preserve">Note:
</t>
        </r>
        <r>
          <rPr>
            <sz val="14"/>
            <color indexed="81"/>
            <rFont val="Tahoma"/>
            <family val="2"/>
          </rPr>
          <t xml:space="preserve">Defines whether the project owner is a taxable or non-taxable entity. This determines the treatment of income taxes and other tax-related items.
</t>
        </r>
      </text>
    </comment>
    <comment ref="S847" authorId="0" shapeId="0" xr:uid="{D9521F00-7F11-429C-9788-4024F7980E16}">
      <text>
        <r>
          <rPr>
            <b/>
            <sz val="14"/>
            <color indexed="81"/>
            <rFont val="Tahoma"/>
            <family val="2"/>
          </rPr>
          <t>Note:</t>
        </r>
        <r>
          <rPr>
            <sz val="14"/>
            <color indexed="81"/>
            <rFont val="Tahoma"/>
            <family val="2"/>
          </rPr>
          <t xml:space="preserve">
Unused reserves earn interest at this rate. Input cannot be less than zero.
</t>
        </r>
      </text>
    </comment>
    <comment ref="I848" authorId="0" shapeId="0" xr:uid="{C5DEEA66-C2B8-4196-B3BA-84F0E39A8A13}">
      <text>
        <r>
          <rPr>
            <b/>
            <sz val="14"/>
            <color indexed="81"/>
            <rFont val="Tahoma"/>
            <family val="2"/>
          </rPr>
          <t xml:space="preserve">Note:
</t>
        </r>
        <r>
          <rPr>
            <sz val="14"/>
            <color indexed="81"/>
            <rFont val="Tahoma"/>
            <family val="2"/>
          </rPr>
          <t xml:space="preserve">Defines the project's federal income tax rate, if applicable.
Input cannot be less than zero.
</t>
        </r>
      </text>
    </comment>
    <comment ref="I849" authorId="0" shapeId="0" xr:uid="{32DBCB64-432D-4E47-AA38-450362F88551}">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I850" authorId="0" shapeId="0" xr:uid="{963E8F3C-B6BB-4235-AD78-3461E6B7E741}">
      <text>
        <r>
          <rPr>
            <b/>
            <sz val="14"/>
            <color indexed="81"/>
            <rFont val="Tahoma"/>
            <family val="2"/>
          </rPr>
          <t xml:space="preserve">Note:
</t>
        </r>
        <r>
          <rPr>
            <sz val="14"/>
            <color indexed="81"/>
            <rFont val="Tahoma"/>
            <family val="2"/>
          </rPr>
          <t xml:space="preserve">Defines the project's state income tax rate, if applicable.
Input cannot be less than zero.
</t>
        </r>
      </text>
    </comment>
    <comment ref="S850" authorId="0" shapeId="0" xr:uid="{7031C99F-F049-494B-B90B-C89AA42812BA}">
      <text>
        <r>
          <rPr>
            <b/>
            <sz val="14"/>
            <color indexed="81"/>
            <rFont val="Tahoma"/>
            <family val="2"/>
          </rPr>
          <t>Note:</t>
        </r>
        <r>
          <rPr>
            <sz val="14"/>
            <color indexed="81"/>
            <rFont val="Tahoma"/>
            <family val="2"/>
          </rPr>
          <t xml:space="preserve">
To qualify for Bonus Depreciation the property must have a recovery period of 20 years or less (under normal federal tax depreciation rules), and the project must commence operation in the year in which bonus depreciation is in effect and under the ownership of the entity claiming the deduction. 
For qualifying projects, the owner is entitled to deduct 50% of the adjusted basis of the property during the tax year the property is first placed in service. The remaining 50% of the adjusted basis of the property is depreciated over the ordinary MACRS depreciation schedule. The bonus depreciation rules do not override the depreciation limit applicable to projects qualifying for the federal ITC. Before calculating depreciation for such a project, including any bonus depreciation, the adjusted basis of the project must be reduced by one-half of the amount of the ITC for which the project qualifies. 
</t>
        </r>
      </text>
    </comment>
    <comment ref="I851" authorId="0" shapeId="0" xr:uid="{52518521-9690-481D-8ACD-4E8EA797D6A0}">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P851" authorId="0" shapeId="0" xr:uid="{8948E633-9F2F-488C-89A1-88D060AB956C}">
      <text>
        <r>
          <rPr>
            <b/>
            <sz val="12"/>
            <color indexed="81"/>
            <rFont val="Tahoma"/>
            <family val="2"/>
          </rPr>
          <t>Jason Gifford:</t>
        </r>
        <r>
          <rPr>
            <sz val="12"/>
            <color indexed="81"/>
            <rFont val="Tahoma"/>
            <family val="2"/>
          </rPr>
          <t xml:space="preserve">
The Consolidated Appropriations Act, signed in December 2015, extended the "placed in service" deadline for bonus depreciation. Equipment placed in service before January 1, 2018 can qualify for 50% bonus depreciation. Equipment placed in service during 2018 can qualify for 40% bonus depreciation. And equipment placed in service during 2019 can qualify for 30% bonus depreciation. </t>
        </r>
      </text>
    </comment>
    <comment ref="S851" authorId="0" shapeId="0" xr:uid="{5F8FA60E-9983-49F1-BBCE-9E352CBB1B9F}">
      <text>
        <r>
          <rPr>
            <b/>
            <sz val="14"/>
            <color indexed="81"/>
            <rFont val="Tahoma"/>
            <family val="2"/>
          </rPr>
          <t>Note:</t>
        </r>
        <r>
          <rPr>
            <sz val="14"/>
            <color indexed="81"/>
            <rFont val="Tahoma"/>
            <family val="2"/>
          </rPr>
          <t xml:space="preserve">
This input allows the user to define the bonus depreciation % applied in Year 1, if applicable.  Historically, federal bonus depreciation has been 50% of the eligible cost basis (after taking into account reductions in such cost basis for the ITC, if applicable).  
Input cannot be less than zero.
</t>
        </r>
      </text>
    </comment>
    <comment ref="I852" authorId="0" shapeId="0" xr:uid="{E2B2208B-A7D7-4DD6-8CF2-4CF1EB4A8BEB}">
      <text>
        <r>
          <rPr>
            <b/>
            <sz val="14"/>
            <color indexed="81"/>
            <rFont val="Tahoma"/>
            <family val="2"/>
          </rPr>
          <t xml:space="preserve">Note:
</t>
        </r>
        <r>
          <rPr>
            <sz val="14"/>
            <color indexed="81"/>
            <rFont val="Tahoma"/>
            <family val="2"/>
          </rPr>
          <t xml:space="preserve">Takes into account the interaction between federal and state tax rates. This is a calculated value.
</t>
        </r>
      </text>
    </comment>
    <comment ref="I853" authorId="0" shapeId="0" xr:uid="{D9524A50-A832-4CE6-BA0F-55B999A84374}">
      <text>
        <r>
          <rPr>
            <b/>
            <sz val="14"/>
            <color indexed="81"/>
            <rFont val="Tahoma"/>
            <family val="2"/>
          </rPr>
          <t xml:space="preserve">Note:
</t>
        </r>
        <r>
          <rPr>
            <sz val="14"/>
            <color indexed="81"/>
            <rFont val="Tahoma"/>
            <family val="2"/>
          </rPr>
          <t>Depreciation accounts for the "use" of equipment for tax purposes. The depreciation inputs are provided in the table to the right and on the Complex Capital Costs tab when this option is selected.</t>
        </r>
      </text>
    </comment>
    <comment ref="AB854" authorId="0" shapeId="0" xr:uid="{D4B50CC5-0E5C-4CEF-830B-622A2D720E14}">
      <text>
        <r>
          <rPr>
            <b/>
            <sz val="14"/>
            <color indexed="81"/>
            <rFont val="Tahoma"/>
            <family val="2"/>
          </rPr>
          <t>Note:</t>
        </r>
        <r>
          <rPr>
            <sz val="14"/>
            <color indexed="81"/>
            <rFont val="Tahoma"/>
            <family val="2"/>
          </rPr>
          <t xml:space="preserve">
When the "Simple" capital cost option is selected, the depreciation of total project costs is divided among the classifications using this row. The depreciation options associated with other levels of cost detail will be hidden.
</t>
        </r>
        <r>
          <rPr>
            <b/>
            <sz val="14"/>
            <color indexed="81"/>
            <rFont val="Tahoma"/>
            <family val="2"/>
          </rPr>
          <t xml:space="preserve">This row must sum to 100%.
</t>
        </r>
      </text>
    </comment>
    <comment ref="AB855" authorId="0" shapeId="0" xr:uid="{8D2507CC-DAD5-486B-86AE-B9DC413F8FFD}">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856" authorId="0" shapeId="0" xr:uid="{6A8F1347-0B29-4188-B9F0-9E1D48F77E06}">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857" authorId="0" shapeId="0" xr:uid="{E4DD1618-7664-450F-B208-08A04B6DD8A0}">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858" authorId="0" shapeId="0" xr:uid="{1CB49BAE-EC88-45FA-B378-CB9C45E6DEAA}">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859" authorId="0" shapeId="0" xr:uid="{9E8A108E-FD61-42AF-8F8A-D83A5A43F2E7}">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860" authorId="0" shapeId="0" xr:uid="{4C4BB904-9621-4450-A761-B95829AE3710}">
      <text>
        <r>
          <rPr>
            <b/>
            <sz val="14"/>
            <color indexed="81"/>
            <rFont val="Tahoma"/>
            <family val="2"/>
          </rPr>
          <t>Note:</t>
        </r>
        <r>
          <rPr>
            <sz val="14"/>
            <color indexed="81"/>
            <rFont val="Tahoma"/>
            <family val="2"/>
          </rPr>
          <t xml:space="preserve">
When the "Complex" capital cost option is selected, each line items is assigned its own depreciation classification using a drop-down menu on the Complex Capital Costs tab.
</t>
        </r>
      </text>
    </comment>
    <comment ref="C865" authorId="0" shapeId="0" xr:uid="{10203976-1CE3-4262-AC4F-A855540DFD40}">
      <text>
        <r>
          <rPr>
            <sz val="14"/>
            <color indexed="81"/>
            <rFont val="Tahoma"/>
            <family val="2"/>
          </rPr>
          <t xml:space="preserve">The "Check" column evaluates whether or not values have been enterred in all required fields.  Green denotes an accepted entry in a required field or a calculation for which the minimum required precedents have been satisfied.  Red denotes the absence of an entry in a required field, or a calculation for which the minimum required precendents have NOT been satisfied.
</t>
        </r>
        <r>
          <rPr>
            <b/>
            <sz val="14"/>
            <color indexed="81"/>
            <rFont val="Tahoma"/>
            <family val="2"/>
          </rPr>
          <t>Please note</t>
        </r>
        <r>
          <rPr>
            <sz val="14"/>
            <color indexed="81"/>
            <rFont val="Tahoma"/>
            <family val="2"/>
          </rPr>
          <t xml:space="preserve"> that while the "Check" column ensures the population of all required fields, this column does NOT validate the magnitude of such entries.  It is the model user's responsibility to provide inputs which accurately represent the project being modeled.  In some cases, a range of typical values for a specified input are provided in that input's "Notes" cell.</t>
        </r>
      </text>
    </comment>
    <comment ref="I865" authorId="0" shapeId="0" xr:uid="{BD4FFA70-FA1F-4625-BD69-495C711318C5}">
      <text>
        <r>
          <rPr>
            <sz val="14"/>
            <color indexed="81"/>
            <rFont val="Tahoma"/>
            <family val="2"/>
          </rPr>
          <t xml:space="preserve">Each cell in the "Notes" column provides a brief description of the input in the corresponding row, its application within the model, and (in some cases) the range of values that might be expected to populate that  input cell.  It is the model user's responsibility, however, to research and validate the applicability of, and appropriate value for, each input.
</t>
        </r>
        <r>
          <rPr>
            <sz val="8"/>
            <color indexed="81"/>
            <rFont val="Tahoma"/>
            <family val="2"/>
          </rPr>
          <t xml:space="preserve">
</t>
        </r>
      </text>
    </comment>
    <comment ref="M865" authorId="0" shapeId="0" xr:uid="{46480D2A-6ABE-4FAC-A634-B8B81837AD27}">
      <text>
        <r>
          <rPr>
            <sz val="14"/>
            <color indexed="81"/>
            <rFont val="Tahoma"/>
            <family val="2"/>
          </rPr>
          <t xml:space="preserve">The "Check" column evaluates whether or not values have been enterred in all required fields.  Green denotes an accepted entry in a required field or a calculation for which the minimum required precedents have been satisfied.  Red denotes the absence of an entry in a required field, or a calculation for which the minimum required precendents have NOT been satisfied.
</t>
        </r>
        <r>
          <rPr>
            <b/>
            <sz val="14"/>
            <color indexed="81"/>
            <rFont val="Tahoma"/>
            <family val="2"/>
          </rPr>
          <t>Please note</t>
        </r>
        <r>
          <rPr>
            <sz val="14"/>
            <color indexed="81"/>
            <rFont val="Tahoma"/>
            <family val="2"/>
          </rPr>
          <t xml:space="preserve"> that while the "Check" column ensures the population of all required fields, this column does NOT validate the magnitude of such entries.  It is the model user's responsibility to provide inputs which accurately represent the project being modeled.  In some cases, a range of typical values for a specified input are provided in that input's "Notes" cell.</t>
        </r>
      </text>
    </comment>
    <comment ref="S865" authorId="0" shapeId="0" xr:uid="{FC686325-EFC7-4832-9CCE-30F22CDECBF2}">
      <text>
        <r>
          <rPr>
            <sz val="14"/>
            <color indexed="81"/>
            <rFont val="Tahoma"/>
            <family val="2"/>
          </rPr>
          <t>Each cell in the "Notes" column provides a brief description of the input in the corresponding row, its application within the model, and (in some cases) the range of values that might be expected to populate that  input cell. It is the model user's responsibility, however, to research and validate the applicability of, and appropriate value for, each input.</t>
        </r>
        <r>
          <rPr>
            <sz val="8"/>
            <color indexed="81"/>
            <rFont val="Tahoma"/>
            <family val="2"/>
          </rPr>
          <t xml:space="preserve">
</t>
        </r>
      </text>
    </comment>
    <comment ref="F867" authorId="0" shapeId="0" xr:uid="{3ABBA0B5-B37C-4D8A-B424-20C26D3D6EEF}">
      <text>
        <r>
          <rPr>
            <b/>
            <sz val="8"/>
            <color indexed="81"/>
            <rFont val="Tahoma"/>
            <family val="2"/>
          </rPr>
          <t>See "unit" definitions at the bottom of this worksheet.</t>
        </r>
        <r>
          <rPr>
            <sz val="8"/>
            <color indexed="81"/>
            <rFont val="Tahoma"/>
            <family val="2"/>
          </rPr>
          <t xml:space="preserve">
</t>
        </r>
      </text>
    </comment>
    <comment ref="P867" authorId="0" shapeId="0" xr:uid="{7D9251DC-BDA1-4635-B0FA-2DC29FDD5FC8}">
      <text>
        <r>
          <rPr>
            <b/>
            <sz val="8"/>
            <color indexed="81"/>
            <rFont val="Tahoma"/>
            <family val="2"/>
          </rPr>
          <t>See "unit" definitions at the bottom of this worksheet.</t>
        </r>
        <r>
          <rPr>
            <sz val="8"/>
            <color indexed="81"/>
            <rFont val="Tahoma"/>
            <family val="2"/>
          </rPr>
          <t xml:space="preserve">
</t>
        </r>
      </text>
    </comment>
    <comment ref="I868" authorId="1" shapeId="0" xr:uid="{0D6AFFD7-8017-4E46-B8D0-D17694C6C8CD}">
      <text>
        <r>
          <rPr>
            <b/>
            <sz val="14"/>
            <color indexed="81"/>
            <rFont val="Tahoma"/>
            <family val="2"/>
          </rPr>
          <t>Note:</t>
        </r>
        <r>
          <rPr>
            <sz val="14"/>
            <color indexed="81"/>
            <rFont val="Tahoma"/>
            <family val="2"/>
          </rPr>
          <t xml:space="preserve">
This is the aggregate nameplate rating for the entire generating facility.
Input must be greater than zero.
</t>
        </r>
      </text>
    </comment>
    <comment ref="S868" authorId="1" shapeId="0" xr:uid="{67623D5F-3763-403E-8959-3726DB38C9CE}">
      <text>
        <r>
          <rPr>
            <b/>
            <sz val="14"/>
            <color indexed="81"/>
            <rFont val="Tahoma"/>
            <family val="2"/>
          </rPr>
          <t xml:space="preserve">Note:
</t>
        </r>
        <r>
          <rPr>
            <sz val="14"/>
            <color indexed="81"/>
            <rFont val="Tahoma"/>
            <family val="2"/>
          </rPr>
          <t xml:space="preserve">The FIT contract length is the number of years for which the rate specified by this model is available. This term is established by policymakers and must be less than or equal to the project's useful life.  
The contract duration is also different than the debt tenor (if applicable), which is specified in the Permanent Financing section below.
</t>
        </r>
      </text>
    </comment>
    <comment ref="I869" authorId="1" shapeId="0" xr:uid="{C64CB9D0-233D-4771-B4F8-EECA9D507B6A}">
      <text>
        <r>
          <rPr>
            <b/>
            <sz val="14"/>
            <color indexed="81"/>
            <rFont val="Tahoma"/>
            <family val="2"/>
          </rPr>
          <t>Note:</t>
        </r>
        <r>
          <rPr>
            <sz val="14"/>
            <color indexed="81"/>
            <rFont val="Tahoma"/>
            <family val="2"/>
          </rPr>
          <t xml:space="preserve">
Capacity Factor is the % representation of the actual production vs. the theoretical maximum annual production of an energy project. This model requires the input of a </t>
        </r>
        <r>
          <rPr>
            <b/>
            <sz val="14"/>
            <color indexed="81"/>
            <rFont val="Tahoma"/>
            <family val="2"/>
          </rPr>
          <t>Net Capacity Factor</t>
        </r>
        <r>
          <rPr>
            <sz val="14"/>
            <color indexed="81"/>
            <rFont val="Tahoma"/>
            <family val="2"/>
          </rPr>
          <t xml:space="preserve">, meaning that the estimate of actual energy production should take into account all electricity losses (including those incurred between the generating facility and the contract delivery point), scheduled and unscheduled maintenance, forced outages, wake effects, icing, and any other factors that could reduce production.
Wind projects typically have a capacity factor between 25% and 40% depending on region and site-specific topography. 
Input must be between 0% and 100%.
</t>
        </r>
      </text>
    </comment>
    <comment ref="S869" authorId="1" shapeId="0" xr:uid="{F7AEAF1A-4FE1-4EFD-A367-9609BF3794B8}">
      <text>
        <r>
          <rPr>
            <b/>
            <sz val="14"/>
            <color indexed="81"/>
            <rFont val="Tahoma"/>
            <family val="2"/>
          </rPr>
          <t xml:space="preserve">Note:
</t>
        </r>
        <r>
          <rPr>
            <sz val="14"/>
            <color indexed="81"/>
            <rFont val="Tahoma"/>
            <family val="2"/>
          </rPr>
          <t xml:space="preserve">This is the portion (%) of the tariff which is subject to annual escalation.  
Program administrators may determine that some or all of the tariff rate should be escalated to reflect the uncertainty associated with the future cost of owning and operating an electricity generating facility. This input is separate from the inflation assumed to apply to certain O&amp;M expenses, which is provided as an input in the O&amp;M section below.
Input must be between 0% and 100%.
</t>
        </r>
      </text>
    </comment>
    <comment ref="I870" authorId="1" shapeId="0" xr:uid="{B68D5958-48DC-4BE5-B93F-DA65677C3F07}">
      <text>
        <r>
          <rPr>
            <b/>
            <sz val="14"/>
            <color indexed="81"/>
            <rFont val="Tahoma"/>
            <family val="2"/>
          </rPr>
          <t>Note:</t>
        </r>
        <r>
          <rPr>
            <sz val="14"/>
            <color indexed="81"/>
            <rFont val="Tahoma"/>
            <family val="2"/>
          </rPr>
          <t xml:space="preserve">
This is a calculation, based on the system size and capacity factor provided above. 
</t>
        </r>
      </text>
    </comment>
    <comment ref="S870" authorId="1" shapeId="0" xr:uid="{BA55939D-AC84-491C-BC6D-EE58B6F073FC}">
      <text>
        <r>
          <rPr>
            <b/>
            <sz val="14"/>
            <color indexed="81"/>
            <rFont val="Tahoma"/>
            <family val="2"/>
          </rPr>
          <t xml:space="preserve">Note:
</t>
        </r>
        <r>
          <rPr>
            <sz val="14"/>
            <color indexed="81"/>
            <rFont val="Tahoma"/>
            <family val="2"/>
          </rPr>
          <t xml:space="preserve">To calculate a </t>
        </r>
        <r>
          <rPr>
            <b/>
            <sz val="14"/>
            <color indexed="81"/>
            <rFont val="Tahoma"/>
            <family val="2"/>
          </rPr>
          <t>nominal levelized tariff rate</t>
        </r>
        <r>
          <rPr>
            <sz val="14"/>
            <color indexed="81"/>
            <rFont val="Tahoma"/>
            <family val="2"/>
          </rPr>
          <t xml:space="preserve">, the "feed-in tariff escalation rate" field should be </t>
        </r>
        <r>
          <rPr>
            <b/>
            <sz val="14"/>
            <color indexed="81"/>
            <rFont val="Tahoma"/>
            <family val="2"/>
          </rPr>
          <t>set to zero</t>
        </r>
        <r>
          <rPr>
            <sz val="14"/>
            <color indexed="81"/>
            <rFont val="Tahoma"/>
            <family val="2"/>
          </rPr>
          <t>.</t>
        </r>
        <r>
          <rPr>
            <b/>
            <sz val="14"/>
            <color indexed="81"/>
            <rFont val="Tahoma"/>
            <family val="2"/>
          </rPr>
          <t xml:space="preserve">
</t>
        </r>
        <r>
          <rPr>
            <sz val="14"/>
            <color indexed="81"/>
            <rFont val="Tahoma"/>
            <family val="2"/>
          </rPr>
          <t xml:space="preserve">Where applied, tariff rate escalation is intended to serve as a risk mitigating tool, at least partially protecting the project investor from the uncertainty associated with the future cost of owning and operating the renewable energy facility. The escalation rate can be used to assume a year over year increase in all, or a portion, of the per unit payment provided to eligible generators. This concept is separate from inflationary adjustments to future operating cost assumptions -- which are input below.
This rate is applied annually.  Note that in this model, calendar years and tariff years are aligned.
</t>
        </r>
        <r>
          <rPr>
            <b/>
            <sz val="14"/>
            <color indexed="81"/>
            <rFont val="Tahoma"/>
            <family val="2"/>
          </rPr>
          <t>Caution:</t>
        </r>
        <r>
          <rPr>
            <sz val="14"/>
            <color indexed="81"/>
            <rFont val="Tahoma"/>
            <family val="2"/>
          </rPr>
          <t xml:space="preserve"> A value must be entered into this cell in order for the model to function properly. The input can be positive or negative (if the FIT value decreases over time), and a typical value may fall between 0% and 5%.  
</t>
        </r>
      </text>
    </comment>
    <comment ref="I871" authorId="1" shapeId="0" xr:uid="{E239D702-166F-4C18-ACFC-14F3B234BD49}">
      <text>
        <r>
          <rPr>
            <b/>
            <sz val="14"/>
            <color indexed="81"/>
            <rFont val="Tahoma"/>
            <family val="2"/>
          </rPr>
          <t>Note:</t>
        </r>
        <r>
          <rPr>
            <sz val="14"/>
            <color indexed="81"/>
            <rFont val="Tahoma"/>
            <family val="2"/>
          </rPr>
          <t xml:space="preserve">
The natural aging of the mechanical components of a wind turbine generator may lead to a drop in turbine availability (or efficiency), and therefore production, over time.  
This input allows the user to model the potential for such degradation, which may be between 0% and 2% per year.
</t>
        </r>
        <r>
          <rPr>
            <b/>
            <sz val="14"/>
            <color indexed="81"/>
            <rFont val="Tahoma"/>
            <family val="2"/>
          </rPr>
          <t>If the modeled "Net Capacity Factor" is intented to take long-term average availability into account, then the user may wish to enter 0% in the Annual Production Degradation field.</t>
        </r>
        <r>
          <rPr>
            <sz val="14"/>
            <color indexed="81"/>
            <rFont val="Tahoma"/>
            <family val="2"/>
          </rPr>
          <t xml:space="preserve">
Input must be =&gt; 0%.
</t>
        </r>
      </text>
    </comment>
    <comment ref="I872" authorId="1" shapeId="0" xr:uid="{8F1C277F-6847-48DC-B485-D3A85A3E4D86}">
      <text>
        <r>
          <rPr>
            <b/>
            <sz val="14"/>
            <color indexed="81"/>
            <rFont val="Tahoma"/>
            <family val="2"/>
          </rPr>
          <t xml:space="preserve">Note:
</t>
        </r>
        <r>
          <rPr>
            <sz val="14"/>
            <color indexed="81"/>
            <rFont val="Tahoma"/>
            <family val="2"/>
          </rPr>
          <t xml:space="preserve">The Project Useful Life is the number of years that the project is expected to be fully operational, reliably delivering electricity to the grid, and generating revenue. This concept is different from the FIT Contract Length, which is administratively determined by policymakers. These two values may be the same if a FIT contract is offered for the project's entire expected useful life. This approach is likely to generate the lowest tariff rate, while successfully attracting investors to renewable energy projects.  
The CREST model is built for a maximum Project Useful Life of 30 years.
Input must be greater than 0 and less than or equal to 30.
</t>
        </r>
      </text>
    </comment>
    <comment ref="S872" authorId="1" shapeId="0" xr:uid="{2701CFA7-30E1-4AE4-912B-8075DBCEF278}">
      <text>
        <r>
          <rPr>
            <b/>
            <sz val="14"/>
            <color indexed="81"/>
            <rFont val="Tahoma"/>
            <family val="2"/>
          </rPr>
          <t xml:space="preserve">Note:
</t>
        </r>
        <r>
          <rPr>
            <sz val="14"/>
            <color indexed="81"/>
            <rFont val="Tahoma"/>
            <family val="2"/>
          </rPr>
          <t>If the designated "FIT Contract Length" is less than the defined "Project Useful Life", then this grouping of inputs is used to calculate the project's market-based revenue during the period from FIT contract expiration to the end of the project's life.</t>
        </r>
        <r>
          <rPr>
            <b/>
            <sz val="14"/>
            <color indexed="81"/>
            <rFont val="Tahoma"/>
            <family val="2"/>
          </rPr>
          <t xml:space="preserve">
</t>
        </r>
        <r>
          <rPr>
            <sz val="14"/>
            <color indexed="81"/>
            <rFont val="Tahoma"/>
            <family val="2"/>
          </rPr>
          <t xml:space="preserve">
</t>
        </r>
      </text>
    </comment>
    <comment ref="S873" authorId="1" shapeId="0" xr:uid="{D7FE2913-CCD0-4FE0-BD70-2FD6B55704E3}">
      <text>
        <r>
          <rPr>
            <b/>
            <sz val="14"/>
            <color indexed="81"/>
            <rFont val="Tahoma"/>
            <family val="2"/>
          </rPr>
          <t xml:space="preserve">Note:
</t>
        </r>
        <r>
          <rPr>
            <sz val="14"/>
            <color indexed="81"/>
            <rFont val="Tahoma"/>
            <family val="2"/>
          </rPr>
          <t>Selecting "Year One" forecasts the total market value of production based on an estimate of that value in the project's first year of commercial operation and a user-defined escalation rate.  
Selecting "Year-by-Year" enables the user to enter unique annual values for the period after the FIT expires and before the end of the project's useful life.</t>
        </r>
        <r>
          <rPr>
            <b/>
            <sz val="14"/>
            <color indexed="81"/>
            <rFont val="Tahoma"/>
            <family val="2"/>
          </rPr>
          <t xml:space="preserve">
</t>
        </r>
        <r>
          <rPr>
            <sz val="14"/>
            <color indexed="81"/>
            <rFont val="Tahoma"/>
            <family val="2"/>
          </rPr>
          <t xml:space="preserve">
</t>
        </r>
      </text>
    </comment>
    <comment ref="F874" authorId="0" shapeId="0" xr:uid="{504534F4-D36B-455A-88BD-D61CA950E5FE}">
      <text>
        <r>
          <rPr>
            <b/>
            <sz val="8"/>
            <color indexed="81"/>
            <rFont val="Tahoma"/>
            <family val="2"/>
          </rPr>
          <t>See "unit" definitions at the bottom of this worksheet.</t>
        </r>
        <r>
          <rPr>
            <sz val="8"/>
            <color indexed="81"/>
            <rFont val="Tahoma"/>
            <family val="2"/>
          </rPr>
          <t xml:space="preserve">
</t>
        </r>
      </text>
    </comment>
    <comment ref="S874" authorId="1" shapeId="0" xr:uid="{E91B2141-3AF1-4DB2-B467-4346B8184164}">
      <text>
        <r>
          <rPr>
            <b/>
            <sz val="14"/>
            <color indexed="81"/>
            <rFont val="Tahoma"/>
            <family val="2"/>
          </rPr>
          <t xml:space="preserve">Note:
</t>
        </r>
        <r>
          <rPr>
            <sz val="14"/>
            <color indexed="81"/>
            <rFont val="Tahoma"/>
            <family val="2"/>
          </rPr>
          <t xml:space="preserve">This is the </t>
        </r>
        <r>
          <rPr>
            <b/>
            <sz val="14"/>
            <color indexed="81"/>
            <rFont val="Tahoma"/>
            <family val="2"/>
          </rPr>
          <t>combined</t>
        </r>
        <r>
          <rPr>
            <sz val="14"/>
            <color indexed="81"/>
            <rFont val="Tahoma"/>
            <family val="2"/>
          </rPr>
          <t xml:space="preserve"> (or "bundled") market value of energy + capacity + Renewable Energy Credtis (RECs) in the same year in which the project's first enters commercial operation.
This input must be greater than zero.
</t>
        </r>
      </text>
    </comment>
    <comment ref="I875" authorId="1" shapeId="0" xr:uid="{2CB94FF4-86B5-4A2A-ACDF-24CE46BD71DE}">
      <text>
        <r>
          <rPr>
            <b/>
            <sz val="14"/>
            <color indexed="81"/>
            <rFont val="Tahoma"/>
            <family val="2"/>
          </rPr>
          <t>Note:</t>
        </r>
        <r>
          <rPr>
            <sz val="14"/>
            <color indexed="81"/>
            <rFont val="Tahoma"/>
            <family val="2"/>
          </rPr>
          <t xml:space="preserve">
This model alllows the user to input system cost at 1 of 3 levels of detail: "simple", "intermediate" or "complex." Simple offers a single input in $/kW, Intermediate offers five cost subcategories in total dollars, and Complex offers line-by-line project costing with user-defined categories and costs per line-item.  
Select your preferred method and use the cells below to enter your cost information. If you choose the "Complex" option, you will need to follow the link below to the "Complex Capital Costs" tab.</t>
        </r>
      </text>
    </comment>
    <comment ref="S875" authorId="1" shapeId="0" xr:uid="{97E2FB7D-C804-4324-8741-9A70DEAF6669}">
      <text>
        <r>
          <rPr>
            <b/>
            <sz val="14"/>
            <color indexed="81"/>
            <rFont val="Tahoma"/>
            <family val="2"/>
          </rPr>
          <t xml:space="preserve">Note:
</t>
        </r>
        <r>
          <rPr>
            <sz val="14"/>
            <color indexed="81"/>
            <rFont val="Tahoma"/>
            <family val="2"/>
          </rPr>
          <t xml:space="preserve">When the "Year One" forecast methodology is selected, this is the user-defined escalation rate at which the market value of production is expected to change.
Input must be greater than zero.
</t>
        </r>
      </text>
    </comment>
    <comment ref="I876" authorId="1" shapeId="0" xr:uid="{C369F3D3-9B96-45C8-AFDF-D7163F7DFA65}">
      <text>
        <r>
          <rPr>
            <b/>
            <sz val="14"/>
            <color indexed="81"/>
            <rFont val="Tahoma"/>
            <family val="2"/>
          </rPr>
          <t>Note:</t>
        </r>
        <r>
          <rPr>
            <sz val="14"/>
            <color indexed="81"/>
            <rFont val="Tahoma"/>
            <family val="2"/>
          </rPr>
          <t xml:space="preserve">
When "Simple" is selected in the Cost Level of Detail cell, this "Total Installed Cost" row represents the total expected all-in project cost, which should include all hardware, balance of plant, interconnection, design, construction, permitting, development (including developer fee), interest during construction and financing costs. This figure should not account for any tax incentives, grants, or other cash incentives, each of which will be addressed elsewhere in the model. This figure should, however, reflect any applicable sales tax or exemptions thereof.
Input must be greater than zero.
</t>
        </r>
      </text>
    </comment>
    <comment ref="S876" authorId="1" shapeId="0" xr:uid="{4EE72E61-BD9E-49EB-BDAA-439E75BFC9B0}">
      <text>
        <r>
          <rPr>
            <b/>
            <sz val="14"/>
            <color indexed="81"/>
            <rFont val="Tahoma"/>
            <family val="2"/>
          </rPr>
          <t xml:space="preserve">Note:
</t>
        </r>
        <r>
          <rPr>
            <sz val="14"/>
            <color indexed="81"/>
            <rFont val="Tahoma"/>
            <family val="2"/>
          </rPr>
          <t xml:space="preserve">When "Year-by-Year" market value of production forecast is selected, this link brings the user to another worksheet on which unique annual values may be entered.
</t>
        </r>
      </text>
    </comment>
    <comment ref="I877" authorId="1" shapeId="0" xr:uid="{5D1DF539-4070-4898-9CA2-5974773A07A8}">
      <text>
        <r>
          <rPr>
            <b/>
            <sz val="14"/>
            <color indexed="81"/>
            <rFont val="Tahoma"/>
            <family val="2"/>
          </rPr>
          <t>Note:</t>
        </r>
        <r>
          <rPr>
            <sz val="14"/>
            <color indexed="81"/>
            <rFont val="Tahoma"/>
            <family val="2"/>
          </rPr>
          <t xml:space="preserve">
"Generation Equipment" should include hardware such as the generator, blades and tower.  
Caution: the model assumes that if "Intermediate" is selected as the level of detail section, the "Generation Equipment" row must have a value greater than zero. 
</t>
        </r>
      </text>
    </comment>
    <comment ref="I878" authorId="1" shapeId="0" xr:uid="{E0BD71BE-25A5-455F-9248-1A84CF6C9426}">
      <text>
        <r>
          <rPr>
            <b/>
            <sz val="14"/>
            <color indexed="81"/>
            <rFont val="Tahoma"/>
            <family val="2"/>
          </rPr>
          <t>Note:</t>
        </r>
        <r>
          <rPr>
            <sz val="14"/>
            <color indexed="81"/>
            <rFont val="Tahoma"/>
            <family val="2"/>
          </rPr>
          <t xml:space="preserve">
Balance of Plant (also known as Balance of System) represents all infrastructure, site prep and labor supporting the installation of the generation equipment. BOP costs include foundations, mounting devices, other hardware, and labor not already accounted for in the "Generation Equipment" row.
Input cannot be less than zero.
</t>
        </r>
      </text>
    </comment>
    <comment ref="P878" authorId="0" shapeId="0" xr:uid="{B543672D-7DB0-4141-BD6E-5DC2BE0ACB03}">
      <text>
        <r>
          <rPr>
            <b/>
            <sz val="8"/>
            <color indexed="81"/>
            <rFont val="Tahoma"/>
            <family val="2"/>
          </rPr>
          <t>See "unit" definitions at the bottom of this worksheet.</t>
        </r>
        <r>
          <rPr>
            <sz val="8"/>
            <color indexed="81"/>
            <rFont val="Tahoma"/>
            <family val="2"/>
          </rPr>
          <t xml:space="preserve">
</t>
        </r>
      </text>
    </comment>
    <comment ref="I879" authorId="1" shapeId="0" xr:uid="{7CBB4691-A93C-4D85-9FF7-A3806C3529C1}">
      <text>
        <r>
          <rPr>
            <b/>
            <sz val="14"/>
            <color indexed="81"/>
            <rFont val="Tahoma"/>
            <family val="2"/>
          </rPr>
          <t>Note:</t>
        </r>
        <r>
          <rPr>
            <sz val="14"/>
            <color indexed="81"/>
            <rFont val="Tahoma"/>
            <family val="2"/>
          </rPr>
          <t xml:space="preserve">
The "Interconnection" row should account for all project costs relating to connecting to the grid, such as the construction of transmission lines, permitting costs with the utility, and start-up costs. This category will also include the cost of a new substation, if necessary.
Regulators wishing to explore the potential that interconnection costs may be recovered from ratepayers separately can elect to enter zeros in this cost category whenever "Intermediate" or "Complex" is selected.
Input cannot be less than zero.
</t>
        </r>
      </text>
    </comment>
    <comment ref="S879" authorId="0" shapeId="0" xr:uid="{3E4D9655-CC94-4AD6-B0E5-46A38D6D63FA}">
      <text>
        <r>
          <rPr>
            <b/>
            <sz val="14"/>
            <color indexed="81"/>
            <rFont val="Tahoma"/>
            <family val="2"/>
          </rPr>
          <t xml:space="preserve">Note:
</t>
        </r>
        <r>
          <rPr>
            <sz val="14"/>
            <color indexed="81"/>
            <rFont val="Tahoma"/>
            <family val="2"/>
          </rPr>
          <t>This drop-down input cell allows the user to specify whether federal incentives are cost-based (e.g. an investment tax credit) or performance-based (e.g. a PTC). The magnitude and terms of these incentives are set in the cells below.
For more information, a useful resource for researching federal and state incentives online is:  
http://dsireusa.org/
*See bottom of introduction page for a list of links</t>
        </r>
      </text>
    </comment>
    <comment ref="E880" authorId="0" shapeId="0" xr:uid="{301690E6-B371-4E2E-B7C1-C3E3A4555C68}">
      <text>
        <r>
          <rPr>
            <b/>
            <sz val="14"/>
            <color indexed="81"/>
            <rFont val="Tahoma"/>
            <family val="2"/>
          </rPr>
          <t>Jason Gifford:</t>
        </r>
        <r>
          <rPr>
            <sz val="14"/>
            <color indexed="81"/>
            <rFont val="Tahoma"/>
            <family val="2"/>
          </rPr>
          <t xml:space="preserve">
Converted to "admin cost" for community remote DG</t>
        </r>
      </text>
    </comment>
    <comment ref="I880" authorId="1" shapeId="0" xr:uid="{CCCFB9F5-0237-4212-A7C4-E90FE779B862}">
      <text>
        <r>
          <rPr>
            <b/>
            <sz val="14"/>
            <color indexed="81"/>
            <rFont val="Tahoma"/>
            <family val="2"/>
          </rPr>
          <t>Note:</t>
        </r>
        <r>
          <rPr>
            <sz val="8"/>
            <color indexed="81"/>
            <rFont val="Tahoma"/>
            <family val="2"/>
          </rPr>
          <t xml:space="preserve">
</t>
        </r>
        <r>
          <rPr>
            <sz val="14"/>
            <color indexed="81"/>
            <rFont val="Tahoma"/>
            <family val="2"/>
          </rPr>
          <t xml:space="preserve">The "Development Costs" row should include all costs relating to project management, studies, engineering, permitting, contingencies, success fees, and other soft costs not accounted for elsewhere in the "Intermediate" cost breakdown. 
Input cannot be less than zero.
</t>
        </r>
      </text>
    </comment>
    <comment ref="S880" authorId="1" shapeId="0" xr:uid="{C4A3B7CB-AEAB-4332-9E25-6E92971E49AD}">
      <text>
        <r>
          <rPr>
            <b/>
            <sz val="14"/>
            <color indexed="81"/>
            <rFont val="Tahoma"/>
            <family val="2"/>
          </rPr>
          <t xml:space="preserve">Note:
</t>
        </r>
        <r>
          <rPr>
            <sz val="14"/>
            <color indexed="81"/>
            <rFont val="Tahoma"/>
            <family val="2"/>
          </rPr>
          <t>Some renewable energy projects may be eligible to take advantagee of Federal incentives such as the Investment Tax Credit or a Treasury Grant. Information on eligibility for funding opportunities such as these is available online at:
http://dsireusa.org/incentives/incentive.cfm?Incentive_Code=US02F&amp;re=1&amp;ee=1
*See bottom of introduction page for a list of links</t>
        </r>
        <r>
          <rPr>
            <b/>
            <sz val="14"/>
            <color indexed="81"/>
            <rFont val="Tahoma"/>
            <family val="2"/>
          </rPr>
          <t xml:space="preserve">
</t>
        </r>
        <r>
          <rPr>
            <sz val="14"/>
            <color indexed="81"/>
            <rFont val="Tahoma"/>
            <family val="2"/>
          </rPr>
          <t xml:space="preserve">
</t>
        </r>
      </text>
    </comment>
    <comment ref="I881" authorId="1" shapeId="0" xr:uid="{127487B4-F693-4430-86DD-9FEC57736A6E}">
      <text>
        <r>
          <rPr>
            <b/>
            <sz val="14"/>
            <color indexed="81"/>
            <rFont val="Tahoma"/>
            <family val="2"/>
          </rPr>
          <t>Note:</t>
        </r>
        <r>
          <rPr>
            <sz val="14"/>
            <color indexed="81"/>
            <rFont val="Tahoma"/>
            <family val="2"/>
          </rPr>
          <t xml:space="preserve">
The "Reserves &amp; Financing Costs" row accounts for all costs relating to financing, such as lender fees, closing costs, legal fees, interest during construction, due diligence costs, and any other relevant, financing relating costs. The model calculates this field by aggregating G22 through G25, G51, G54, G63, G66, Q57 and Q60.
</t>
        </r>
      </text>
    </comment>
    <comment ref="S881" authorId="0" shapeId="0" xr:uid="{9322BEEF-DE8E-48FB-AD90-CEF93EB57536}">
      <text>
        <r>
          <rPr>
            <b/>
            <sz val="14"/>
            <color indexed="81"/>
            <rFont val="Tahoma"/>
            <family val="2"/>
          </rPr>
          <t xml:space="preserve">NOTE:
</t>
        </r>
        <r>
          <rPr>
            <sz val="14"/>
            <color indexed="81"/>
            <rFont val="Tahoma"/>
            <family val="2"/>
          </rPr>
          <t xml:space="preserve">The maximum potential Investment Tax Credit (ITC) benefit is assumed to be 30% of those project costs which are depreciable on the 5-year MACRS schedule.  This 'eligible costs' assumption is purposefully simplified for this analysis.  Project costs depreciated on other bases may also be eligible for the ITC.  Developers should consult with tax counsel for project-specific depreciation and ITC treatment of each project cost.
</t>
        </r>
        <r>
          <rPr>
            <sz val="8"/>
            <color indexed="81"/>
            <rFont val="Tahoma"/>
            <family val="2"/>
          </rPr>
          <t xml:space="preserve">
</t>
        </r>
      </text>
    </comment>
    <comment ref="I882" authorId="1" shapeId="0" xr:uid="{051E1FEA-1238-46B6-9486-2AE1CB9C5FFC}">
      <text>
        <r>
          <rPr>
            <b/>
            <sz val="14"/>
            <color indexed="81"/>
            <rFont val="Tahoma"/>
            <family val="2"/>
          </rPr>
          <t>Note:</t>
        </r>
        <r>
          <rPr>
            <sz val="14"/>
            <color indexed="81"/>
            <rFont val="Tahoma"/>
            <family val="2"/>
          </rPr>
          <t xml:space="preserve">
If you wish to enter your project costs under the "Complex" format, select Complex from the drop-down menu and use the link to the left to access additional worksheets which provide the opportunitiy to add significant, additional detail on project costs. Once complete, the model will roll up the detailed costs and populate this row with the resultant final project cost. </t>
        </r>
      </text>
    </comment>
    <comment ref="S882" authorId="0" shapeId="0" xr:uid="{0D80B45C-DA53-46A4-8907-7381854B0CBB}">
      <text>
        <r>
          <rPr>
            <b/>
            <sz val="14"/>
            <color indexed="81"/>
            <rFont val="Tahoma"/>
            <family val="2"/>
          </rPr>
          <t xml:space="preserve">NOTE:
</t>
        </r>
        <r>
          <rPr>
            <sz val="14"/>
            <color indexed="81"/>
            <rFont val="Tahoma"/>
            <family val="2"/>
          </rPr>
          <t xml:space="preserve">As a tax </t>
        </r>
        <r>
          <rPr>
            <u/>
            <sz val="14"/>
            <color indexed="81"/>
            <rFont val="Tahoma"/>
            <family val="2"/>
          </rPr>
          <t>credit</t>
        </r>
        <r>
          <rPr>
            <sz val="14"/>
            <color indexed="81"/>
            <rFont val="Tahoma"/>
            <family val="2"/>
          </rPr>
          <t>, the ITC is only usable by project owners with positive federal income tax liability.  
In cases where the owner's tax liability in the calendar year of the project's first commercial operation exceeds the ITC amount, the user may enter 100% in this field and assume full utilization of the ITC.
If the owner's tax liability is less than the available ITC, the user may either enter a % value less than 100% or select the "carried forward" method in the "Tax Benefits used as generated or carried forward?" cell.  
Input must be between 0% and 100%.</t>
        </r>
        <r>
          <rPr>
            <sz val="8"/>
            <color indexed="81"/>
            <rFont val="Tahoma"/>
            <family val="2"/>
          </rPr>
          <t xml:space="preserve">
</t>
        </r>
      </text>
    </comment>
    <comment ref="I883" authorId="1" shapeId="0" xr:uid="{255002FC-1BFC-436A-A87C-3489D45150BC}">
      <text>
        <r>
          <rPr>
            <b/>
            <sz val="14"/>
            <color indexed="81"/>
            <rFont val="Tahoma"/>
            <family val="2"/>
          </rPr>
          <t>Note:</t>
        </r>
        <r>
          <rPr>
            <sz val="14"/>
            <color indexed="81"/>
            <rFont val="Tahoma"/>
            <family val="2"/>
          </rPr>
          <t xml:space="preserve">
The total system cost is a calculation, based on the level of detail selected and the assocated inputs.
</t>
        </r>
      </text>
    </comment>
    <comment ref="S883" authorId="0" shapeId="0" xr:uid="{702C6AD6-0FEE-45FB-9435-046A868754AE}">
      <text>
        <r>
          <rPr>
            <b/>
            <sz val="14"/>
            <color indexed="81"/>
            <rFont val="Tahoma"/>
            <family val="2"/>
          </rPr>
          <t xml:space="preserve">Note:
</t>
        </r>
        <r>
          <rPr>
            <sz val="14"/>
            <color indexed="81"/>
            <rFont val="Tahoma"/>
            <family val="2"/>
          </rPr>
          <t xml:space="preserve">Calculates the dollar value of the Investment Tax Credit or Cash Grant, if applicable.
</t>
        </r>
      </text>
    </comment>
    <comment ref="I884" authorId="1" shapeId="0" xr:uid="{D475EE45-E16A-45B2-BC81-914E160E8FEC}">
      <text>
        <r>
          <rPr>
            <b/>
            <sz val="14"/>
            <color indexed="81"/>
            <rFont val="Tahoma"/>
            <family val="2"/>
          </rPr>
          <t>Note:</t>
        </r>
        <r>
          <rPr>
            <sz val="14"/>
            <color indexed="81"/>
            <rFont val="Tahoma"/>
            <family val="2"/>
          </rPr>
          <t xml:space="preserve">
Calculation based on the total system cost in the cell above and the system size reported. Typical costs (as of 2010) fall between $2,000/kW and $3,000/kW.</t>
        </r>
        <r>
          <rPr>
            <sz val="8"/>
            <color indexed="81"/>
            <rFont val="Tahoma"/>
            <family val="2"/>
          </rPr>
          <t xml:space="preserve">
</t>
        </r>
      </text>
    </comment>
    <comment ref="S884" authorId="0" shapeId="0" xr:uid="{E62719B6-6F42-4FCF-A15A-330FB00E75A7}">
      <text>
        <r>
          <rPr>
            <b/>
            <sz val="14"/>
            <color indexed="81"/>
            <rFont val="Tahoma"/>
            <family val="2"/>
          </rPr>
          <t xml:space="preserve">Note: </t>
        </r>
        <r>
          <rPr>
            <sz val="14"/>
            <color indexed="81"/>
            <rFont val="Tahoma"/>
            <family val="2"/>
          </rPr>
          <t xml:space="preserve">
This input cell, the "Performance Based Incentive" or "PBI" is another potential incentive available to some specific projects. The PBI would be separate from a feed-in-tariff, but acts similarly in that it is per unit of production (typically kWh) income to a project.
Some examples of PBIs include the Federal Production Tax Credit (applicable to private projects with tax appetites) and the Federal Renewable Energy Production Incentive (REPI), historically available to some public projects.
</t>
        </r>
      </text>
    </comment>
    <comment ref="I885" authorId="1" shapeId="0" xr:uid="{E31A3C80-54C7-49B0-A909-1DFB05BF1B1E}">
      <text>
        <r>
          <rPr>
            <b/>
            <sz val="14"/>
            <color indexed="81"/>
            <rFont val="Tahoma"/>
            <family val="2"/>
          </rPr>
          <t xml:space="preserve">Note:
</t>
        </r>
        <r>
          <rPr>
            <sz val="14"/>
            <color indexed="81"/>
            <rFont val="Tahoma"/>
            <family val="2"/>
          </rPr>
          <t xml:space="preserve">This cell calculates the total of all applicable grants, excluding the payment in lieu of the Federal ITC (also known as the ITC Cash Grant, or Cash Grant), if applicable.  The ITC Cash Grant is considered separately because unlike grants issued upfront and used to offset capital costs, the ITC Cash Grant is disbursed approxiamtely 60 days after the start of commercial operations and therefore becomes an integral part of the project's financing.
Where grants are treated as taxable income, this cell calculates the after-tax impact on the total cost of the project.
  </t>
        </r>
        <r>
          <rPr>
            <sz val="8"/>
            <color indexed="81"/>
            <rFont val="Tahoma"/>
            <family val="2"/>
          </rPr>
          <t xml:space="preserve">
</t>
        </r>
      </text>
    </comment>
    <comment ref="S885" authorId="0" shapeId="0" xr:uid="{E01A90EF-14B0-4EB6-BC05-2EA8C54E0012}">
      <text>
        <r>
          <rPr>
            <b/>
            <sz val="14"/>
            <color indexed="81"/>
            <rFont val="Tahoma"/>
            <family val="2"/>
          </rPr>
          <t xml:space="preserve">Note: </t>
        </r>
        <r>
          <rPr>
            <sz val="14"/>
            <color indexed="81"/>
            <rFont val="Tahoma"/>
            <family val="2"/>
          </rPr>
          <t xml:space="preserve">
This cell denotes the value of the Performance Based Incentive applicable to the project's first year of commercial operation. In some cases, this value will need to be calculated external to the model if such PBI is derived from a "base year" and specified inflation index. The following cells can be used to account for inflation and the maximum term of eligibility.
Input cannot be less than zero.
</t>
        </r>
      </text>
    </comment>
    <comment ref="I886" authorId="1" shapeId="0" xr:uid="{284CF685-0FFE-4166-AAA4-F16E413668ED}">
      <text>
        <r>
          <rPr>
            <b/>
            <sz val="14"/>
            <color indexed="81"/>
            <rFont val="Tahoma"/>
            <family val="2"/>
          </rPr>
          <t>Note:</t>
        </r>
        <r>
          <rPr>
            <sz val="14"/>
            <color indexed="81"/>
            <rFont val="Tahoma"/>
            <family val="2"/>
          </rPr>
          <t xml:space="preserve">
Calculation of total project cost net applicable grants. 
</t>
        </r>
      </text>
    </comment>
    <comment ref="S886" authorId="0" shapeId="0" xr:uid="{7BB94045-9219-48AA-80E5-03111D14BF6D}">
      <text>
        <r>
          <rPr>
            <b/>
            <sz val="14"/>
            <color indexed="81"/>
            <rFont val="Tahoma"/>
            <family val="2"/>
          </rPr>
          <t>Note:</t>
        </r>
        <r>
          <rPr>
            <sz val="14"/>
            <color indexed="81"/>
            <rFont val="Tahoma"/>
            <family val="2"/>
          </rPr>
          <t xml:space="preserve">
This is the length of time that a project would be eligible for any Performance Based Incentives outlined in the cell immediately above. For example, the Federal Renewable Energy Production Incentive and Production Tax Credit incentives are available for the first 10 years of project operation.
Input cannot be less than zero.
</t>
        </r>
      </text>
    </comment>
    <comment ref="I887" authorId="1" shapeId="0" xr:uid="{88A2B4D6-39B5-4936-81FC-8E268792CCD3}">
      <text>
        <r>
          <rPr>
            <b/>
            <sz val="14"/>
            <color indexed="81"/>
            <rFont val="Tahoma"/>
            <family val="2"/>
          </rPr>
          <t xml:space="preserve">Note:
</t>
        </r>
        <r>
          <rPr>
            <sz val="14"/>
            <color indexed="81"/>
            <rFont val="Tahoma"/>
            <family val="2"/>
          </rPr>
          <t xml:space="preserve">Calculation, based on net project cost and total installed capacity. 
</t>
        </r>
      </text>
    </comment>
    <comment ref="S887" authorId="0" shapeId="0" xr:uid="{C99B1565-E41B-4A2E-946B-B895E377A363}">
      <text>
        <r>
          <rPr>
            <b/>
            <sz val="14"/>
            <color indexed="81"/>
            <rFont val="Tahoma"/>
            <family val="2"/>
          </rPr>
          <t xml:space="preserve">Note:
</t>
        </r>
        <r>
          <rPr>
            <sz val="14"/>
            <color indexed="81"/>
            <rFont val="Tahoma"/>
            <family val="2"/>
          </rPr>
          <t xml:space="preserve">Performance Based Incentives are often adjusted to account for inflation. For example, the Federal Production Tax Credit (PTC) is adjusted each year to account for changes in the GDP IPD index. This cell can be used as a proxy for the inflation that would apply to any PBI incentive entered above.
This input cannot be left blank.
</t>
        </r>
        <r>
          <rPr>
            <sz val="8"/>
            <color indexed="81"/>
            <rFont val="Tahoma"/>
            <family val="2"/>
          </rPr>
          <t xml:space="preserve">
</t>
        </r>
      </text>
    </comment>
    <comment ref="S888" authorId="0" shapeId="0" xr:uid="{A05B0764-5ABC-428C-B6FF-FF119A6789FE}">
      <text>
        <r>
          <rPr>
            <b/>
            <sz val="14"/>
            <color indexed="81"/>
            <rFont val="Tahoma"/>
            <family val="2"/>
          </rPr>
          <t xml:space="preserve">Note:
</t>
        </r>
        <r>
          <rPr>
            <sz val="14"/>
            <color indexed="81"/>
            <rFont val="Tahoma"/>
            <family val="2"/>
          </rPr>
          <t>In some cases, due to the nature of the requirements of some Performance Based Incentive programs, project owners are unable to maximize the full revenue stream of the incentive. For example, in the case of the Federal Production Tax Credit (PTC), the project owner may not have sufficienct tax appetite to fully utilize the tax credits. 
This input cell would allow the modeler to account for the owner's inability to fully utilize the PTC and/or the reduction of the PTC (a "haircut") due to the presence of subsidized (below market interest rate) financing.
Incentive "availability" will likely be a factor if this cell is being used to model the cash-based Renewable Energy Production Incentive (REPI).  The REPI program has historically been underfunded; available monies are allocated pro rata among eligible projects.  In this case, the value entered in this cell should reflect the user's expectation of the fraction of the face value REPI payment that will be available over the applicable incentive term.
Input must be between 0% to 100%.</t>
        </r>
      </text>
    </comment>
    <comment ref="F889" authorId="0" shapeId="0" xr:uid="{1D28C59F-D606-4061-8234-D80789D5BE0C}">
      <text>
        <r>
          <rPr>
            <b/>
            <sz val="8"/>
            <color indexed="81"/>
            <rFont val="Tahoma"/>
            <family val="2"/>
          </rPr>
          <t>See "unit" definitions at the bottom of this worksheet.</t>
        </r>
        <r>
          <rPr>
            <sz val="8"/>
            <color indexed="81"/>
            <rFont val="Tahoma"/>
            <family val="2"/>
          </rPr>
          <t xml:space="preserve">
</t>
        </r>
      </text>
    </comment>
    <comment ref="S889" authorId="0" shapeId="0" xr:uid="{91B0E234-2A8B-42EE-93CB-1FE3427F9BD4}">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I890" authorId="0" shapeId="0" xr:uid="{B209CD7B-2AEC-4D6E-902E-2D1F7509D43B}">
      <text>
        <r>
          <rPr>
            <b/>
            <sz val="14"/>
            <color indexed="81"/>
            <rFont val="Tahoma"/>
            <family val="2"/>
          </rPr>
          <t>Note:</t>
        </r>
        <r>
          <rPr>
            <sz val="14"/>
            <color indexed="81"/>
            <rFont val="Tahoma"/>
            <family val="2"/>
          </rPr>
          <t xml:space="preserve">
Select either "Simple" or "Intermediate" O&amp;M expense detail using the drop-down menu to the right.
</t>
        </r>
        <r>
          <rPr>
            <sz val="8"/>
            <color indexed="81"/>
            <rFont val="Tahoma"/>
            <family val="2"/>
          </rPr>
          <t xml:space="preserve">
</t>
        </r>
      </text>
    </comment>
    <comment ref="I891" authorId="1" shapeId="0" xr:uid="{57032CDC-D9B2-4DAE-B19D-6C7774CB688D}">
      <text>
        <r>
          <rPr>
            <b/>
            <sz val="14"/>
            <color indexed="81"/>
            <rFont val="Tahoma"/>
            <family val="2"/>
          </rPr>
          <t>Note:</t>
        </r>
        <r>
          <rPr>
            <sz val="14"/>
            <color indexed="81"/>
            <rFont val="Tahoma"/>
            <family val="2"/>
          </rPr>
          <t xml:space="preserve">
If "Simple" is selected in the cell above, then this input should reflect the </t>
        </r>
        <r>
          <rPr>
            <b/>
            <u/>
            <sz val="14"/>
            <color indexed="81"/>
            <rFont val="Tahoma"/>
            <family val="2"/>
          </rPr>
          <t>total</t>
        </r>
        <r>
          <rPr>
            <sz val="14"/>
            <color indexed="81"/>
            <rFont val="Tahoma"/>
            <family val="2"/>
          </rPr>
          <t xml:space="preserve"> expected </t>
        </r>
        <r>
          <rPr>
            <b/>
            <u/>
            <sz val="14"/>
            <color indexed="81"/>
            <rFont val="Tahoma"/>
            <family val="2"/>
          </rPr>
          <t>fixed</t>
        </r>
        <r>
          <rPr>
            <sz val="14"/>
            <color indexed="81"/>
            <rFont val="Tahoma"/>
            <family val="2"/>
          </rPr>
          <t xml:space="preserve"> cost of project operations and maintenance, in $/kW-yr.  This </t>
        </r>
        <r>
          <rPr>
            <u/>
            <sz val="14"/>
            <color indexed="81"/>
            <rFont val="Tahoma"/>
            <family val="2"/>
          </rPr>
          <t>includes</t>
        </r>
        <r>
          <rPr>
            <sz val="14"/>
            <color indexed="81"/>
            <rFont val="Tahoma"/>
            <family val="2"/>
          </rPr>
          <t xml:space="preserve"> the insurance, project management, property tax (or payment in lieu thereof), land lease, and royalty expenses which would have been broken out separately in the "Intermediate" case.  Other labor and spare parts should also be included in this estimate.
If the user has obtained O&amp;M expense estimates from a third-party, it is critical to understand which costs have been included.  If the user is not certain that all of the above-listed expenses are included in the fixed cost estimate, then the "Intermediate" approach should be used and these expenses should be entered separately.
If "Intermediate" is selected, then this input should reflect  the expected annual fixed O&amp;M cost before taking into account the additional listed expenses, which are entered below. 
In all cases, fixed O&amp;M would include - among others - the ongoing cost of obtaining daily, weekly or monthly production estimates based on weather and other factors.
Input value must be greater than zero. 
</t>
        </r>
      </text>
    </comment>
    <comment ref="S891" authorId="1" shapeId="0" xr:uid="{80CD551B-5213-463B-A505-FB974484B4B3}">
      <text>
        <r>
          <rPr>
            <b/>
            <sz val="14"/>
            <color indexed="81"/>
            <rFont val="Tahoma"/>
            <family val="2"/>
          </rPr>
          <t xml:space="preserve">Note:
</t>
        </r>
        <r>
          <rPr>
            <sz val="14"/>
            <color indexed="81"/>
            <rFont val="Tahoma"/>
            <family val="2"/>
          </rPr>
          <t xml:space="preserve">Some renewable energy projects may be eligible for other federal grants as well, such as funding from the U.S. Department of Agriculture. This input cell can be used to capture those funding opportunities, some of which are outlined online at:
http://dsireusa.org/incentives/index.cfm?state=us&amp;re=1&amp;EE=1
*See bottom of introduction page for a list of links
Input cannot be less than zero.
</t>
        </r>
      </text>
    </comment>
    <comment ref="I892" authorId="1" shapeId="0" xr:uid="{9073C4FE-7846-4F77-854B-529814CCD87C}">
      <text>
        <r>
          <rPr>
            <b/>
            <sz val="14"/>
            <color indexed="81"/>
            <rFont val="Tahoma"/>
            <family val="2"/>
          </rPr>
          <t>Note:</t>
        </r>
        <r>
          <rPr>
            <sz val="14"/>
            <color indexed="81"/>
            <rFont val="Tahoma"/>
            <family val="2"/>
          </rPr>
          <t xml:space="preserve">
This cell provides the user with the option of accounting for O&amp;M expenses (such as labor and spare parts) which are more easily estimated and modeled on a variable, cents per kWh basis.  
If "Simple" is selected above, then this cell should also take into account variable costs, such as royalties, </t>
        </r>
        <r>
          <rPr>
            <b/>
            <u/>
            <sz val="14"/>
            <color indexed="81"/>
            <rFont val="Tahoma"/>
            <family val="2"/>
          </rPr>
          <t>if</t>
        </r>
        <r>
          <rPr>
            <sz val="14"/>
            <color indexed="81"/>
            <rFont val="Tahoma"/>
            <family val="2"/>
          </rPr>
          <t xml:space="preserve"> such annual expenses are not already accounted for in the fixed cost input above.
Input cannot be less than zero.
</t>
        </r>
      </text>
    </comment>
    <comment ref="S892" authorId="0" shapeId="0" xr:uid="{5E08EDD3-18DD-4E87-9958-F2CDDFDF1E00}">
      <text>
        <r>
          <rPr>
            <b/>
            <sz val="14"/>
            <color indexed="81"/>
            <rFont val="Tahoma"/>
            <family val="2"/>
          </rPr>
          <t xml:space="preserve">Note:
</t>
        </r>
        <r>
          <rPr>
            <sz val="14"/>
            <color indexed="81"/>
            <rFont val="Tahoma"/>
            <family val="2"/>
          </rPr>
          <t xml:space="preserve">Select here whether federal grants (other than the section 1603 payment in lieu of the ITC/PTC) are treated as taxable income. If no, depreciation basis is reduced. 
</t>
        </r>
      </text>
    </comment>
    <comment ref="I893" authorId="0" shapeId="0" xr:uid="{301E828A-E1A4-4169-B87B-9C3CDE363727}">
      <text>
        <r>
          <rPr>
            <b/>
            <sz val="14"/>
            <color indexed="81"/>
            <rFont val="Tahoma"/>
            <family val="2"/>
          </rPr>
          <t>Note:</t>
        </r>
        <r>
          <rPr>
            <sz val="14"/>
            <color indexed="81"/>
            <rFont val="Tahoma"/>
            <family val="2"/>
          </rPr>
          <t xml:space="preserve">
This inflation rate applies to both fixed and variable O&amp;M expense, insurance, and project management costs entered above, if applicable. 
The model allows the user to specify an inflation assumption for an "initial period" and a second inflation assumption "thereafter." These inputs can be used to account for inflation which might be fixed during an initial O&amp;M service contract, but are unknown thereafter.  The final year of the "initial period" is  user-defined (e.g. final year of an O&amp;M service contract). 
The purpose of this feature is also to recognize that inflationary trends may change over time, or that some projects may not expect inflation of O&amp;M expenses for the first several years, but may expect inflation thereafter.
This inflation rate does not apply to PILOT or Royalty costs. Input cannot be less than zero.
</t>
        </r>
      </text>
    </comment>
    <comment ref="I894" authorId="0" shapeId="0" xr:uid="{86F60E83-4569-46FC-8F18-BEDF5D175174}">
      <text>
        <r>
          <rPr>
            <b/>
            <sz val="14"/>
            <color indexed="81"/>
            <rFont val="Tahoma"/>
            <family val="2"/>
          </rPr>
          <t xml:space="preserve">Note:
</t>
        </r>
        <r>
          <rPr>
            <sz val="14"/>
            <color indexed="81"/>
            <rFont val="Tahoma"/>
            <family val="2"/>
          </rPr>
          <t xml:space="preserve">This feature allows the user to assume that the rate at which expenses change over time is not constant. This cell provides the year in which the first inflation period ends.
Input cannot be less than zero.
</t>
        </r>
      </text>
    </comment>
    <comment ref="P894" authorId="0" shapeId="0" xr:uid="{B318025E-73B2-4A35-A860-AFEDCEACC081}">
      <text>
        <r>
          <rPr>
            <b/>
            <sz val="8"/>
            <color indexed="81"/>
            <rFont val="Tahoma"/>
            <family val="2"/>
          </rPr>
          <t>See "unit" definitions at the bottom of this worksheet.</t>
        </r>
        <r>
          <rPr>
            <sz val="8"/>
            <color indexed="81"/>
            <rFont val="Tahoma"/>
            <family val="2"/>
          </rPr>
          <t xml:space="preserve">
</t>
        </r>
      </text>
    </comment>
    <comment ref="I895" authorId="0" shapeId="0" xr:uid="{47B1C872-37E9-491B-8D23-5A5DFFB15E9B}">
      <text>
        <r>
          <rPr>
            <b/>
            <sz val="14"/>
            <color indexed="81"/>
            <rFont val="Tahoma"/>
            <family val="2"/>
          </rPr>
          <t xml:space="preserve">Note:
</t>
        </r>
        <r>
          <rPr>
            <sz val="14"/>
            <color indexed="81"/>
            <rFont val="Tahoma"/>
            <family val="2"/>
          </rPr>
          <t xml:space="preserve">This cell provides the inflation rate for the remainder of the project's useful life.
Input must be greater than zero.
</t>
        </r>
      </text>
    </comment>
    <comment ref="S895" authorId="1" shapeId="0" xr:uid="{4EAD1115-B879-46B5-9F81-BD1AC0A79FDA}">
      <text>
        <r>
          <rPr>
            <b/>
            <sz val="14"/>
            <color indexed="81"/>
            <rFont val="Tahoma"/>
            <family val="2"/>
          </rPr>
          <t xml:space="preserve">Note:
</t>
        </r>
        <r>
          <rPr>
            <sz val="14"/>
            <color indexed="81"/>
            <rFont val="Tahoma"/>
            <family val="2"/>
          </rPr>
          <t>This drop-down input cell allows the user to specify whether state incentives are cost-based (e.g. an investment tax credit) or performance-based (e.g. a PTC or cash payment). If no state incentive is available or useable by the modeled project, the user will select "Neither." The magnitude and terms of these incentives are set in the cells below.
For more information, a useful resource for researching federal and state incentives online is:  
http://dsireusa.org/
*See bottom of introduction page for a list of links</t>
        </r>
      </text>
    </comment>
    <comment ref="I896" authorId="1" shapeId="0" xr:uid="{6EBAB66D-4333-4ABC-8D50-039462478F6A}">
      <text>
        <r>
          <rPr>
            <b/>
            <sz val="14"/>
            <color indexed="81"/>
            <rFont val="Tahoma"/>
            <family val="2"/>
          </rPr>
          <t xml:space="preserve">Note:
</t>
        </r>
        <r>
          <rPr>
            <sz val="14"/>
            <color indexed="81"/>
            <rFont val="Tahoma"/>
            <family val="2"/>
          </rPr>
          <t xml:space="preserve">Project owners, or hosts, are required to carry insurance. This input accounts for the estimated cost of insuring the modeled power generating facility.
Input cannot be less than zero.
</t>
        </r>
      </text>
    </comment>
    <comment ref="S896" authorId="0" shapeId="0" xr:uid="{25EF06D7-1507-4B6D-A071-25F2FADC90BE}">
      <text>
        <r>
          <rPr>
            <b/>
            <sz val="14"/>
            <color indexed="81"/>
            <rFont val="Tahoma"/>
            <family val="2"/>
          </rPr>
          <t xml:space="preserve">NOTE:
</t>
        </r>
        <r>
          <rPr>
            <sz val="14"/>
            <color indexed="81"/>
            <rFont val="Tahoma"/>
            <family val="2"/>
          </rPr>
          <t xml:space="preserve">The maximum potential Investment Tax Credit (ITC) benefit is assumed to be 30% of those project costs which are depreciable on the 5-year MACRS schedule.
</t>
        </r>
      </text>
    </comment>
    <comment ref="I897" authorId="0" shapeId="0" xr:uid="{0C16F006-CDB4-445A-A7CB-521BD071F8FE}">
      <text>
        <r>
          <rPr>
            <b/>
            <sz val="14"/>
            <color indexed="81"/>
            <rFont val="Tahoma"/>
            <family val="2"/>
          </rPr>
          <t xml:space="preserve">Note:
</t>
        </r>
        <r>
          <rPr>
            <sz val="14"/>
            <color indexed="81"/>
            <rFont val="Tahoma"/>
            <family val="2"/>
          </rPr>
          <t xml:space="preserve">This cell calculates the resulting dollar value cost of insurance based on the input above and the project installed cost (net of financing costs).  It is provided simply as a reference for the user.
</t>
        </r>
        <r>
          <rPr>
            <sz val="8"/>
            <color indexed="81"/>
            <rFont val="Tahoma"/>
            <family val="2"/>
          </rPr>
          <t xml:space="preserve">
</t>
        </r>
      </text>
    </comment>
    <comment ref="S897" authorId="0" shapeId="0" xr:uid="{8A52CEEA-65A6-4AD6-BC86-3389F56DF607}">
      <text>
        <r>
          <rPr>
            <b/>
            <sz val="14"/>
            <color indexed="81"/>
            <rFont val="Tahoma"/>
            <family val="2"/>
          </rPr>
          <t xml:space="preserve">NOTE:
</t>
        </r>
        <r>
          <rPr>
            <sz val="14"/>
            <color indexed="81"/>
            <rFont val="Tahoma"/>
            <family val="2"/>
          </rPr>
          <t xml:space="preserve">As a tax </t>
        </r>
        <r>
          <rPr>
            <u/>
            <sz val="14"/>
            <color indexed="81"/>
            <rFont val="Tahoma"/>
            <family val="2"/>
          </rPr>
          <t>credit</t>
        </r>
        <r>
          <rPr>
            <sz val="14"/>
            <color indexed="81"/>
            <rFont val="Tahoma"/>
            <family val="2"/>
          </rPr>
          <t>, the ITC is only usable by project owners with positive federal income tax liability.  
In cases where the owner's tax liability in the calendar year of the project's first commercial operation exceeds the ITC amount, the user may enter 100% in this field and assume full utilization of the ITC.
If the owner's tax liability is less than the available ITC, a % less than 100% must be entered in order to represent a less efficient utilization of this federal tax incentive.
Input must be betwee 0% and 100%.</t>
        </r>
      </text>
    </comment>
    <comment ref="I898" authorId="1" shapeId="0" xr:uid="{F2C08494-930F-462D-9F4E-F9EA06BDF259}">
      <text>
        <r>
          <rPr>
            <b/>
            <sz val="14"/>
            <color indexed="81"/>
            <rFont val="Tahoma"/>
            <family val="2"/>
          </rPr>
          <t>Note:</t>
        </r>
        <r>
          <rPr>
            <sz val="14"/>
            <color indexed="81"/>
            <rFont val="Tahoma"/>
            <family val="2"/>
          </rPr>
          <t xml:space="preserve">
"Project Management" accounts for the cost of staff time related to managing the project's Power Purchase Agreements, grid integration, and periodic reporting to the system operator and policymakers.  
Input cannot be less than zero.
</t>
        </r>
      </text>
    </comment>
    <comment ref="S898" authorId="0" shapeId="0" xr:uid="{DFFF8402-2462-4B6B-B82E-92431820594D}">
      <text>
        <r>
          <rPr>
            <b/>
            <sz val="14"/>
            <color indexed="81"/>
            <rFont val="Tahoma"/>
            <family val="2"/>
          </rPr>
          <t xml:space="preserve">Note:
</t>
        </r>
        <r>
          <rPr>
            <sz val="14"/>
            <color indexed="81"/>
            <rFont val="Tahoma"/>
            <family val="2"/>
          </rPr>
          <t>Specifies whether the available ITC is realized in a single year or over multiple years. This input will be specified by state-specific law or regulation.
A good resource on available state incentives is:  
http://dsireusa.org/
*See bottom of introduction page for a list of links
Input must be greater than 1 and less than the Project Useful Life.</t>
        </r>
      </text>
    </comment>
    <comment ref="I899" authorId="1" shapeId="0" xr:uid="{EAEBB356-ABC0-448A-8826-4982E7022677}">
      <text>
        <r>
          <rPr>
            <b/>
            <sz val="14"/>
            <color indexed="81"/>
            <rFont val="Tahoma"/>
            <family val="2"/>
          </rPr>
          <t xml:space="preserve">Note:
</t>
        </r>
        <r>
          <rPr>
            <sz val="14"/>
            <color indexed="81"/>
            <rFont val="Tahoma"/>
            <family val="2"/>
          </rPr>
          <t xml:space="preserve">"Property Tax or PILOT" accounts for costs associated with any local taxes incurred by the project. Many states offer tax exemptions for renewable energy systems; to check your local applicability, please visit: http://dsireusa.org/ 
This line can also be used to account for any PILOTs or Payment in Leiu of Taxes. Developers often negotiate a PILOT with the local community to secure a fixed, predictable payment that serves both parties appropriately. This model allows the user to input a year-one Property Tax or PILOT value along with an annual property tax adjsutment factor (see next cell down). As a result, taxes can be modeled as flat, increasing, or decreasing annually depending on the value entered in the adjustment factor cell below.
Input cannot be less than zero.
</t>
        </r>
      </text>
    </comment>
    <comment ref="S899" authorId="0" shapeId="0" xr:uid="{BC0F9505-E19E-4F4F-97AE-C027E8DDCC40}">
      <text>
        <r>
          <rPr>
            <b/>
            <sz val="14"/>
            <color indexed="81"/>
            <rFont val="Tahoma"/>
            <family val="2"/>
          </rPr>
          <t xml:space="preserve">Note:
</t>
        </r>
        <r>
          <rPr>
            <sz val="14"/>
            <color indexed="81"/>
            <rFont val="Tahoma"/>
            <family val="2"/>
          </rPr>
          <t xml:space="preserve">Calculates the dollar value of the State Investment Tax Credit, if applicable.
</t>
        </r>
      </text>
    </comment>
    <comment ref="I900" authorId="1" shapeId="0" xr:uid="{6802DABE-CE91-4AE2-A7A3-660A6DBBDB25}">
      <text>
        <r>
          <rPr>
            <b/>
            <sz val="14"/>
            <color indexed="81"/>
            <rFont val="Tahoma"/>
            <family val="2"/>
          </rPr>
          <t xml:space="preserve">Note:
</t>
        </r>
        <r>
          <rPr>
            <sz val="14"/>
            <color indexed="81"/>
            <rFont val="Tahoma"/>
            <family val="2"/>
          </rPr>
          <t xml:space="preserve">The Annual Property Tax Adjustment Factor allows the user to specify whether the Year One tax (or PILOT) value will remain fixed and flat, will decrease (a negative percentage value entered in this cell) or increase (a positive percentage value entered in this cell) over time.  </t>
        </r>
        <r>
          <rPr>
            <sz val="8"/>
            <color indexed="81"/>
            <rFont val="Tahoma"/>
            <family val="2"/>
          </rPr>
          <t xml:space="preserve">
</t>
        </r>
      </text>
    </comment>
    <comment ref="S900" authorId="0" shapeId="0" xr:uid="{D21D8753-C082-47E0-A931-3725B62E05F7}">
      <text>
        <r>
          <rPr>
            <b/>
            <sz val="14"/>
            <color indexed="81"/>
            <rFont val="Tahoma"/>
            <family val="2"/>
          </rPr>
          <t xml:space="preserve">Note: </t>
        </r>
        <r>
          <rPr>
            <sz val="14"/>
            <color indexed="81"/>
            <rFont val="Tahoma"/>
            <family val="2"/>
          </rPr>
          <t xml:space="preserve">
This input cell, the "Performance Based Incentive" or "PBI" is another potential incentive available to some specific projects. The PBI would be separate from a feed-in-tariff, but acts similarly in that it is per unit of production (typically kWh) income to a project.
Some examples of PBIs include the Federal Production Tax Credit (applicable to private projects with tax appetites) and the Federal Renewable Energy Production Incentive (REPI), historically available to some public projects.
</t>
        </r>
      </text>
    </comment>
    <comment ref="I901" authorId="1" shapeId="0" xr:uid="{A93A6922-8102-46EE-BDA7-FF7B9A89E6AE}">
      <text>
        <r>
          <rPr>
            <b/>
            <sz val="14"/>
            <color indexed="81"/>
            <rFont val="Tahoma"/>
            <family val="2"/>
          </rPr>
          <t xml:space="preserve">Note:
</t>
        </r>
        <r>
          <rPr>
            <sz val="14"/>
            <color indexed="81"/>
            <rFont val="Tahoma"/>
            <family val="2"/>
          </rPr>
          <t xml:space="preserve">The Land Lease input represents </t>
        </r>
        <r>
          <rPr>
            <b/>
            <u/>
            <sz val="14"/>
            <color indexed="81"/>
            <rFont val="Tahoma"/>
            <family val="2"/>
          </rPr>
          <t>fixed payments</t>
        </r>
        <r>
          <rPr>
            <sz val="14"/>
            <color indexed="81"/>
            <rFont val="Tahoma"/>
            <family val="2"/>
          </rPr>
          <t xml:space="preserve"> to the site host (and possibly other affected parties) for the use of the land on which the project is located.  
Variable royalty payments may be applied in addition to, or in lieu of, the land lease payment through the "Royalties" input below, if applicable.  
Input cannot be less than zero.
</t>
        </r>
      </text>
    </comment>
    <comment ref="S901" authorId="0" shapeId="0" xr:uid="{0AE7DA51-B7B2-400A-BCE4-169ECAFF45BD}">
      <text>
        <r>
          <rPr>
            <b/>
            <sz val="14"/>
            <color indexed="81"/>
            <rFont val="Tahoma"/>
            <family val="2"/>
          </rPr>
          <t xml:space="preserve">Note:
</t>
        </r>
        <r>
          <rPr>
            <sz val="14"/>
            <color indexed="81"/>
            <rFont val="Tahoma"/>
            <family val="2"/>
          </rPr>
          <t xml:space="preserve">Impacts tax treatment of PBI if owner is a taxable entity.
</t>
        </r>
      </text>
    </comment>
    <comment ref="I902" authorId="1" shapeId="0" xr:uid="{422C07AF-8883-4EA4-8126-4351D08B5108}">
      <text>
        <r>
          <rPr>
            <b/>
            <sz val="14"/>
            <color indexed="81"/>
            <rFont val="Tahoma"/>
            <family val="2"/>
          </rPr>
          <t xml:space="preserve">Note:
</t>
        </r>
        <r>
          <rPr>
            <sz val="14"/>
            <color indexed="81"/>
            <rFont val="Tahoma"/>
            <family val="2"/>
          </rPr>
          <t xml:space="preserve">The royalties input accounts for </t>
        </r>
        <r>
          <rPr>
            <b/>
            <u/>
            <sz val="14"/>
            <color indexed="81"/>
            <rFont val="Tahoma"/>
            <family val="2"/>
          </rPr>
          <t>variable</t>
        </r>
        <r>
          <rPr>
            <sz val="14"/>
            <color indexed="81"/>
            <rFont val="Tahoma"/>
            <family val="2"/>
          </rPr>
          <t xml:space="preserve"> payments to site hosts, neighbors, partners, or other parties which may have a stake in the project and which are NOT covered by the fixed "Land Lease" payment. 
Fixed payments may be applied in addition to, or in lieu of, the royalty payment through the "Land Lease" input above, if applicable.  
</t>
        </r>
        <r>
          <rPr>
            <b/>
            <sz val="14"/>
            <color indexed="81"/>
            <rFont val="Tahoma"/>
            <family val="2"/>
          </rPr>
          <t>Inflation is NOT applied to this input</t>
        </r>
        <r>
          <rPr>
            <sz val="14"/>
            <color indexed="81"/>
            <rFont val="Tahoma"/>
            <family val="2"/>
          </rPr>
          <t xml:space="preserve">. However, if tariff escalation is selected, then the assumed royalty payment will increase over time since it is calculated as a function of revenue over time.
If the modeled project's royalty payments are not the same over time, then an average annual royalty payment should be calculated externally and entered in this cell. 
This input cannot be less than zero.
</t>
        </r>
        <r>
          <rPr>
            <sz val="8"/>
            <color indexed="81"/>
            <rFont val="Tahoma"/>
            <family val="2"/>
          </rPr>
          <t xml:space="preserve">
</t>
        </r>
      </text>
    </comment>
    <comment ref="S902" authorId="0" shapeId="0" xr:uid="{EDB7A328-21E0-4CBF-8FD7-CECC62A40C60}">
      <text>
        <r>
          <rPr>
            <b/>
            <sz val="14"/>
            <color indexed="81"/>
            <rFont val="Tahoma"/>
            <family val="2"/>
          </rPr>
          <t xml:space="preserve">Note: </t>
        </r>
        <r>
          <rPr>
            <sz val="14"/>
            <color indexed="81"/>
            <rFont val="Tahoma"/>
            <family val="2"/>
          </rPr>
          <t xml:space="preserve">
This cell denotes the value of the Performance Based Incentive applicable to the project's first year of commercial operation. In some cases, this value will need to be calculated external to the model if such PBI is derived from a "base year" and specified inflation index. The following cells can be used to account for inflation and the maximum term of eligibility.
Input cannot be less than zero.
</t>
        </r>
      </text>
    </comment>
    <comment ref="I903" authorId="0" shapeId="0" xr:uid="{394540A8-3ACD-4451-B089-F32D038E28F3}">
      <text>
        <r>
          <rPr>
            <b/>
            <sz val="14"/>
            <color indexed="81"/>
            <rFont val="Tahoma"/>
            <family val="2"/>
          </rPr>
          <t xml:space="preserve">Note:
</t>
        </r>
        <r>
          <rPr>
            <sz val="14"/>
            <color indexed="81"/>
            <rFont val="Tahoma"/>
            <family val="2"/>
          </rPr>
          <t xml:space="preserve">This cell calculates the resulting dollar value cost of royalties paid to landowners or other stakeholders based on the input above and project revenue.  It is provided simply as a reference for the user.
</t>
        </r>
        <r>
          <rPr>
            <sz val="8"/>
            <color indexed="81"/>
            <rFont val="Tahoma"/>
            <family val="2"/>
          </rPr>
          <t xml:space="preserve">
</t>
        </r>
      </text>
    </comment>
    <comment ref="S903" authorId="0" shapeId="0" xr:uid="{884FC853-0649-4F1F-8DC2-27FBE18BFC68}">
      <text>
        <r>
          <rPr>
            <b/>
            <sz val="14"/>
            <color indexed="81"/>
            <rFont val="Tahoma"/>
            <family val="2"/>
          </rPr>
          <t>Note:</t>
        </r>
        <r>
          <rPr>
            <sz val="14"/>
            <color indexed="81"/>
            <rFont val="Tahoma"/>
            <family val="2"/>
          </rPr>
          <t xml:space="preserve">
This is the length of time that a project would be eligible for any Performance Based Incentives outlined in the cell immediately above. For example, the Federal Renewable Energy Production Incentive and Production Tax Credit incentives are available for the first 10 years of project operation.
Input cannot be less than zero.
</t>
        </r>
      </text>
    </comment>
    <comment ref="S904" authorId="0" shapeId="0" xr:uid="{C46C99B1-324E-4CBB-96CD-41373645FE28}">
      <text>
        <r>
          <rPr>
            <b/>
            <sz val="14"/>
            <color indexed="81"/>
            <rFont val="Tahoma"/>
            <family val="2"/>
          </rPr>
          <t xml:space="preserve">Note:
</t>
        </r>
        <r>
          <rPr>
            <sz val="14"/>
            <color indexed="81"/>
            <rFont val="Tahoma"/>
            <family val="2"/>
          </rPr>
          <t xml:space="preserve">Performance Based Incentives are often adjusted to account for inflation. For example, the Federal Production Tax Credit (PTC) is adjusted each year to account for changes in the GDP IPD index. This cell can be used as a proxy for the inflation that would apply to any PBI incentive entered above.
This input cannot be left blank.
</t>
        </r>
      </text>
    </comment>
    <comment ref="F905" authorId="0" shapeId="0" xr:uid="{EE8DDBE1-4424-4C24-B0C0-5B25110CF483}">
      <text>
        <r>
          <rPr>
            <b/>
            <sz val="8"/>
            <color indexed="81"/>
            <rFont val="Tahoma"/>
            <family val="2"/>
          </rPr>
          <t>See "unit" definitions at the bottom of this worksheet.</t>
        </r>
        <r>
          <rPr>
            <sz val="8"/>
            <color indexed="81"/>
            <rFont val="Tahoma"/>
            <family val="2"/>
          </rPr>
          <t xml:space="preserve">
</t>
        </r>
      </text>
    </comment>
    <comment ref="S905" authorId="0" shapeId="0" xr:uid="{BA938F34-99E2-4AD0-BEB1-9C967FD7EE8D}">
      <text>
        <r>
          <rPr>
            <b/>
            <sz val="14"/>
            <color indexed="81"/>
            <rFont val="Tahoma"/>
            <family val="2"/>
          </rPr>
          <t xml:space="preserve">Note:
</t>
        </r>
        <r>
          <rPr>
            <sz val="14"/>
            <color indexed="81"/>
            <rFont val="Tahoma"/>
            <family val="2"/>
          </rPr>
          <t xml:space="preserve">In some cases, due to the nature of the requirements of some Performance Based Incentive programs, project owners are unable to maximize the full revenue stream of the incentive. For example, in the case of the Federal Production Tax Credit (PTC), the project owner may not have sufficienct tax appetite to fully utilize the tax credits. 
This input cell would allow the modeler to account for the owner's inability to fully utilize the PTC and/or the reduction of the PTC (a "haircut") due to the presence of subsidized (below market interest rate) financing.
Input must be between 0% and 100%.
</t>
        </r>
        <r>
          <rPr>
            <sz val="8"/>
            <color indexed="81"/>
            <rFont val="Tahoma"/>
            <family val="2"/>
          </rPr>
          <t xml:space="preserve">
</t>
        </r>
      </text>
    </comment>
    <comment ref="I906" authorId="0" shapeId="0" xr:uid="{AC9E167D-CA6E-41D5-8688-47E0BAD5B1EC}">
      <text>
        <r>
          <rPr>
            <b/>
            <sz val="14"/>
            <color indexed="81"/>
            <rFont val="Tahoma"/>
            <family val="2"/>
          </rPr>
          <t xml:space="preserve">Note:
</t>
        </r>
        <r>
          <rPr>
            <sz val="14"/>
            <color indexed="81"/>
            <rFont val="Tahoma"/>
            <family val="2"/>
          </rPr>
          <t xml:space="preserve">The # of months from construction start to commercial operation. This input cannot be less than zero.
</t>
        </r>
      </text>
    </comment>
    <comment ref="S906" authorId="0" shapeId="0" xr:uid="{96A520CE-A4C5-457F-926D-82853A3CD60C}">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I907" authorId="0" shapeId="0" xr:uid="{55CFC3E6-CC2E-4517-B3A7-77F9E686A44D}">
      <text>
        <r>
          <rPr>
            <b/>
            <sz val="14"/>
            <color indexed="81"/>
            <rFont val="Tahoma"/>
            <family val="2"/>
          </rPr>
          <t xml:space="preserve">Note:
</t>
        </r>
        <r>
          <rPr>
            <sz val="14"/>
            <color indexed="81"/>
            <rFont val="Tahoma"/>
            <family val="2"/>
          </rPr>
          <t xml:space="preserve">The annual interest rate on construction debt. This input cannot be less than zero.
</t>
        </r>
      </text>
    </comment>
    <comment ref="I908" authorId="0" shapeId="0" xr:uid="{7EE7D6F7-B8E3-4871-9D88-EEE83B6A692C}">
      <text>
        <r>
          <rPr>
            <b/>
            <sz val="14"/>
            <color indexed="81"/>
            <rFont val="Tahoma"/>
            <family val="2"/>
          </rPr>
          <t xml:space="preserve">Note:
</t>
        </r>
        <r>
          <rPr>
            <sz val="14"/>
            <color indexed="81"/>
            <rFont val="Tahoma"/>
            <family val="2"/>
          </rPr>
          <t xml:space="preserve">A calculated value showing the interest accrued during the construction period. Rather than requiring the user to define a detailed construction draw-down schedule, this calculation makes the simplifying assumption that the total project cost is spent in equal parts in each month of the construction period.
IDC is calculated on total project cost, assuming that any grants are collected after construction financing is repaid at time of permanent financing.
This cell is only used with the "Intermediate" and "Complex" capital cost options. The "Simple" capital cost option assumes that all project costs, including IDC, are included in the single input.
</t>
        </r>
      </text>
    </comment>
    <comment ref="S908" authorId="0" shapeId="0" xr:uid="{57A28F48-4549-423E-B185-AC6E4A083732}">
      <text>
        <r>
          <rPr>
            <b/>
            <sz val="14"/>
            <color indexed="81"/>
            <rFont val="Tahoma"/>
            <family val="2"/>
          </rPr>
          <t xml:space="preserve">Note:
</t>
        </r>
        <r>
          <rPr>
            <sz val="14"/>
            <color indexed="81"/>
            <rFont val="Tahoma"/>
            <family val="2"/>
          </rPr>
          <t xml:space="preserve">Include here the total dollar value of any state-specific cash grants or rebates.
Input cannot be less than zero.
</t>
        </r>
      </text>
    </comment>
    <comment ref="S909" authorId="0" shapeId="0" xr:uid="{3DC8E67E-1308-4E85-9532-8A82E31C0435}">
      <text>
        <r>
          <rPr>
            <b/>
            <sz val="14"/>
            <color indexed="81"/>
            <rFont val="Tahoma"/>
            <family val="2"/>
          </rPr>
          <t xml:space="preserve">Note:
</t>
        </r>
        <r>
          <rPr>
            <sz val="14"/>
            <color indexed="81"/>
            <rFont val="Tahoma"/>
            <family val="2"/>
          </rPr>
          <t xml:space="preserve">Select here whether state grants are treated as taxable income.  If no, depreciation basis is reduced. 
</t>
        </r>
      </text>
    </comment>
    <comment ref="F910" authorId="0" shapeId="0" xr:uid="{0486F66D-1020-4416-AFD1-8F03B418216C}">
      <text>
        <r>
          <rPr>
            <b/>
            <sz val="8"/>
            <color indexed="81"/>
            <rFont val="Tahoma"/>
            <family val="2"/>
          </rPr>
          <t>See "unit" definitions at the bottom of this worksheet.</t>
        </r>
        <r>
          <rPr>
            <sz val="8"/>
            <color indexed="81"/>
            <rFont val="Tahoma"/>
            <family val="2"/>
          </rPr>
          <t xml:space="preserve">
</t>
        </r>
      </text>
    </comment>
    <comment ref="I911" authorId="0" shapeId="0" xr:uid="{E2BFCBDF-366F-4439-91B1-8D4288DEBE35}">
      <text>
        <r>
          <rPr>
            <b/>
            <sz val="14"/>
            <color indexed="81"/>
            <rFont val="Tahoma"/>
            <family val="2"/>
          </rPr>
          <t xml:space="preserve">Note:
</t>
        </r>
        <r>
          <rPr>
            <sz val="14"/>
            <color indexed="81"/>
            <rFont val="Tahoma"/>
            <family val="2"/>
          </rPr>
          <t xml:space="preserve">For ease of use and comprehension by a wide range of stakeholders, this model allows the user to define the capital structure, and relies on mortgage-style amortization of the project debt. The "% Debt" input specifies the portion of funds borrowed, as a percentage of the total "hard costs." Equity is assumed to fund the remaining hard costs PLUS all "soft costs" (e.g. transaction costs and funding of initial reserve accounts, if applicable).  This input cannot be less than zero.
Where maximum sustainable leverage is desired, the user must manually adjust the "% Debt" entry upward to the highest point </t>
        </r>
        <r>
          <rPr>
            <b/>
            <i/>
            <sz val="14"/>
            <color indexed="81"/>
            <rFont val="Tahoma"/>
            <family val="2"/>
          </rPr>
          <t>before</t>
        </r>
        <r>
          <rPr>
            <sz val="14"/>
            <color indexed="81"/>
            <rFont val="Tahoma"/>
            <family val="2"/>
          </rPr>
          <t xml:space="preserve"> the DSCRs no longer "Pass."
If a specific % Debt is desired, </t>
        </r>
        <r>
          <rPr>
            <u/>
            <sz val="14"/>
            <color indexed="81"/>
            <rFont val="Tahoma"/>
            <family val="2"/>
          </rPr>
          <t>and such % is higher than the maximum sustainable debt</t>
        </r>
        <r>
          <rPr>
            <sz val="14"/>
            <color indexed="81"/>
            <rFont val="Tahoma"/>
            <family val="2"/>
          </rPr>
          <t xml:space="preserve"> (such that it causes the DSCR to "Fail"), then the user must define the % Debt and then manually adjust the "Target After-Tax Equity IRR" upward until the DSCRs are met.  The user should </t>
        </r>
        <r>
          <rPr>
            <b/>
            <sz val="14"/>
            <color indexed="81"/>
            <rFont val="Tahoma"/>
            <family val="2"/>
          </rPr>
          <t>take note</t>
        </r>
        <r>
          <rPr>
            <sz val="14"/>
            <color indexed="81"/>
            <rFont val="Tahoma"/>
            <family val="2"/>
          </rPr>
          <t xml:space="preserve"> that when leverage becomes very high (and the corresponding equity contribution low), the "Target After-Tax Equity IRR" will need to be adjusted to levels exceeding typical commercial returns </t>
        </r>
        <r>
          <rPr>
            <u/>
            <sz val="14"/>
            <color indexed="81"/>
            <rFont val="Tahoma"/>
            <family val="2"/>
          </rPr>
          <t>in order to maintain the DSCR ratio</t>
        </r>
        <r>
          <rPr>
            <sz val="14"/>
            <color indexed="81"/>
            <rFont val="Tahoma"/>
            <family val="2"/>
          </rPr>
          <t xml:space="preserve"> on such high debt levels.  For this reason, it is not recommended that users solve for the COE associated with a % Debt that is beyond the maximum sustainable leverage.
If a project is expected to be funded either by a pool of corporate funds or back-leveraged after commercial operation, the user might elect to enter 0% in the "% Debt" cell and enter a weighted average cost of capital (WACC) in the "Target After-Tax Equity IRR" cell.
</t>
        </r>
      </text>
    </comment>
    <comment ref="I912" authorId="1" shapeId="0" xr:uid="{6113FF3E-7139-4482-A1B8-1241904B671E}">
      <text>
        <r>
          <rPr>
            <b/>
            <sz val="14"/>
            <color indexed="81"/>
            <rFont val="Tahoma"/>
            <family val="2"/>
          </rPr>
          <t>Note:</t>
        </r>
        <r>
          <rPr>
            <sz val="14"/>
            <color indexed="81"/>
            <rFont val="Tahoma"/>
            <family val="2"/>
          </rPr>
          <t xml:space="preserve">
Debt "tenor" (also casually referred to as "term"), is the number of years in the debt repayment schedule.   
Caution: If the project will utilize debt, this value must be greater than zero but less than or equal to the total FIT contract duration.
</t>
        </r>
      </text>
    </comment>
    <comment ref="S912" authorId="0" shapeId="0" xr:uid="{357815DB-5F69-4413-92FB-DA947CEEC2EF}">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913" authorId="1" shapeId="0" xr:uid="{557399A7-AFC6-492C-BD14-28B7B11184BB}">
      <text>
        <r>
          <rPr>
            <b/>
            <sz val="14"/>
            <color indexed="81"/>
            <rFont val="Tahoma"/>
            <family val="2"/>
          </rPr>
          <t>Note:</t>
        </r>
        <r>
          <rPr>
            <sz val="14"/>
            <color indexed="81"/>
            <rFont val="Tahoma"/>
            <family val="2"/>
          </rPr>
          <t xml:space="preserve">
The all-in interest rate is the financing rate provided by the bank or other debt investor.
This input cannot be less than zero.
</t>
        </r>
      </text>
    </comment>
    <comment ref="S913" authorId="0" shapeId="0" xr:uid="{1218DD56-DCDE-429D-9422-76615252D773}">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914" authorId="0" shapeId="0" xr:uid="{2BBFE12B-7D59-4E5D-8178-D9BD6427A4B4}">
      <text>
        <r>
          <rPr>
            <b/>
            <sz val="14"/>
            <color indexed="81"/>
            <rFont val="Tahoma"/>
            <family val="2"/>
          </rPr>
          <t xml:space="preserve">Note:
</t>
        </r>
        <r>
          <rPr>
            <sz val="14"/>
            <color indexed="81"/>
            <rFont val="Tahoma"/>
            <family val="2"/>
          </rPr>
          <t xml:space="preserve">A one-time fee collected by the lender and calculated as a % of the total loan amount. This value is typically between 1% and 4%.
This input cannot be less than zero.
</t>
        </r>
      </text>
    </comment>
    <comment ref="S914" authorId="0" shapeId="0" xr:uid="{1196D870-66A2-4366-9B09-010651B504DB}">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915" authorId="1" shapeId="0" xr:uid="{2FE061AC-0FD2-49DE-8BBA-6D781911E511}">
      <text>
        <r>
          <rPr>
            <b/>
            <sz val="14"/>
            <color indexed="81"/>
            <rFont val="Tahoma"/>
            <family val="2"/>
          </rPr>
          <t>Note:</t>
        </r>
        <r>
          <rPr>
            <sz val="14"/>
            <color indexed="81"/>
            <rFont val="Tahoma"/>
            <family val="2"/>
          </rPr>
          <t xml:space="preserve">
The annual Debt Service Coverage Ratio is calculated by dividing the sum of the annual principal and interest payment into that year's operating cash flow. Lenders will require the DSCR to demonstrate the project's ability to easily meet its annual debt service obligation.
Average DSCRs over the life of the loan typically range from 1.2 to 1.5 for private, commercially financed projects, or from 1.1 to 1.3 for publicly owned, bond-financed projects - depending on the level of reserves, or other surety, provided. 
The annual minimum DSCR will depend on the specific terms of the loan and the probability-weighting of the production estimate, but will likely be in the range of 1.0 to 1.3. This input must be greater than 1.
</t>
        </r>
      </text>
    </comment>
    <comment ref="S915" authorId="0" shapeId="0" xr:uid="{98DE9812-5896-4B5F-81AC-19CAFB22DFCF}">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916" authorId="0" shapeId="0" xr:uid="{96715AA1-AD81-4D15-A56A-8606786F451F}">
      <text>
        <r>
          <rPr>
            <b/>
            <sz val="14"/>
            <color indexed="81"/>
            <rFont val="Tahoma"/>
            <family val="2"/>
          </rPr>
          <t>Note:</t>
        </r>
        <r>
          <rPr>
            <sz val="14"/>
            <color indexed="81"/>
            <rFont val="Tahoma"/>
            <family val="2"/>
          </rPr>
          <t xml:space="preserve">
If "#N/A" appears, F9 should be pressed until the calculated COE achieves it's final value.</t>
        </r>
      </text>
    </comment>
    <comment ref="S916" authorId="0" shapeId="0" xr:uid="{427F9A2F-5C25-4721-9C26-0E6EBA4AF1DC}">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917" authorId="1" shapeId="0" xr:uid="{847DA92F-5B6F-4F8A-A529-852BBA32947D}">
      <text>
        <r>
          <rPr>
            <b/>
            <sz val="14"/>
            <color indexed="81"/>
            <rFont val="Tahoma"/>
            <family val="2"/>
          </rPr>
          <t>Note:</t>
        </r>
        <r>
          <rPr>
            <sz val="14"/>
            <color indexed="81"/>
            <rFont val="Tahoma"/>
            <family val="2"/>
          </rPr>
          <t xml:space="preserve">
This cell checks that the debt service coverage ratio exceeds the user-defined minimum in each operating year (see note in DSCR cell for definition and rationale for DSCR). If the test "fails", the user must choose from one of several options in order to cure this deficiency (the extent to which these options are available will be specific to each project):
1. reduce the amount of project level debt, 
2. increase the feed-in tariff rate in order to generate cash flow sufficient to meet the bank's assumed coverage requirement.  In the CREST model, </t>
        </r>
        <r>
          <rPr>
            <u/>
            <sz val="14"/>
            <color indexed="81"/>
            <rFont val="Tahoma"/>
            <family val="2"/>
          </rPr>
          <t>this is done by manually increasing the "Target After-Tax Equity IRR."</t>
        </r>
        <r>
          <rPr>
            <sz val="14"/>
            <color indexed="81"/>
            <rFont val="Tahoma"/>
            <family val="2"/>
          </rPr>
          <t xml:space="preserve">
Other possible, but less likely, mechanisms include:
3. increase the loan tenor
4. decrease the interest rate</t>
        </r>
      </text>
    </comment>
    <comment ref="S917" authorId="0" shapeId="0" xr:uid="{1B035207-A172-48A7-92B0-A18F4639928E}">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918" authorId="1" shapeId="0" xr:uid="{C7DC69A0-9CDC-472F-9C6B-BE9DB6947022}">
      <text>
        <r>
          <rPr>
            <b/>
            <sz val="14"/>
            <color indexed="81"/>
            <rFont val="Tahoma"/>
            <family val="2"/>
          </rPr>
          <t>Note:</t>
        </r>
        <r>
          <rPr>
            <sz val="14"/>
            <color indexed="81"/>
            <rFont val="Tahoma"/>
            <family val="2"/>
          </rPr>
          <t xml:space="preserve">
The annual Debt Service Coverage Ratio is calculated by dividing the sum of the annual principal and interest payment into that year's operating cash flow. Lenders will require the DSCR to demonstrate the project's ability to easily meet its annual debt service obligation.
</t>
        </r>
        <r>
          <rPr>
            <u/>
            <sz val="14"/>
            <color indexed="81"/>
            <rFont val="Tahoma"/>
            <family val="2"/>
          </rPr>
          <t>Average</t>
        </r>
        <r>
          <rPr>
            <sz val="14"/>
            <color indexed="81"/>
            <rFont val="Tahoma"/>
            <family val="2"/>
          </rPr>
          <t xml:space="preserve"> DSCRs over the life of the loan typically range from 1.2 to 1.5 for private, commercially financed projects, or from 1.1 to 1.3 for publicly owned, bond-financed projects - depending on the level of reserves, or other surety, provided. 
The </t>
        </r>
        <r>
          <rPr>
            <u/>
            <sz val="14"/>
            <color indexed="81"/>
            <rFont val="Tahoma"/>
            <family val="2"/>
          </rPr>
          <t>annual minimum</t>
        </r>
        <r>
          <rPr>
            <sz val="14"/>
            <color indexed="81"/>
            <rFont val="Tahoma"/>
            <family val="2"/>
          </rPr>
          <t xml:space="preserve"> DSCR will depend on the specific terms of the loan and the probability-weighting of the production estimate, but will likely be in the range of 1.0 to 1.3. This input must be greater than 1.
</t>
        </r>
      </text>
    </comment>
    <comment ref="S918" authorId="0" shapeId="0" xr:uid="{6B9ADE63-4048-4BF8-B5D2-3EC8F45191CD}">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919" authorId="0" shapeId="0" xr:uid="{7EE5EFE5-34EA-44F3-A32F-FABAAC428A5D}">
      <text>
        <r>
          <rPr>
            <b/>
            <sz val="12"/>
            <color indexed="81"/>
            <rFont val="Tahoma"/>
            <family val="2"/>
          </rPr>
          <t>Note:</t>
        </r>
        <r>
          <rPr>
            <sz val="12"/>
            <color indexed="81"/>
            <rFont val="Tahoma"/>
            <family val="2"/>
          </rPr>
          <t xml:space="preserve">
If "#N/A" appears, F9 should be pressed until the calculated COE achieves it's final value.</t>
        </r>
      </text>
    </comment>
    <comment ref="S919" authorId="0" shapeId="0" xr:uid="{4BDBC49C-3E24-4B7F-9A3F-760ECF8D6F32}">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920" authorId="1" shapeId="0" xr:uid="{57C29CBD-4AD7-4933-B8E5-532BF8C211CD}">
      <text>
        <r>
          <rPr>
            <b/>
            <sz val="14"/>
            <color indexed="81"/>
            <rFont val="Tahoma"/>
            <family val="2"/>
          </rPr>
          <t>Note:</t>
        </r>
        <r>
          <rPr>
            <sz val="14"/>
            <color indexed="81"/>
            <rFont val="Tahoma"/>
            <family val="2"/>
          </rPr>
          <t xml:space="preserve">
This cell checks that the average debt service coverage ratio exceeds the user-defined minimum during the period for which debt is outstanding (see note in DSCR cell for definition and rationale for DSCR). If the test "fails", the user must choose from one of several options in order to cure this deficiency (the extent to which these options are available will be specific to each project):
1. reduce the amount of project level debt, 
2. increase the feed-in tariff rate in order to generate cash flow sufficient to meet the bank's assumed coverage requirement.  In the CREST model, </t>
        </r>
        <r>
          <rPr>
            <u/>
            <sz val="14"/>
            <color indexed="81"/>
            <rFont val="Tahoma"/>
            <family val="2"/>
          </rPr>
          <t>this is done by manually increasing the "Target After-Tax Equity IRR."</t>
        </r>
        <r>
          <rPr>
            <sz val="14"/>
            <color indexed="81"/>
            <rFont val="Tahoma"/>
            <family val="2"/>
          </rPr>
          <t xml:space="preserve">
Other possible, but less likely, mechanisms include:
3. increase the loan tenor
4. decrease the interest rate</t>
        </r>
      </text>
    </comment>
    <comment ref="I921" authorId="0" shapeId="0" xr:uid="{68D97B53-66F2-4AE5-BF39-86B427682D17}">
      <text>
        <r>
          <rPr>
            <b/>
            <sz val="14"/>
            <color indexed="81"/>
            <rFont val="Tahoma"/>
            <family val="2"/>
          </rPr>
          <t xml:space="preserve">Note:
</t>
        </r>
        <r>
          <rPr>
            <sz val="14"/>
            <color indexed="81"/>
            <rFont val="Tahoma"/>
            <family val="2"/>
          </rPr>
          <t xml:space="preserve">The portion of total project cost funded from equity investors. This cell is a calculation and not an input. It is calculated as 100% minus the "% Debt" entered above.
</t>
        </r>
      </text>
    </comment>
    <comment ref="P921" authorId="0" shapeId="0" xr:uid="{F7E250C3-2C3E-46BF-A133-E08F4D24B994}">
      <text>
        <r>
          <rPr>
            <b/>
            <sz val="8"/>
            <color indexed="81"/>
            <rFont val="Tahoma"/>
            <family val="2"/>
          </rPr>
          <t>See "unit" definitions at the bottom of this worksheet.</t>
        </r>
        <r>
          <rPr>
            <sz val="8"/>
            <color indexed="81"/>
            <rFont val="Tahoma"/>
            <family val="2"/>
          </rPr>
          <t xml:space="preserve">
</t>
        </r>
      </text>
    </comment>
    <comment ref="I922" authorId="1" shapeId="0" xr:uid="{121B3808-AFBB-4ACA-8EDE-6472E19569AE}">
      <text>
        <r>
          <rPr>
            <b/>
            <sz val="14"/>
            <color indexed="81"/>
            <rFont val="Tahoma"/>
            <family val="2"/>
          </rPr>
          <t>Note:</t>
        </r>
        <r>
          <rPr>
            <sz val="14"/>
            <color indexed="81"/>
            <rFont val="Tahoma"/>
            <family val="2"/>
          </rPr>
          <t xml:space="preserve">
The target after-tax equity IRR is the equity investor's cost of capital -- or "discount rate" -- and is the minimum rate of return that the project owner will seek to attain in order to justify the project compared to alternative investments.  
The user should be explicit in his or her assumption regarding the term over which the target after-tax IRR is assumed to be realized. For example, the user could elect to align the return requirement with the tariff payment duration. In this case, the project useful life should be set equal to the tariff duration in order to calculate the COE associated with the target IRR over that period of time. 
In a second example, the user could elect to align the return requirement with the project's useful life. In this case, the user can either assume a tariff duration equal to the project life, or assume market-based revenue for the period after the tariff and before the end of the assumed project useful life.
This input cannot be less than zero.
If a project is expected to be funded either by a pool of corporate funds or back-leveraged after commercial operation, the user might elect to enter 0% in the "% Debt" cell and enter a weighted average cost of capital (WACC) in the "Target After-Tax Equity IRR" cell.
</t>
        </r>
      </text>
    </comment>
    <comment ref="I923" authorId="0" shapeId="0" xr:uid="{AD20998E-DC38-4346-9505-912383673200}">
      <text>
        <r>
          <rPr>
            <b/>
            <sz val="14"/>
            <color indexed="81"/>
            <rFont val="Tahoma"/>
            <family val="2"/>
          </rPr>
          <t xml:space="preserve">Note:
</t>
        </r>
        <r>
          <rPr>
            <sz val="14"/>
            <color indexed="81"/>
            <rFont val="Tahoma"/>
            <family val="2"/>
          </rPr>
          <t xml:space="preserve">The weighted average cost of capital combines the after-tax cost of both equity and debt in proportion to their use, and is calculated here for reference.
</t>
        </r>
      </text>
    </comment>
    <comment ref="S923" authorId="1" shapeId="0" xr:uid="{BE41F16B-FD39-4DEF-9B6F-CCF1A080F6AF}">
      <text>
        <r>
          <rPr>
            <b/>
            <sz val="14"/>
            <color indexed="81"/>
            <rFont val="Tahoma"/>
            <family val="2"/>
          </rPr>
          <t xml:space="preserve">Note:
</t>
        </r>
        <r>
          <rPr>
            <sz val="14"/>
            <color indexed="81"/>
            <rFont val="Tahoma"/>
            <family val="2"/>
          </rPr>
          <t xml:space="preserve">In order to ensure that project owners have sufficient funds to decommission and remove equipment at the end of a project's life, many owners choose to create and fund a reserve account throughout the course of project. 
This input cell allows the modeler to choose whether to pay for project removal by creating and funding a reserve account over the project life by selecting "Operations" or to assume that a project's removal will be funded by selling the equipment, by selecting "Salvage".
</t>
        </r>
      </text>
    </comment>
    <comment ref="I924" authorId="0" shapeId="0" xr:uid="{A130A4E0-4C40-4D1C-91DC-4BEEAA62226E}">
      <text>
        <r>
          <rPr>
            <b/>
            <sz val="14"/>
            <color indexed="81"/>
            <rFont val="Tahoma"/>
            <family val="2"/>
          </rPr>
          <t xml:space="preserve">Note:
</t>
        </r>
        <r>
          <rPr>
            <sz val="14"/>
            <color indexed="81"/>
            <rFont val="Tahoma"/>
            <family val="2"/>
          </rPr>
          <t>This cell represents the costs of both equity and debt due diligence (if applicable) and other transaction costs.
Input cannot be less than zero.</t>
        </r>
      </text>
    </comment>
    <comment ref="S924" authorId="0" shapeId="0" xr:uid="{9685D7F0-74E9-4CF9-98B8-AD46C65CE6E0}">
      <text>
        <r>
          <rPr>
            <b/>
            <sz val="14"/>
            <color indexed="81"/>
            <rFont val="Tahoma"/>
            <family val="2"/>
          </rPr>
          <t>Note:</t>
        </r>
        <r>
          <rPr>
            <sz val="14"/>
            <color indexed="81"/>
            <rFont val="Tahoma"/>
            <family val="2"/>
          </rPr>
          <t xml:space="preserve">
This input cell allows the user to assume the creation of a reserve account. The value entered here will be accounted for in the project's cash flow, and would be funded evenly over the number of years available between the project's commercial operation and the end of its useful life.
Input cannot be less than zero.
</t>
        </r>
      </text>
    </comment>
    <comment ref="P926" authorId="0" shapeId="0" xr:uid="{C65AC6B7-99B0-48D7-BC02-DE063083F0E8}">
      <text>
        <r>
          <rPr>
            <b/>
            <sz val="8"/>
            <color indexed="81"/>
            <rFont val="Tahoma"/>
            <family val="2"/>
          </rPr>
          <t>See "unit" definitions at the bottom of this worksheet.</t>
        </r>
        <r>
          <rPr>
            <sz val="8"/>
            <color indexed="81"/>
            <rFont val="Tahoma"/>
            <family val="2"/>
          </rPr>
          <t xml:space="preserve">
</t>
        </r>
      </text>
    </comment>
    <comment ref="I927" authorId="0" shapeId="0" xr:uid="{74FFD66B-3DE4-4454-9169-8C00CBCC24A1}">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at the project's "Total Installed Cost."
</t>
        </r>
      </text>
    </comment>
    <comment ref="I928" authorId="0" shapeId="0" xr:uid="{8B6ED327-FF48-4C4E-A370-E88A56831AD4}">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t>
        </r>
      </text>
    </comment>
    <comment ref="S928" authorId="0" shapeId="0" xr:uid="{E8E1350E-B66F-4662-A2A3-CCA504CDD3B7}">
      <text>
        <r>
          <rPr>
            <b/>
            <sz val="14"/>
            <color indexed="81"/>
            <rFont val="Tahoma"/>
            <family val="2"/>
          </rPr>
          <t>Note:</t>
        </r>
        <r>
          <rPr>
            <sz val="14"/>
            <color indexed="81"/>
            <rFont val="Tahoma"/>
            <family val="2"/>
          </rPr>
          <t xml:space="preserve">
Lenders typically require the project owner to establish a reserve account prior to the commencement of operations to ensure that loan repayments occur in full and on time even if the project has insufficient operating cash flow in a specific period due to lower than expected production, higher costs, or both. The size of the reserve account is typically equal to 6 months of debt service obligation.
Input cannot be less than zero.
</t>
        </r>
      </text>
    </comment>
    <comment ref="I929" authorId="0" shapeId="0" xr:uid="{6FDFF9B6-8C5F-455C-AC04-9C2143EFAB0C}">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As previously described, this value excludes the ITC Cash Grant, which must be financed prior to commercial operation.  
</t>
        </r>
      </text>
    </comment>
    <comment ref="S929" authorId="0" shapeId="0" xr:uid="{48343BD5-C736-4BFF-B3B3-D83C4E57A66F}">
      <text>
        <r>
          <rPr>
            <b/>
            <sz val="14"/>
            <color indexed="81"/>
            <rFont val="Tahoma"/>
            <family val="2"/>
          </rPr>
          <t>Note:</t>
        </r>
        <r>
          <rPr>
            <sz val="14"/>
            <color indexed="81"/>
            <rFont val="Tahoma"/>
            <family val="2"/>
          </rPr>
          <t xml:space="preserve">
Calculated value based on the # months of required reserve and the capital structure and associated periodic debt obligation.
</t>
        </r>
      </text>
    </comment>
    <comment ref="I930" authorId="0" shapeId="0" xr:uid="{599F3476-596F-4F2E-B6C7-E53B96243C44}">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t>
        </r>
      </text>
    </comment>
    <comment ref="S931" authorId="0" shapeId="0" xr:uid="{3D1B6908-9502-47EC-A9DE-E29F2393F40D}">
      <text>
        <r>
          <rPr>
            <b/>
            <sz val="14"/>
            <color indexed="81"/>
            <rFont val="Tahoma"/>
            <family val="2"/>
          </rPr>
          <t>Note:</t>
        </r>
        <r>
          <rPr>
            <sz val="14"/>
            <color indexed="81"/>
            <rFont val="Tahoma"/>
            <family val="2"/>
          </rPr>
          <t xml:space="preserve">
Lenders typically require the project owner to establish a reserve account prior to the commencement of operations to ensure that all O&amp;M expenses can be met even if the project has insufficient operating cash flow in a specific period due to lower than expected production, higher costs, or both. The size of the reserve account is typically 3 to 6 months of O&amp;M expenses, and includes all categories of O&amp;M expenses.
Input cannot be less than zero.
</t>
        </r>
      </text>
    </comment>
    <comment ref="F932" authorId="0" shapeId="0" xr:uid="{5869035D-2382-428C-B916-0FBE035411FF}">
      <text>
        <r>
          <rPr>
            <b/>
            <sz val="8"/>
            <color indexed="81"/>
            <rFont val="Tahoma"/>
            <family val="2"/>
          </rPr>
          <t>See "unit" definitions at the bottom of this worksheet.</t>
        </r>
        <r>
          <rPr>
            <sz val="8"/>
            <color indexed="81"/>
            <rFont val="Tahoma"/>
            <family val="2"/>
          </rPr>
          <t xml:space="preserve">
</t>
        </r>
      </text>
    </comment>
    <comment ref="S932" authorId="0" shapeId="0" xr:uid="{8CE8EB69-6631-4BC3-8C77-4DB4E61CB37B}">
      <text>
        <r>
          <rPr>
            <b/>
            <sz val="14"/>
            <color indexed="81"/>
            <rFont val="Tahoma"/>
            <family val="2"/>
          </rPr>
          <t>Note:</t>
        </r>
        <r>
          <rPr>
            <sz val="14"/>
            <color indexed="81"/>
            <rFont val="Tahoma"/>
            <family val="2"/>
          </rPr>
          <t xml:space="preserve">
Calculated value based on the # months of required reserve and all annual operating expenses.
</t>
        </r>
      </text>
    </comment>
    <comment ref="I933" authorId="0" shapeId="0" xr:uid="{0D33F286-0341-4A1D-BB63-8C488DAB8856}">
      <text>
        <r>
          <rPr>
            <b/>
            <sz val="14"/>
            <color indexed="81"/>
            <rFont val="Tahoma"/>
            <family val="2"/>
          </rPr>
          <t xml:space="preserve">Note:
</t>
        </r>
        <r>
          <rPr>
            <sz val="14"/>
            <color indexed="81"/>
            <rFont val="Tahoma"/>
            <family val="2"/>
          </rPr>
          <t xml:space="preserve">Defines whether the project owner is a taxable or non-taxable entity. This determines the treatment of income taxes and other tax-related items.
</t>
        </r>
      </text>
    </comment>
    <comment ref="S933" authorId="0" shapeId="0" xr:uid="{0F9894C7-1B8B-4D04-ADAB-0802000F6CCA}">
      <text>
        <r>
          <rPr>
            <b/>
            <sz val="14"/>
            <color indexed="81"/>
            <rFont val="Tahoma"/>
            <family val="2"/>
          </rPr>
          <t>Note:</t>
        </r>
        <r>
          <rPr>
            <sz val="14"/>
            <color indexed="81"/>
            <rFont val="Tahoma"/>
            <family val="2"/>
          </rPr>
          <t xml:space="preserve">
Unused reserves earn interest at this rate. Input cannot be less than zero.
</t>
        </r>
      </text>
    </comment>
    <comment ref="I934" authorId="0" shapeId="0" xr:uid="{0F261EBB-6EDD-4A3A-B0D1-6C39A2DC79B2}">
      <text>
        <r>
          <rPr>
            <b/>
            <sz val="14"/>
            <color indexed="81"/>
            <rFont val="Tahoma"/>
            <family val="2"/>
          </rPr>
          <t xml:space="preserve">Note:
</t>
        </r>
        <r>
          <rPr>
            <sz val="14"/>
            <color indexed="81"/>
            <rFont val="Tahoma"/>
            <family val="2"/>
          </rPr>
          <t xml:space="preserve">Defines the project's federal income tax rate, if applicable.
Input cannot be less than zero.
</t>
        </r>
      </text>
    </comment>
    <comment ref="I935" authorId="0" shapeId="0" xr:uid="{4C40779E-FB1F-4BDB-BC6A-408365AEB424}">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I936" authorId="0" shapeId="0" xr:uid="{11BDBF68-F444-4973-98EB-2C5D18BA5E90}">
      <text>
        <r>
          <rPr>
            <b/>
            <sz val="14"/>
            <color indexed="81"/>
            <rFont val="Tahoma"/>
            <family val="2"/>
          </rPr>
          <t xml:space="preserve">Note:
</t>
        </r>
        <r>
          <rPr>
            <sz val="14"/>
            <color indexed="81"/>
            <rFont val="Tahoma"/>
            <family val="2"/>
          </rPr>
          <t xml:space="preserve">Defines the project's state income tax rate, if applicable.
Input cannot be less than zero.
</t>
        </r>
      </text>
    </comment>
    <comment ref="S936" authorId="0" shapeId="0" xr:uid="{8669EC1A-C2F5-4AD9-83FE-13A48C25DB79}">
      <text>
        <r>
          <rPr>
            <b/>
            <sz val="14"/>
            <color indexed="81"/>
            <rFont val="Tahoma"/>
            <family val="2"/>
          </rPr>
          <t>Note:</t>
        </r>
        <r>
          <rPr>
            <sz val="14"/>
            <color indexed="81"/>
            <rFont val="Tahoma"/>
            <family val="2"/>
          </rPr>
          <t xml:space="preserve">
To qualify for Bonus Depreciation the property must have a recovery period of 20 years or less (under normal federal tax depreciation rules), and the project must commence operation in the year in which bonus depreciation is in effect and under the ownership of the entity claiming the deduction. 
For qualifying projects, the owner is entitled to deduct 50% of the adjusted basis of the property during the tax year the property is first placed in service. The remaining 50% of the adjusted basis of the property is depreciated over the ordinary MACRS depreciation schedule. The bonus depreciation rules do not override the depreciation limit applicable to projects qualifying for the federal ITC. Before calculating depreciation for such a project, including any bonus depreciation, the adjusted basis of the project must be reduced by one-half of the amount of the ITC for which the project qualifies. 
</t>
        </r>
      </text>
    </comment>
    <comment ref="I937" authorId="0" shapeId="0" xr:uid="{C1D8D503-3FD2-4137-9826-FD6FE75314AA}">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P937" authorId="0" shapeId="0" xr:uid="{D1070706-3FCA-4190-A578-8EFBEB53C4F0}">
      <text>
        <r>
          <rPr>
            <b/>
            <sz val="12"/>
            <color indexed="81"/>
            <rFont val="Tahoma"/>
            <family val="2"/>
          </rPr>
          <t>Jason Gifford:</t>
        </r>
        <r>
          <rPr>
            <sz val="12"/>
            <color indexed="81"/>
            <rFont val="Tahoma"/>
            <family val="2"/>
          </rPr>
          <t xml:space="preserve">
The Consolidated Appropriations Act, signed in December 2015, extended the "placed in service" deadline for bonus depreciation. Equipment placed in service before January 1, 2018 can qualify for 50% bonus depreciation. Equipment placed in service during 2018 can qualify for 40% bonus depreciation. And equipment placed in service during 2019 can qualify for 30% bonus depreciation. </t>
        </r>
      </text>
    </comment>
    <comment ref="S937" authorId="0" shapeId="0" xr:uid="{04EFBF3F-E19A-48DF-A3C5-CD377DBF7954}">
      <text>
        <r>
          <rPr>
            <b/>
            <sz val="14"/>
            <color indexed="81"/>
            <rFont val="Tahoma"/>
            <family val="2"/>
          </rPr>
          <t>Note:</t>
        </r>
        <r>
          <rPr>
            <sz val="14"/>
            <color indexed="81"/>
            <rFont val="Tahoma"/>
            <family val="2"/>
          </rPr>
          <t xml:space="preserve">
This input allows the user to define the bonus depreciation % applied in Year 1, if applicable.  Historically, federal bonus depreciation has been 50% of the eligible cost basis (after taking into account reductions in such cost basis for the ITC, if applicable).  
Input cannot be less than zero.
</t>
        </r>
      </text>
    </comment>
    <comment ref="I938" authorId="0" shapeId="0" xr:uid="{FECFA27D-B18D-4748-A409-323A69F88742}">
      <text>
        <r>
          <rPr>
            <b/>
            <sz val="14"/>
            <color indexed="81"/>
            <rFont val="Tahoma"/>
            <family val="2"/>
          </rPr>
          <t xml:space="preserve">Note:
</t>
        </r>
        <r>
          <rPr>
            <sz val="14"/>
            <color indexed="81"/>
            <rFont val="Tahoma"/>
            <family val="2"/>
          </rPr>
          <t xml:space="preserve">Takes into account the interaction between federal and state tax rates. This is a calculated value.
</t>
        </r>
      </text>
    </comment>
    <comment ref="I939" authorId="0" shapeId="0" xr:uid="{F6ECF638-9873-4527-95C3-5CF77591F622}">
      <text>
        <r>
          <rPr>
            <b/>
            <sz val="14"/>
            <color indexed="81"/>
            <rFont val="Tahoma"/>
            <family val="2"/>
          </rPr>
          <t xml:space="preserve">Note:
</t>
        </r>
        <r>
          <rPr>
            <sz val="14"/>
            <color indexed="81"/>
            <rFont val="Tahoma"/>
            <family val="2"/>
          </rPr>
          <t>Depreciation accounts for the "use" of equipment for tax purposes. The depreciation inputs are provided in the table to the right and on the Complex Capital Costs tab when this option is selected.</t>
        </r>
      </text>
    </comment>
    <comment ref="AB940" authorId="0" shapeId="0" xr:uid="{660CDE46-0A9B-4F91-BE61-7409F5CD4652}">
      <text>
        <r>
          <rPr>
            <b/>
            <sz val="14"/>
            <color indexed="81"/>
            <rFont val="Tahoma"/>
            <family val="2"/>
          </rPr>
          <t>Note:</t>
        </r>
        <r>
          <rPr>
            <sz val="14"/>
            <color indexed="81"/>
            <rFont val="Tahoma"/>
            <family val="2"/>
          </rPr>
          <t xml:space="preserve">
When the "Simple" capital cost option is selected, the depreciation of total project costs is divided among the classifications using this row. The depreciation options associated with other levels of cost detail will be hidden.
</t>
        </r>
        <r>
          <rPr>
            <b/>
            <sz val="14"/>
            <color indexed="81"/>
            <rFont val="Tahoma"/>
            <family val="2"/>
          </rPr>
          <t xml:space="preserve">This row must sum to 100%.
</t>
        </r>
      </text>
    </comment>
    <comment ref="AB941" authorId="0" shapeId="0" xr:uid="{145E48AC-C4B0-4E62-B27C-C299C5CDA024}">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942" authorId="0" shapeId="0" xr:uid="{3FEBABED-677F-4474-A6F6-7569E1163F9C}">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943" authorId="0" shapeId="0" xr:uid="{DA8BBDB8-4332-470D-9FCC-E24C8FB7BC85}">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944" authorId="0" shapeId="0" xr:uid="{6A6CFEA1-743B-497D-B8CD-297A4E60D139}">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945" authorId="0" shapeId="0" xr:uid="{8F8E5A14-CAB0-40F5-B829-5324D6D5B270}">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946" authorId="0" shapeId="0" xr:uid="{320DE40C-87E8-4B6A-B6F3-F477635736C3}">
      <text>
        <r>
          <rPr>
            <b/>
            <sz val="14"/>
            <color indexed="81"/>
            <rFont val="Tahoma"/>
            <family val="2"/>
          </rPr>
          <t>Note:</t>
        </r>
        <r>
          <rPr>
            <sz val="14"/>
            <color indexed="81"/>
            <rFont val="Tahoma"/>
            <family val="2"/>
          </rPr>
          <t xml:space="preserve">
When the "Complex" capital cost option is selected, each line items is assigned its own depreciation classification using a drop-down menu on the Complex Capital Costs tab.
</t>
        </r>
      </text>
    </comment>
    <comment ref="C951" authorId="0" shapeId="0" xr:uid="{4D01079F-F601-4A49-8CF9-9704795F33C2}">
      <text>
        <r>
          <rPr>
            <sz val="14"/>
            <color indexed="81"/>
            <rFont val="Tahoma"/>
            <family val="2"/>
          </rPr>
          <t xml:space="preserve">The "Check" column evaluates whether or not values have been enterred in all required fields.  Green denotes an accepted entry in a required field or a calculation for which the minimum required precedents have been satisfied.  Red denotes the absence of an entry in a required field, or a calculation for which the minimum required precendents have NOT been satisfied.
</t>
        </r>
        <r>
          <rPr>
            <b/>
            <sz val="14"/>
            <color indexed="81"/>
            <rFont val="Tahoma"/>
            <family val="2"/>
          </rPr>
          <t>Please note</t>
        </r>
        <r>
          <rPr>
            <sz val="14"/>
            <color indexed="81"/>
            <rFont val="Tahoma"/>
            <family val="2"/>
          </rPr>
          <t xml:space="preserve"> that while the "Check" column ensures the population of all required fields, this column does NOT validate the magnitude of such entries.  It is the model user's responsibility to provide inputs which accurately represent the project being modeled.  In some cases, a range of typical values for a specified input are provided in that input's "Notes" cell.</t>
        </r>
      </text>
    </comment>
    <comment ref="I951" authorId="0" shapeId="0" xr:uid="{6D94F7CF-B9DD-46AB-9C88-C37A528B28ED}">
      <text>
        <r>
          <rPr>
            <sz val="14"/>
            <color indexed="81"/>
            <rFont val="Tahoma"/>
            <family val="2"/>
          </rPr>
          <t xml:space="preserve">Each cell in the "Notes" column provides a brief description of the input in the corresponding row, its application within the model, and (in some cases) the range of values that might be expected to populate that  input cell.  It is the model user's responsibility, however, to research and validate the applicability of, and appropriate value for, each input.
</t>
        </r>
        <r>
          <rPr>
            <sz val="8"/>
            <color indexed="81"/>
            <rFont val="Tahoma"/>
            <family val="2"/>
          </rPr>
          <t xml:space="preserve">
</t>
        </r>
      </text>
    </comment>
    <comment ref="M951" authorId="0" shapeId="0" xr:uid="{DE93A258-8982-41D4-A1F7-398544902405}">
      <text>
        <r>
          <rPr>
            <sz val="14"/>
            <color indexed="81"/>
            <rFont val="Tahoma"/>
            <family val="2"/>
          </rPr>
          <t xml:space="preserve">The "Check" column evaluates whether or not values have been enterred in all required fields.  Green denotes an accepted entry in a required field or a calculation for which the minimum required precedents have been satisfied.  Red denotes the absence of an entry in a required field, or a calculation for which the minimum required precendents have NOT been satisfied.
</t>
        </r>
        <r>
          <rPr>
            <b/>
            <sz val="14"/>
            <color indexed="81"/>
            <rFont val="Tahoma"/>
            <family val="2"/>
          </rPr>
          <t>Please note</t>
        </r>
        <r>
          <rPr>
            <sz val="14"/>
            <color indexed="81"/>
            <rFont val="Tahoma"/>
            <family val="2"/>
          </rPr>
          <t xml:space="preserve"> that while the "Check" column ensures the population of all required fields, this column does NOT validate the magnitude of such entries.  It is the model user's responsibility to provide inputs which accurately represent the project being modeled.  In some cases, a range of typical values for a specified input are provided in that input's "Notes" cell.</t>
        </r>
      </text>
    </comment>
    <comment ref="S951" authorId="0" shapeId="0" xr:uid="{CD9409CF-151A-495D-8241-58C943828FFA}">
      <text>
        <r>
          <rPr>
            <sz val="14"/>
            <color indexed="81"/>
            <rFont val="Tahoma"/>
            <family val="2"/>
          </rPr>
          <t>Each cell in the "Notes" column provides a brief description of the input in the corresponding row, its application within the model, and (in some cases) the range of values that might be expected to populate that  input cell. It is the model user's responsibility, however, to research and validate the applicability of, and appropriate value for, each input.</t>
        </r>
        <r>
          <rPr>
            <sz val="8"/>
            <color indexed="81"/>
            <rFont val="Tahoma"/>
            <family val="2"/>
          </rPr>
          <t xml:space="preserve">
</t>
        </r>
      </text>
    </comment>
    <comment ref="F953" authorId="0" shapeId="0" xr:uid="{073E763C-5A51-4F17-866A-E9FB2C470840}">
      <text>
        <r>
          <rPr>
            <b/>
            <sz val="8"/>
            <color indexed="81"/>
            <rFont val="Tahoma"/>
            <family val="2"/>
          </rPr>
          <t>See "unit" definitions at the bottom of this worksheet.</t>
        </r>
        <r>
          <rPr>
            <sz val="8"/>
            <color indexed="81"/>
            <rFont val="Tahoma"/>
            <family val="2"/>
          </rPr>
          <t xml:space="preserve">
</t>
        </r>
      </text>
    </comment>
    <comment ref="P953" authorId="0" shapeId="0" xr:uid="{7679DADF-BEAD-412C-A767-11F7549FF664}">
      <text>
        <r>
          <rPr>
            <b/>
            <sz val="8"/>
            <color indexed="81"/>
            <rFont val="Tahoma"/>
            <family val="2"/>
          </rPr>
          <t>See "unit" definitions at the bottom of this worksheet.</t>
        </r>
        <r>
          <rPr>
            <sz val="8"/>
            <color indexed="81"/>
            <rFont val="Tahoma"/>
            <family val="2"/>
          </rPr>
          <t xml:space="preserve">
</t>
        </r>
      </text>
    </comment>
    <comment ref="I954" authorId="1" shapeId="0" xr:uid="{564334BF-92C1-4ECC-B760-4D7AC3FE0AB4}">
      <text>
        <r>
          <rPr>
            <b/>
            <sz val="14"/>
            <color indexed="81"/>
            <rFont val="Tahoma"/>
            <family val="2"/>
          </rPr>
          <t>Note:</t>
        </r>
        <r>
          <rPr>
            <sz val="14"/>
            <color indexed="81"/>
            <rFont val="Tahoma"/>
            <family val="2"/>
          </rPr>
          <t xml:space="preserve">
This is the aggregate nameplate rating for the entire generating facility.
Input must be greater than zero.
</t>
        </r>
      </text>
    </comment>
    <comment ref="S954" authorId="1" shapeId="0" xr:uid="{06606BB1-025E-4256-96F7-7C9616CFBDA6}">
      <text>
        <r>
          <rPr>
            <b/>
            <sz val="14"/>
            <color indexed="81"/>
            <rFont val="Tahoma"/>
            <family val="2"/>
          </rPr>
          <t xml:space="preserve">Note:
</t>
        </r>
        <r>
          <rPr>
            <sz val="14"/>
            <color indexed="81"/>
            <rFont val="Tahoma"/>
            <family val="2"/>
          </rPr>
          <t xml:space="preserve">The FIT contract length is the number of years for which the rate specified by this model is available. This term is established by policymakers and must be less than or equal to the project's useful life.  
The contract duration is also different than the debt tenor (if applicable), which is specified in the Permanent Financing section below.
</t>
        </r>
      </text>
    </comment>
    <comment ref="I955" authorId="1" shapeId="0" xr:uid="{A067F9E6-E5AC-4CCD-8E99-936329AB8E1E}">
      <text>
        <r>
          <rPr>
            <b/>
            <sz val="14"/>
            <color indexed="81"/>
            <rFont val="Tahoma"/>
            <family val="2"/>
          </rPr>
          <t>Note:</t>
        </r>
        <r>
          <rPr>
            <sz val="14"/>
            <color indexed="81"/>
            <rFont val="Tahoma"/>
            <family val="2"/>
          </rPr>
          <t xml:space="preserve">
Capacity Factor is the % representation of the actual production vs. the theoretical maximum annual production of an energy project. This model requires the input of a </t>
        </r>
        <r>
          <rPr>
            <b/>
            <sz val="14"/>
            <color indexed="81"/>
            <rFont val="Tahoma"/>
            <family val="2"/>
          </rPr>
          <t>Net Capacity Factor</t>
        </r>
        <r>
          <rPr>
            <sz val="14"/>
            <color indexed="81"/>
            <rFont val="Tahoma"/>
            <family val="2"/>
          </rPr>
          <t xml:space="preserve">, meaning that the estimate of actual energy production should take into account all electricity losses (including those incurred between the generating facility and the contract delivery point), scheduled and unscheduled maintenance, forced outages, wake effects, icing, and any other factors that could reduce production.
Wind projects typically have a capacity factor between 25% and 40% depending on region and site-specific topography. 
Input must be between 0% and 100%.
</t>
        </r>
      </text>
    </comment>
    <comment ref="S955" authorId="1" shapeId="0" xr:uid="{40C80374-61F8-45F3-A191-C2563C14585E}">
      <text>
        <r>
          <rPr>
            <b/>
            <sz val="14"/>
            <color indexed="81"/>
            <rFont val="Tahoma"/>
            <family val="2"/>
          </rPr>
          <t xml:space="preserve">Note:
</t>
        </r>
        <r>
          <rPr>
            <sz val="14"/>
            <color indexed="81"/>
            <rFont val="Tahoma"/>
            <family val="2"/>
          </rPr>
          <t xml:space="preserve">This is the portion (%) of the tariff which is subject to annual escalation.  
Program administrators may determine that some or all of the tariff rate should be escalated to reflect the uncertainty associated with the future cost of owning and operating an electricity generating facility. This input is separate from the inflation assumed to apply to certain O&amp;M expenses, which is provided as an input in the O&amp;M section below.
Input must be between 0% and 100%.
</t>
        </r>
      </text>
    </comment>
    <comment ref="I956" authorId="1" shapeId="0" xr:uid="{EA0D6196-6E8D-497B-A417-BE65754A4533}">
      <text>
        <r>
          <rPr>
            <b/>
            <sz val="14"/>
            <color indexed="81"/>
            <rFont val="Tahoma"/>
            <family val="2"/>
          </rPr>
          <t>Note:</t>
        </r>
        <r>
          <rPr>
            <sz val="14"/>
            <color indexed="81"/>
            <rFont val="Tahoma"/>
            <family val="2"/>
          </rPr>
          <t xml:space="preserve">
This is a calculation, based on the system size and capacity factor provided above. 
</t>
        </r>
      </text>
    </comment>
    <comment ref="S956" authorId="1" shapeId="0" xr:uid="{4A5F3633-89F0-4C9D-86B8-8B1D22723C96}">
      <text>
        <r>
          <rPr>
            <b/>
            <sz val="14"/>
            <color indexed="81"/>
            <rFont val="Tahoma"/>
            <family val="2"/>
          </rPr>
          <t xml:space="preserve">Note:
</t>
        </r>
        <r>
          <rPr>
            <sz val="14"/>
            <color indexed="81"/>
            <rFont val="Tahoma"/>
            <family val="2"/>
          </rPr>
          <t xml:space="preserve">To calculate a </t>
        </r>
        <r>
          <rPr>
            <b/>
            <sz val="14"/>
            <color indexed="81"/>
            <rFont val="Tahoma"/>
            <family val="2"/>
          </rPr>
          <t>nominal levelized tariff rate</t>
        </r>
        <r>
          <rPr>
            <sz val="14"/>
            <color indexed="81"/>
            <rFont val="Tahoma"/>
            <family val="2"/>
          </rPr>
          <t xml:space="preserve">, the "feed-in tariff escalation rate" field should be </t>
        </r>
        <r>
          <rPr>
            <b/>
            <sz val="14"/>
            <color indexed="81"/>
            <rFont val="Tahoma"/>
            <family val="2"/>
          </rPr>
          <t>set to zero</t>
        </r>
        <r>
          <rPr>
            <sz val="14"/>
            <color indexed="81"/>
            <rFont val="Tahoma"/>
            <family val="2"/>
          </rPr>
          <t>.</t>
        </r>
        <r>
          <rPr>
            <b/>
            <sz val="14"/>
            <color indexed="81"/>
            <rFont val="Tahoma"/>
            <family val="2"/>
          </rPr>
          <t xml:space="preserve">
</t>
        </r>
        <r>
          <rPr>
            <sz val="14"/>
            <color indexed="81"/>
            <rFont val="Tahoma"/>
            <family val="2"/>
          </rPr>
          <t xml:space="preserve">Where applied, tariff rate escalation is intended to serve as a risk mitigating tool, at least partially protecting the project investor from the uncertainty associated with the future cost of owning and operating the renewable energy facility. The escalation rate can be used to assume a year over year increase in all, or a portion, of the per unit payment provided to eligible generators. This concept is separate from inflationary adjustments to future operating cost assumptions -- which are input below.
This rate is applied annually.  Note that in this model, calendar years and tariff years are aligned.
</t>
        </r>
        <r>
          <rPr>
            <b/>
            <sz val="14"/>
            <color indexed="81"/>
            <rFont val="Tahoma"/>
            <family val="2"/>
          </rPr>
          <t>Caution:</t>
        </r>
        <r>
          <rPr>
            <sz val="14"/>
            <color indexed="81"/>
            <rFont val="Tahoma"/>
            <family val="2"/>
          </rPr>
          <t xml:space="preserve"> A value must be entered into this cell in order for the model to function properly. The input can be positive or negative (if the FIT value decreases over time), and a typical value may fall between 0% and 5%.  
</t>
        </r>
      </text>
    </comment>
    <comment ref="I957" authorId="1" shapeId="0" xr:uid="{E206175F-7DD8-45AB-8845-AD2DC2BA0FCD}">
      <text>
        <r>
          <rPr>
            <b/>
            <sz val="14"/>
            <color indexed="81"/>
            <rFont val="Tahoma"/>
            <family val="2"/>
          </rPr>
          <t>Note:</t>
        </r>
        <r>
          <rPr>
            <sz val="14"/>
            <color indexed="81"/>
            <rFont val="Tahoma"/>
            <family val="2"/>
          </rPr>
          <t xml:space="preserve">
The natural aging of the mechanical components of a wind turbine generator may lead to a drop in turbine availability (or efficiency), and therefore production, over time.  
This input allows the user to model the potential for such degradation, which may be between 0% and 2% per year.
</t>
        </r>
        <r>
          <rPr>
            <b/>
            <sz val="14"/>
            <color indexed="81"/>
            <rFont val="Tahoma"/>
            <family val="2"/>
          </rPr>
          <t>If the modeled "Net Capacity Factor" is intented to take long-term average availability into account, then the user may wish to enter 0% in the Annual Production Degradation field.</t>
        </r>
        <r>
          <rPr>
            <sz val="14"/>
            <color indexed="81"/>
            <rFont val="Tahoma"/>
            <family val="2"/>
          </rPr>
          <t xml:space="preserve">
Input must be =&gt; 0%.
</t>
        </r>
      </text>
    </comment>
    <comment ref="I958" authorId="1" shapeId="0" xr:uid="{D2CB6C65-DAD6-4D88-9E7D-10D757FAC475}">
      <text>
        <r>
          <rPr>
            <b/>
            <sz val="14"/>
            <color indexed="81"/>
            <rFont val="Tahoma"/>
            <family val="2"/>
          </rPr>
          <t xml:space="preserve">Note:
</t>
        </r>
        <r>
          <rPr>
            <sz val="14"/>
            <color indexed="81"/>
            <rFont val="Tahoma"/>
            <family val="2"/>
          </rPr>
          <t xml:space="preserve">The Project Useful Life is the number of years that the project is expected to be fully operational, reliably delivering electricity to the grid, and generating revenue. This concept is different from the FIT Contract Length, which is administratively determined by policymakers. These two values may be the same if a FIT contract is offered for the project's entire expected useful life. This approach is likely to generate the lowest tariff rate, while successfully attracting investors to renewable energy projects.  
The CREST model is built for a maximum Project Useful Life of 30 years.
Input must be greater than 0 and less than or equal to 30.
</t>
        </r>
      </text>
    </comment>
    <comment ref="S958" authorId="1" shapeId="0" xr:uid="{EC46359F-A497-4150-88F8-97F6AA05B9FA}">
      <text>
        <r>
          <rPr>
            <b/>
            <sz val="14"/>
            <color indexed="81"/>
            <rFont val="Tahoma"/>
            <family val="2"/>
          </rPr>
          <t xml:space="preserve">Note:
</t>
        </r>
        <r>
          <rPr>
            <sz val="14"/>
            <color indexed="81"/>
            <rFont val="Tahoma"/>
            <family val="2"/>
          </rPr>
          <t>If the designated "FIT Contract Length" is less than the defined "Project Useful Life", then this grouping of inputs is used to calculate the project's market-based revenue during the period from FIT contract expiration to the end of the project's life.</t>
        </r>
        <r>
          <rPr>
            <b/>
            <sz val="14"/>
            <color indexed="81"/>
            <rFont val="Tahoma"/>
            <family val="2"/>
          </rPr>
          <t xml:space="preserve">
</t>
        </r>
        <r>
          <rPr>
            <sz val="14"/>
            <color indexed="81"/>
            <rFont val="Tahoma"/>
            <family val="2"/>
          </rPr>
          <t xml:space="preserve">
</t>
        </r>
      </text>
    </comment>
    <comment ref="S959" authorId="1" shapeId="0" xr:uid="{6B76C371-9EE0-44BA-BE49-F1514536A710}">
      <text>
        <r>
          <rPr>
            <b/>
            <sz val="14"/>
            <color indexed="81"/>
            <rFont val="Tahoma"/>
            <family val="2"/>
          </rPr>
          <t xml:space="preserve">Note:
</t>
        </r>
        <r>
          <rPr>
            <sz val="14"/>
            <color indexed="81"/>
            <rFont val="Tahoma"/>
            <family val="2"/>
          </rPr>
          <t>Selecting "Year One" forecasts the total market value of production based on an estimate of that value in the project's first year of commercial operation and a user-defined escalation rate.  
Selecting "Year-by-Year" enables the user to enter unique annual values for the period after the FIT expires and before the end of the project's useful life.</t>
        </r>
        <r>
          <rPr>
            <b/>
            <sz val="14"/>
            <color indexed="81"/>
            <rFont val="Tahoma"/>
            <family val="2"/>
          </rPr>
          <t xml:space="preserve">
</t>
        </r>
        <r>
          <rPr>
            <sz val="14"/>
            <color indexed="81"/>
            <rFont val="Tahoma"/>
            <family val="2"/>
          </rPr>
          <t xml:space="preserve">
</t>
        </r>
      </text>
    </comment>
    <comment ref="F960" authorId="0" shapeId="0" xr:uid="{53A3A180-8FFC-4870-961A-6CD16C7710C4}">
      <text>
        <r>
          <rPr>
            <b/>
            <sz val="8"/>
            <color indexed="81"/>
            <rFont val="Tahoma"/>
            <family val="2"/>
          </rPr>
          <t>See "unit" definitions at the bottom of this worksheet.</t>
        </r>
        <r>
          <rPr>
            <sz val="8"/>
            <color indexed="81"/>
            <rFont val="Tahoma"/>
            <family val="2"/>
          </rPr>
          <t xml:space="preserve">
</t>
        </r>
      </text>
    </comment>
    <comment ref="S960" authorId="1" shapeId="0" xr:uid="{CF453672-FB23-461A-99B7-5D17DC413EBA}">
      <text>
        <r>
          <rPr>
            <b/>
            <sz val="14"/>
            <color indexed="81"/>
            <rFont val="Tahoma"/>
            <family val="2"/>
          </rPr>
          <t xml:space="preserve">Note:
</t>
        </r>
        <r>
          <rPr>
            <sz val="14"/>
            <color indexed="81"/>
            <rFont val="Tahoma"/>
            <family val="2"/>
          </rPr>
          <t xml:space="preserve">This is the </t>
        </r>
        <r>
          <rPr>
            <b/>
            <sz val="14"/>
            <color indexed="81"/>
            <rFont val="Tahoma"/>
            <family val="2"/>
          </rPr>
          <t>combined</t>
        </r>
        <r>
          <rPr>
            <sz val="14"/>
            <color indexed="81"/>
            <rFont val="Tahoma"/>
            <family val="2"/>
          </rPr>
          <t xml:space="preserve"> (or "bundled") market value of energy + capacity + Renewable Energy Credtis (RECs) in the same year in which the project's first enters commercial operation.
This input must be greater than zero.
</t>
        </r>
      </text>
    </comment>
    <comment ref="I961" authorId="1" shapeId="0" xr:uid="{62C3E3DA-8660-4A74-95D6-4F9A3E96F4F0}">
      <text>
        <r>
          <rPr>
            <b/>
            <sz val="14"/>
            <color indexed="81"/>
            <rFont val="Tahoma"/>
            <family val="2"/>
          </rPr>
          <t>Note:</t>
        </r>
        <r>
          <rPr>
            <sz val="14"/>
            <color indexed="81"/>
            <rFont val="Tahoma"/>
            <family val="2"/>
          </rPr>
          <t xml:space="preserve">
This model alllows the user to input system cost at 1 of 3 levels of detail: "simple", "intermediate" or "complex." Simple offers a single input in $/kW, Intermediate offers five cost subcategories in total dollars, and Complex offers line-by-line project costing with user-defined categories and costs per line-item.  
Select your preferred method and use the cells below to enter your cost information. If you choose the "Complex" option, you will need to follow the link below to the "Complex Capital Costs" tab.</t>
        </r>
      </text>
    </comment>
    <comment ref="S961" authorId="1" shapeId="0" xr:uid="{3683B540-AE20-4DC1-95E6-00CC161CBBF1}">
      <text>
        <r>
          <rPr>
            <b/>
            <sz val="14"/>
            <color indexed="81"/>
            <rFont val="Tahoma"/>
            <family val="2"/>
          </rPr>
          <t xml:space="preserve">Note:
</t>
        </r>
        <r>
          <rPr>
            <sz val="14"/>
            <color indexed="81"/>
            <rFont val="Tahoma"/>
            <family val="2"/>
          </rPr>
          <t xml:space="preserve">When the "Year One" forecast methodology is selected, this is the user-defined escalation rate at which the market value of production is expected to change.
Input must be greater than zero.
</t>
        </r>
      </text>
    </comment>
    <comment ref="I962" authorId="1" shapeId="0" xr:uid="{3A05A29C-177E-4B6B-95A2-AF90911670AF}">
      <text>
        <r>
          <rPr>
            <b/>
            <sz val="14"/>
            <color indexed="81"/>
            <rFont val="Tahoma"/>
            <family val="2"/>
          </rPr>
          <t>Note:</t>
        </r>
        <r>
          <rPr>
            <sz val="14"/>
            <color indexed="81"/>
            <rFont val="Tahoma"/>
            <family val="2"/>
          </rPr>
          <t xml:space="preserve">
When "Simple" is selected in the Cost Level of Detail cell, this "Total Installed Cost" row represents the total expected all-in project cost, which should include all hardware, balance of plant, interconnection, design, construction, permitting, development (including developer fee), interest during construction and financing costs. This figure should not account for any tax incentives, grants, or other cash incentives, each of which will be addressed elsewhere in the model. This figure should, however, reflect any applicable sales tax or exemptions thereof.
Input must be greater than zero.
</t>
        </r>
      </text>
    </comment>
    <comment ref="S962" authorId="1" shapeId="0" xr:uid="{340A2E52-84C8-4EC0-9A05-589180506FD3}">
      <text>
        <r>
          <rPr>
            <b/>
            <sz val="14"/>
            <color indexed="81"/>
            <rFont val="Tahoma"/>
            <family val="2"/>
          </rPr>
          <t xml:space="preserve">Note:
</t>
        </r>
        <r>
          <rPr>
            <sz val="14"/>
            <color indexed="81"/>
            <rFont val="Tahoma"/>
            <family val="2"/>
          </rPr>
          <t xml:space="preserve">When "Year-by-Year" market value of production forecast is selected, this link brings the user to another worksheet on which unique annual values may be entered.
</t>
        </r>
      </text>
    </comment>
    <comment ref="I963" authorId="1" shapeId="0" xr:uid="{BA00AB93-5059-4783-A125-7580F2F46D2C}">
      <text>
        <r>
          <rPr>
            <b/>
            <sz val="14"/>
            <color indexed="81"/>
            <rFont val="Tahoma"/>
            <family val="2"/>
          </rPr>
          <t>Note:</t>
        </r>
        <r>
          <rPr>
            <sz val="14"/>
            <color indexed="81"/>
            <rFont val="Tahoma"/>
            <family val="2"/>
          </rPr>
          <t xml:space="preserve">
"Generation Equipment" should include hardware such as the generator, blades and tower.  
Caution: the model assumes that if "Intermediate" is selected as the level of detail section, the "Generation Equipment" row must have a value greater than zero. 
</t>
        </r>
      </text>
    </comment>
    <comment ref="I964" authorId="1" shapeId="0" xr:uid="{B550E5DE-5E83-4973-934C-D06B658C4A3F}">
      <text>
        <r>
          <rPr>
            <b/>
            <sz val="14"/>
            <color indexed="81"/>
            <rFont val="Tahoma"/>
            <family val="2"/>
          </rPr>
          <t>Note:</t>
        </r>
        <r>
          <rPr>
            <sz val="14"/>
            <color indexed="81"/>
            <rFont val="Tahoma"/>
            <family val="2"/>
          </rPr>
          <t xml:space="preserve">
Balance of Plant (also known as Balance of System) represents all infrastructure, site prep and labor supporting the installation of the generation equipment. BOP costs include foundations, mounting devices, other hardware, and labor not already accounted for in the "Generation Equipment" row.
Input cannot be less than zero.
</t>
        </r>
      </text>
    </comment>
    <comment ref="P964" authorId="0" shapeId="0" xr:uid="{EC7D38C4-C4DA-4FE0-A3C0-05A6AFFCF229}">
      <text>
        <r>
          <rPr>
            <b/>
            <sz val="8"/>
            <color indexed="81"/>
            <rFont val="Tahoma"/>
            <family val="2"/>
          </rPr>
          <t>See "unit" definitions at the bottom of this worksheet.</t>
        </r>
        <r>
          <rPr>
            <sz val="8"/>
            <color indexed="81"/>
            <rFont val="Tahoma"/>
            <family val="2"/>
          </rPr>
          <t xml:space="preserve">
</t>
        </r>
      </text>
    </comment>
    <comment ref="I965" authorId="1" shapeId="0" xr:uid="{24A333AD-E06D-4B06-A925-E9E9262125FB}">
      <text>
        <r>
          <rPr>
            <b/>
            <sz val="14"/>
            <color indexed="81"/>
            <rFont val="Tahoma"/>
            <family val="2"/>
          </rPr>
          <t>Note:</t>
        </r>
        <r>
          <rPr>
            <sz val="14"/>
            <color indexed="81"/>
            <rFont val="Tahoma"/>
            <family val="2"/>
          </rPr>
          <t xml:space="preserve">
The "Interconnection" row should account for all project costs relating to connecting to the grid, such as the construction of transmission lines, permitting costs with the utility, and start-up costs. This category will also include the cost of a new substation, if necessary.
Regulators wishing to explore the potential that interconnection costs may be recovered from ratepayers separately can elect to enter zeros in this cost category whenever "Intermediate" or "Complex" is selected.
Input cannot be less than zero.
</t>
        </r>
      </text>
    </comment>
    <comment ref="S965" authorId="0" shapeId="0" xr:uid="{803F0F58-7A8C-4413-8DEB-3975BB4D0641}">
      <text>
        <r>
          <rPr>
            <b/>
            <sz val="14"/>
            <color indexed="81"/>
            <rFont val="Tahoma"/>
            <family val="2"/>
          </rPr>
          <t xml:space="preserve">Note:
</t>
        </r>
        <r>
          <rPr>
            <sz val="14"/>
            <color indexed="81"/>
            <rFont val="Tahoma"/>
            <family val="2"/>
          </rPr>
          <t>This drop-down input cell allows the user to specify whether federal incentives are cost-based (e.g. an investment tax credit) or performance-based (e.g. a PTC). The magnitude and terms of these incentives are set in the cells below.
For more information, a useful resource for researching federal and state incentives online is:  
http://dsireusa.org/
*See bottom of introduction page for a list of links</t>
        </r>
      </text>
    </comment>
    <comment ref="E966" authorId="0" shapeId="0" xr:uid="{21E355EA-D974-478D-B565-0E2DF0C8879D}">
      <text>
        <r>
          <rPr>
            <b/>
            <sz val="14"/>
            <color indexed="81"/>
            <rFont val="Tahoma"/>
            <family val="2"/>
          </rPr>
          <t>Jason Gifford:</t>
        </r>
        <r>
          <rPr>
            <sz val="14"/>
            <color indexed="81"/>
            <rFont val="Tahoma"/>
            <family val="2"/>
          </rPr>
          <t xml:space="preserve">
Converted to "admin cost" for community remote DG</t>
        </r>
      </text>
    </comment>
    <comment ref="I966" authorId="1" shapeId="0" xr:uid="{0EE4B8F9-155B-4280-A6B8-2F3A7662F3FB}">
      <text>
        <r>
          <rPr>
            <b/>
            <sz val="14"/>
            <color indexed="81"/>
            <rFont val="Tahoma"/>
            <family val="2"/>
          </rPr>
          <t>Note:</t>
        </r>
        <r>
          <rPr>
            <sz val="8"/>
            <color indexed="81"/>
            <rFont val="Tahoma"/>
            <family val="2"/>
          </rPr>
          <t xml:space="preserve">
</t>
        </r>
        <r>
          <rPr>
            <sz val="14"/>
            <color indexed="81"/>
            <rFont val="Tahoma"/>
            <family val="2"/>
          </rPr>
          <t xml:space="preserve">The "Development Costs" row should include all costs relating to project management, studies, engineering, permitting, contingencies, success fees, and other soft costs not accounted for elsewhere in the "Intermediate" cost breakdown. 
Input cannot be less than zero.
</t>
        </r>
      </text>
    </comment>
    <comment ref="S966" authorId="1" shapeId="0" xr:uid="{C8A671D5-E4DB-457F-8F0B-F977A10EE08B}">
      <text>
        <r>
          <rPr>
            <b/>
            <sz val="14"/>
            <color indexed="81"/>
            <rFont val="Tahoma"/>
            <family val="2"/>
          </rPr>
          <t xml:space="preserve">Note:
</t>
        </r>
        <r>
          <rPr>
            <sz val="14"/>
            <color indexed="81"/>
            <rFont val="Tahoma"/>
            <family val="2"/>
          </rPr>
          <t>Some renewable energy projects may be eligible to take advantagee of Federal incentives such as the Investment Tax Credit or a Treasury Grant. Information on eligibility for funding opportunities such as these is available online at:
http://dsireusa.org/incentives/incentive.cfm?Incentive_Code=US02F&amp;re=1&amp;ee=1
*See bottom of introduction page for a list of links</t>
        </r>
        <r>
          <rPr>
            <b/>
            <sz val="14"/>
            <color indexed="81"/>
            <rFont val="Tahoma"/>
            <family val="2"/>
          </rPr>
          <t xml:space="preserve">
</t>
        </r>
        <r>
          <rPr>
            <sz val="14"/>
            <color indexed="81"/>
            <rFont val="Tahoma"/>
            <family val="2"/>
          </rPr>
          <t xml:space="preserve">
</t>
        </r>
      </text>
    </comment>
    <comment ref="I967" authorId="1" shapeId="0" xr:uid="{96380D9F-C9F2-485B-A738-E31C9A504900}">
      <text>
        <r>
          <rPr>
            <b/>
            <sz val="14"/>
            <color indexed="81"/>
            <rFont val="Tahoma"/>
            <family val="2"/>
          </rPr>
          <t>Note:</t>
        </r>
        <r>
          <rPr>
            <sz val="14"/>
            <color indexed="81"/>
            <rFont val="Tahoma"/>
            <family val="2"/>
          </rPr>
          <t xml:space="preserve">
The "Reserves &amp; Financing Costs" row accounts for all costs relating to financing, such as lender fees, closing costs, legal fees, interest during construction, due diligence costs, and any other relevant, financing relating costs. The model calculates this field by aggregating G22 through G25, G51, G54, G63, G66, Q57 and Q60.
</t>
        </r>
      </text>
    </comment>
    <comment ref="S967" authorId="0" shapeId="0" xr:uid="{39F5D89D-7846-4524-A770-EE78A280FEDF}">
      <text>
        <r>
          <rPr>
            <b/>
            <sz val="14"/>
            <color indexed="81"/>
            <rFont val="Tahoma"/>
            <family val="2"/>
          </rPr>
          <t xml:space="preserve">NOTE:
</t>
        </r>
        <r>
          <rPr>
            <sz val="14"/>
            <color indexed="81"/>
            <rFont val="Tahoma"/>
            <family val="2"/>
          </rPr>
          <t xml:space="preserve">The maximum potential Investment Tax Credit (ITC) benefit is assumed to be 30% of those project costs which are depreciable on the 5-year MACRS schedule.  This 'eligible costs' assumption is purposefully simplified for this analysis.  Project costs depreciated on other bases may also be eligible for the ITC.  Developers should consult with tax counsel for project-specific depreciation and ITC treatment of each project cost.
</t>
        </r>
        <r>
          <rPr>
            <sz val="8"/>
            <color indexed="81"/>
            <rFont val="Tahoma"/>
            <family val="2"/>
          </rPr>
          <t xml:space="preserve">
</t>
        </r>
      </text>
    </comment>
    <comment ref="I968" authorId="1" shapeId="0" xr:uid="{96E486DE-B208-45BA-8539-3E93ACE79113}">
      <text>
        <r>
          <rPr>
            <b/>
            <sz val="14"/>
            <color indexed="81"/>
            <rFont val="Tahoma"/>
            <family val="2"/>
          </rPr>
          <t>Note:</t>
        </r>
        <r>
          <rPr>
            <sz val="14"/>
            <color indexed="81"/>
            <rFont val="Tahoma"/>
            <family val="2"/>
          </rPr>
          <t xml:space="preserve">
If you wish to enter your project costs under the "Complex" format, select Complex from the drop-down menu and use the link to the left to access additional worksheets which provide the opportunitiy to add significant, additional detail on project costs. Once complete, the model will roll up the detailed costs and populate this row with the resultant final project cost. </t>
        </r>
      </text>
    </comment>
    <comment ref="S968" authorId="0" shapeId="0" xr:uid="{2C9EAEC7-C55E-4D01-93BF-401B6B075D36}">
      <text>
        <r>
          <rPr>
            <b/>
            <sz val="14"/>
            <color indexed="81"/>
            <rFont val="Tahoma"/>
            <family val="2"/>
          </rPr>
          <t xml:space="preserve">NOTE:
</t>
        </r>
        <r>
          <rPr>
            <sz val="14"/>
            <color indexed="81"/>
            <rFont val="Tahoma"/>
            <family val="2"/>
          </rPr>
          <t xml:space="preserve">As a tax </t>
        </r>
        <r>
          <rPr>
            <u/>
            <sz val="14"/>
            <color indexed="81"/>
            <rFont val="Tahoma"/>
            <family val="2"/>
          </rPr>
          <t>credit</t>
        </r>
        <r>
          <rPr>
            <sz val="14"/>
            <color indexed="81"/>
            <rFont val="Tahoma"/>
            <family val="2"/>
          </rPr>
          <t>, the ITC is only usable by project owners with positive federal income tax liability.  
In cases where the owner's tax liability in the calendar year of the project's first commercial operation exceeds the ITC amount, the user may enter 100% in this field and assume full utilization of the ITC.
If the owner's tax liability is less than the available ITC, the user may either enter a % value less than 100% or select the "carried forward" method in the "Tax Benefits used as generated or carried forward?" cell.  
Input must be between 0% and 100%.</t>
        </r>
        <r>
          <rPr>
            <sz val="8"/>
            <color indexed="81"/>
            <rFont val="Tahoma"/>
            <family val="2"/>
          </rPr>
          <t xml:space="preserve">
</t>
        </r>
      </text>
    </comment>
    <comment ref="I969" authorId="1" shapeId="0" xr:uid="{53C4D20A-2B20-46F8-805A-7B4618C25A6E}">
      <text>
        <r>
          <rPr>
            <b/>
            <sz val="14"/>
            <color indexed="81"/>
            <rFont val="Tahoma"/>
            <family val="2"/>
          </rPr>
          <t>Note:</t>
        </r>
        <r>
          <rPr>
            <sz val="14"/>
            <color indexed="81"/>
            <rFont val="Tahoma"/>
            <family val="2"/>
          </rPr>
          <t xml:space="preserve">
The total system cost is a calculation, based on the level of detail selected and the assocated inputs.
</t>
        </r>
      </text>
    </comment>
    <comment ref="S969" authorId="0" shapeId="0" xr:uid="{AEE12316-42BF-4180-9B66-5B8FC61AB6EB}">
      <text>
        <r>
          <rPr>
            <b/>
            <sz val="14"/>
            <color indexed="81"/>
            <rFont val="Tahoma"/>
            <family val="2"/>
          </rPr>
          <t xml:space="preserve">Note:
</t>
        </r>
        <r>
          <rPr>
            <sz val="14"/>
            <color indexed="81"/>
            <rFont val="Tahoma"/>
            <family val="2"/>
          </rPr>
          <t xml:space="preserve">Calculates the dollar value of the Investment Tax Credit or Cash Grant, if applicable.
</t>
        </r>
      </text>
    </comment>
    <comment ref="I970" authorId="1" shapeId="0" xr:uid="{02A2A2F9-1F0C-4D9E-B2B8-278B6580CE0B}">
      <text>
        <r>
          <rPr>
            <b/>
            <sz val="14"/>
            <color indexed="81"/>
            <rFont val="Tahoma"/>
            <family val="2"/>
          </rPr>
          <t>Note:</t>
        </r>
        <r>
          <rPr>
            <sz val="14"/>
            <color indexed="81"/>
            <rFont val="Tahoma"/>
            <family val="2"/>
          </rPr>
          <t xml:space="preserve">
Calculation based on the total system cost in the cell above and the system size reported. Typical costs (as of 2010) fall between $2,000/kW and $3,000/kW.</t>
        </r>
        <r>
          <rPr>
            <sz val="8"/>
            <color indexed="81"/>
            <rFont val="Tahoma"/>
            <family val="2"/>
          </rPr>
          <t xml:space="preserve">
</t>
        </r>
      </text>
    </comment>
    <comment ref="S970" authorId="0" shapeId="0" xr:uid="{97A6842A-2C89-4461-BFFC-C2C9D95B86B2}">
      <text>
        <r>
          <rPr>
            <b/>
            <sz val="14"/>
            <color indexed="81"/>
            <rFont val="Tahoma"/>
            <family val="2"/>
          </rPr>
          <t xml:space="preserve">Note: </t>
        </r>
        <r>
          <rPr>
            <sz val="14"/>
            <color indexed="81"/>
            <rFont val="Tahoma"/>
            <family val="2"/>
          </rPr>
          <t xml:space="preserve">
This input cell, the "Performance Based Incentive" or "PBI" is another potential incentive available to some specific projects. The PBI would be separate from a feed-in-tariff, but acts similarly in that it is per unit of production (typically kWh) income to a project.
Some examples of PBIs include the Federal Production Tax Credit (applicable to private projects with tax appetites) and the Federal Renewable Energy Production Incentive (REPI), historically available to some public projects.
</t>
        </r>
      </text>
    </comment>
    <comment ref="I971" authorId="1" shapeId="0" xr:uid="{B6822EF2-D6D8-4BAC-BD4C-87A185ED5811}">
      <text>
        <r>
          <rPr>
            <b/>
            <sz val="14"/>
            <color indexed="81"/>
            <rFont val="Tahoma"/>
            <family val="2"/>
          </rPr>
          <t xml:space="preserve">Note:
</t>
        </r>
        <r>
          <rPr>
            <sz val="14"/>
            <color indexed="81"/>
            <rFont val="Tahoma"/>
            <family val="2"/>
          </rPr>
          <t xml:space="preserve">This cell calculates the total of all applicable grants, excluding the payment in lieu of the Federal ITC (also known as the ITC Cash Grant, or Cash Grant), if applicable.  The ITC Cash Grant is considered separately because unlike grants issued upfront and used to offset capital costs, the ITC Cash Grant is disbursed approxiamtely 60 days after the start of commercial operations and therefore becomes an integral part of the project's financing.
Where grants are treated as taxable income, this cell calculates the after-tax impact on the total cost of the project.
  </t>
        </r>
        <r>
          <rPr>
            <sz val="8"/>
            <color indexed="81"/>
            <rFont val="Tahoma"/>
            <family val="2"/>
          </rPr>
          <t xml:space="preserve">
</t>
        </r>
      </text>
    </comment>
    <comment ref="S971" authorId="0" shapeId="0" xr:uid="{CF9C7733-7208-45B1-A31E-81E29EBABBAA}">
      <text>
        <r>
          <rPr>
            <b/>
            <sz val="14"/>
            <color indexed="81"/>
            <rFont val="Tahoma"/>
            <family val="2"/>
          </rPr>
          <t xml:space="preserve">Note: </t>
        </r>
        <r>
          <rPr>
            <sz val="14"/>
            <color indexed="81"/>
            <rFont val="Tahoma"/>
            <family val="2"/>
          </rPr>
          <t xml:space="preserve">
This cell denotes the value of the Performance Based Incentive applicable to the project's first year of commercial operation. In some cases, this value will need to be calculated external to the model if such PBI is derived from a "base year" and specified inflation index. The following cells can be used to account for inflation and the maximum term of eligibility.
Input cannot be less than zero.
</t>
        </r>
      </text>
    </comment>
    <comment ref="I972" authorId="1" shapeId="0" xr:uid="{07F92E45-8B7E-482C-8030-E549CA79EB7C}">
      <text>
        <r>
          <rPr>
            <b/>
            <sz val="14"/>
            <color indexed="81"/>
            <rFont val="Tahoma"/>
            <family val="2"/>
          </rPr>
          <t>Note:</t>
        </r>
        <r>
          <rPr>
            <sz val="14"/>
            <color indexed="81"/>
            <rFont val="Tahoma"/>
            <family val="2"/>
          </rPr>
          <t xml:space="preserve">
Calculation of total project cost net applicable grants. 
</t>
        </r>
      </text>
    </comment>
    <comment ref="S972" authorId="0" shapeId="0" xr:uid="{A450A765-9DD0-4AC6-83F8-B604A3A761EC}">
      <text>
        <r>
          <rPr>
            <b/>
            <sz val="14"/>
            <color indexed="81"/>
            <rFont val="Tahoma"/>
            <family val="2"/>
          </rPr>
          <t>Note:</t>
        </r>
        <r>
          <rPr>
            <sz val="14"/>
            <color indexed="81"/>
            <rFont val="Tahoma"/>
            <family val="2"/>
          </rPr>
          <t xml:space="preserve">
This is the length of time that a project would be eligible for any Performance Based Incentives outlined in the cell immediately above. For example, the Federal Renewable Energy Production Incentive and Production Tax Credit incentives are available for the first 10 years of project operation.
Input cannot be less than zero.
</t>
        </r>
      </text>
    </comment>
    <comment ref="I973" authorId="1" shapeId="0" xr:uid="{590A8F6A-D822-46BA-94E1-E6434CA83C63}">
      <text>
        <r>
          <rPr>
            <b/>
            <sz val="14"/>
            <color indexed="81"/>
            <rFont val="Tahoma"/>
            <family val="2"/>
          </rPr>
          <t xml:space="preserve">Note:
</t>
        </r>
        <r>
          <rPr>
            <sz val="14"/>
            <color indexed="81"/>
            <rFont val="Tahoma"/>
            <family val="2"/>
          </rPr>
          <t xml:space="preserve">Calculation, based on net project cost and total installed capacity. 
</t>
        </r>
      </text>
    </comment>
    <comment ref="S973" authorId="0" shapeId="0" xr:uid="{38488F79-65E4-41FB-A24B-E2F0EE16EC28}">
      <text>
        <r>
          <rPr>
            <b/>
            <sz val="14"/>
            <color indexed="81"/>
            <rFont val="Tahoma"/>
            <family val="2"/>
          </rPr>
          <t xml:space="preserve">Note:
</t>
        </r>
        <r>
          <rPr>
            <sz val="14"/>
            <color indexed="81"/>
            <rFont val="Tahoma"/>
            <family val="2"/>
          </rPr>
          <t xml:space="preserve">Performance Based Incentives are often adjusted to account for inflation. For example, the Federal Production Tax Credit (PTC) is adjusted each year to account for changes in the GDP IPD index. This cell can be used as a proxy for the inflation that would apply to any PBI incentive entered above.
This input cannot be left blank.
</t>
        </r>
        <r>
          <rPr>
            <sz val="8"/>
            <color indexed="81"/>
            <rFont val="Tahoma"/>
            <family val="2"/>
          </rPr>
          <t xml:space="preserve">
</t>
        </r>
      </text>
    </comment>
    <comment ref="S974" authorId="0" shapeId="0" xr:uid="{FBCAE58B-2E6D-49B6-8E5F-DA6F109C31D7}">
      <text>
        <r>
          <rPr>
            <b/>
            <sz val="14"/>
            <color indexed="81"/>
            <rFont val="Tahoma"/>
            <family val="2"/>
          </rPr>
          <t xml:space="preserve">Note:
</t>
        </r>
        <r>
          <rPr>
            <sz val="14"/>
            <color indexed="81"/>
            <rFont val="Tahoma"/>
            <family val="2"/>
          </rPr>
          <t>In some cases, due to the nature of the requirements of some Performance Based Incentive programs, project owners are unable to maximize the full revenue stream of the incentive. For example, in the case of the Federal Production Tax Credit (PTC), the project owner may not have sufficienct tax appetite to fully utilize the tax credits. 
This input cell would allow the modeler to account for the owner's inability to fully utilize the PTC and/or the reduction of the PTC (a "haircut") due to the presence of subsidized (below market interest rate) financing.
Incentive "availability" will likely be a factor if this cell is being used to model the cash-based Renewable Energy Production Incentive (REPI).  The REPI program has historically been underfunded; available monies are allocated pro rata among eligible projects.  In this case, the value entered in this cell should reflect the user's expectation of the fraction of the face value REPI payment that will be available over the applicable incentive term.
Input must be between 0% to 100%.</t>
        </r>
      </text>
    </comment>
    <comment ref="F975" authorId="0" shapeId="0" xr:uid="{044C3AC1-E3BA-4CF2-BA9A-8F7AF7538EDD}">
      <text>
        <r>
          <rPr>
            <b/>
            <sz val="8"/>
            <color indexed="81"/>
            <rFont val="Tahoma"/>
            <family val="2"/>
          </rPr>
          <t>See "unit" definitions at the bottom of this worksheet.</t>
        </r>
        <r>
          <rPr>
            <sz val="8"/>
            <color indexed="81"/>
            <rFont val="Tahoma"/>
            <family val="2"/>
          </rPr>
          <t xml:space="preserve">
</t>
        </r>
      </text>
    </comment>
    <comment ref="S975" authorId="0" shapeId="0" xr:uid="{02EA065E-25B7-43DE-85F2-B66FA3A9A769}">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I976" authorId="0" shapeId="0" xr:uid="{D7A8EDA6-1A1D-45EB-BD5B-0C0A3FC90BCB}">
      <text>
        <r>
          <rPr>
            <b/>
            <sz val="14"/>
            <color indexed="81"/>
            <rFont val="Tahoma"/>
            <family val="2"/>
          </rPr>
          <t>Note:</t>
        </r>
        <r>
          <rPr>
            <sz val="14"/>
            <color indexed="81"/>
            <rFont val="Tahoma"/>
            <family val="2"/>
          </rPr>
          <t xml:space="preserve">
Select either "Simple" or "Intermediate" O&amp;M expense detail using the drop-down menu to the right.
</t>
        </r>
        <r>
          <rPr>
            <sz val="8"/>
            <color indexed="81"/>
            <rFont val="Tahoma"/>
            <family val="2"/>
          </rPr>
          <t xml:space="preserve">
</t>
        </r>
      </text>
    </comment>
    <comment ref="I977" authorId="1" shapeId="0" xr:uid="{F3608741-E1A4-4C93-893B-7517E1D98258}">
      <text>
        <r>
          <rPr>
            <b/>
            <sz val="14"/>
            <color indexed="81"/>
            <rFont val="Tahoma"/>
            <family val="2"/>
          </rPr>
          <t>Note:</t>
        </r>
        <r>
          <rPr>
            <sz val="14"/>
            <color indexed="81"/>
            <rFont val="Tahoma"/>
            <family val="2"/>
          </rPr>
          <t xml:space="preserve">
If "Simple" is selected in the cell above, then this input should reflect the </t>
        </r>
        <r>
          <rPr>
            <b/>
            <u/>
            <sz val="14"/>
            <color indexed="81"/>
            <rFont val="Tahoma"/>
            <family val="2"/>
          </rPr>
          <t>total</t>
        </r>
        <r>
          <rPr>
            <sz val="14"/>
            <color indexed="81"/>
            <rFont val="Tahoma"/>
            <family val="2"/>
          </rPr>
          <t xml:space="preserve"> expected </t>
        </r>
        <r>
          <rPr>
            <b/>
            <u/>
            <sz val="14"/>
            <color indexed="81"/>
            <rFont val="Tahoma"/>
            <family val="2"/>
          </rPr>
          <t>fixed</t>
        </r>
        <r>
          <rPr>
            <sz val="14"/>
            <color indexed="81"/>
            <rFont val="Tahoma"/>
            <family val="2"/>
          </rPr>
          <t xml:space="preserve"> cost of project operations and maintenance, in $/kW-yr.  This </t>
        </r>
        <r>
          <rPr>
            <u/>
            <sz val="14"/>
            <color indexed="81"/>
            <rFont val="Tahoma"/>
            <family val="2"/>
          </rPr>
          <t>includes</t>
        </r>
        <r>
          <rPr>
            <sz val="14"/>
            <color indexed="81"/>
            <rFont val="Tahoma"/>
            <family val="2"/>
          </rPr>
          <t xml:space="preserve"> the insurance, project management, property tax (or payment in lieu thereof), land lease, and royalty expenses which would have been broken out separately in the "Intermediate" case.  Other labor and spare parts should also be included in this estimate.
If the user has obtained O&amp;M expense estimates from a third-party, it is critical to understand which costs have been included.  If the user is not certain that all of the above-listed expenses are included in the fixed cost estimate, then the "Intermediate" approach should be used and these expenses should be entered separately.
If "Intermediate" is selected, then this input should reflect  the expected annual fixed O&amp;M cost before taking into account the additional listed expenses, which are entered below. 
In all cases, fixed O&amp;M would include - among others - the ongoing cost of obtaining daily, weekly or monthly production estimates based on weather and other factors.
Input value must be greater than zero. 
</t>
        </r>
      </text>
    </comment>
    <comment ref="S977" authorId="1" shapeId="0" xr:uid="{B6A794A3-699D-48C4-B95A-FE73F685AB53}">
      <text>
        <r>
          <rPr>
            <b/>
            <sz val="14"/>
            <color indexed="81"/>
            <rFont val="Tahoma"/>
            <family val="2"/>
          </rPr>
          <t xml:space="preserve">Note:
</t>
        </r>
        <r>
          <rPr>
            <sz val="14"/>
            <color indexed="81"/>
            <rFont val="Tahoma"/>
            <family val="2"/>
          </rPr>
          <t xml:space="preserve">Some renewable energy projects may be eligible for other federal grants as well, such as funding from the U.S. Department of Agriculture. This input cell can be used to capture those funding opportunities, some of which are outlined online at:
http://dsireusa.org/incentives/index.cfm?state=us&amp;re=1&amp;EE=1
*See bottom of introduction page for a list of links
Input cannot be less than zero.
</t>
        </r>
      </text>
    </comment>
    <comment ref="I978" authorId="1" shapeId="0" xr:uid="{4F8D5FE0-E8E7-4E2F-978A-69E8B2424A9B}">
      <text>
        <r>
          <rPr>
            <b/>
            <sz val="14"/>
            <color indexed="81"/>
            <rFont val="Tahoma"/>
            <family val="2"/>
          </rPr>
          <t>Note:</t>
        </r>
        <r>
          <rPr>
            <sz val="14"/>
            <color indexed="81"/>
            <rFont val="Tahoma"/>
            <family val="2"/>
          </rPr>
          <t xml:space="preserve">
This cell provides the user with the option of accounting for O&amp;M expenses (such as labor and spare parts) which are more easily estimated and modeled on a variable, cents per kWh basis.  
If "Simple" is selected above, then this cell should also take into account variable costs, such as royalties, </t>
        </r>
        <r>
          <rPr>
            <b/>
            <u/>
            <sz val="14"/>
            <color indexed="81"/>
            <rFont val="Tahoma"/>
            <family val="2"/>
          </rPr>
          <t>if</t>
        </r>
        <r>
          <rPr>
            <sz val="14"/>
            <color indexed="81"/>
            <rFont val="Tahoma"/>
            <family val="2"/>
          </rPr>
          <t xml:space="preserve"> such annual expenses are not already accounted for in the fixed cost input above.
Input cannot be less than zero.
</t>
        </r>
      </text>
    </comment>
    <comment ref="S978" authorId="0" shapeId="0" xr:uid="{E1F46B83-D68B-4FE4-BFF2-2E8916FF4272}">
      <text>
        <r>
          <rPr>
            <b/>
            <sz val="14"/>
            <color indexed="81"/>
            <rFont val="Tahoma"/>
            <family val="2"/>
          </rPr>
          <t xml:space="preserve">Note:
</t>
        </r>
        <r>
          <rPr>
            <sz val="14"/>
            <color indexed="81"/>
            <rFont val="Tahoma"/>
            <family val="2"/>
          </rPr>
          <t xml:space="preserve">Select here whether federal grants (other than the section 1603 payment in lieu of the ITC/PTC) are treated as taxable income. If no, depreciation basis is reduced. 
</t>
        </r>
      </text>
    </comment>
    <comment ref="I979" authorId="0" shapeId="0" xr:uid="{6A122A70-74FC-44D3-909D-F2B5AC392662}">
      <text>
        <r>
          <rPr>
            <b/>
            <sz val="14"/>
            <color indexed="81"/>
            <rFont val="Tahoma"/>
            <family val="2"/>
          </rPr>
          <t>Note:</t>
        </r>
        <r>
          <rPr>
            <sz val="14"/>
            <color indexed="81"/>
            <rFont val="Tahoma"/>
            <family val="2"/>
          </rPr>
          <t xml:space="preserve">
This inflation rate applies to both fixed and variable O&amp;M expense, insurance, and project management costs entered above, if applicable. 
The model allows the user to specify an inflation assumption for an "initial period" and a second inflation assumption "thereafter." These inputs can be used to account for inflation which might be fixed during an initial O&amp;M service contract, but are unknown thereafter.  The final year of the "initial period" is  user-defined (e.g. final year of an O&amp;M service contract). 
The purpose of this feature is also to recognize that inflationary trends may change over time, or that some projects may not expect inflation of O&amp;M expenses for the first several years, but may expect inflation thereafter.
This inflation rate does not apply to PILOT or Royalty costs. Input cannot be less than zero.
</t>
        </r>
      </text>
    </comment>
    <comment ref="I980" authorId="0" shapeId="0" xr:uid="{3384C3B2-840C-48A4-8E24-82D4CE4739ED}">
      <text>
        <r>
          <rPr>
            <b/>
            <sz val="14"/>
            <color indexed="81"/>
            <rFont val="Tahoma"/>
            <family val="2"/>
          </rPr>
          <t xml:space="preserve">Note:
</t>
        </r>
        <r>
          <rPr>
            <sz val="14"/>
            <color indexed="81"/>
            <rFont val="Tahoma"/>
            <family val="2"/>
          </rPr>
          <t xml:space="preserve">This feature allows the user to assume that the rate at which expenses change over time is not constant. This cell provides the year in which the first inflation period ends.
Input cannot be less than zero.
</t>
        </r>
      </text>
    </comment>
    <comment ref="P980" authorId="0" shapeId="0" xr:uid="{660C6CAF-A9F6-4D79-8A32-10C1EFD53DB3}">
      <text>
        <r>
          <rPr>
            <b/>
            <sz val="8"/>
            <color indexed="81"/>
            <rFont val="Tahoma"/>
            <family val="2"/>
          </rPr>
          <t>See "unit" definitions at the bottom of this worksheet.</t>
        </r>
        <r>
          <rPr>
            <sz val="8"/>
            <color indexed="81"/>
            <rFont val="Tahoma"/>
            <family val="2"/>
          </rPr>
          <t xml:space="preserve">
</t>
        </r>
      </text>
    </comment>
    <comment ref="I981" authorId="0" shapeId="0" xr:uid="{F4510A46-D711-4EC2-85AA-FFCECB44980E}">
      <text>
        <r>
          <rPr>
            <b/>
            <sz val="14"/>
            <color indexed="81"/>
            <rFont val="Tahoma"/>
            <family val="2"/>
          </rPr>
          <t xml:space="preserve">Note:
</t>
        </r>
        <r>
          <rPr>
            <sz val="14"/>
            <color indexed="81"/>
            <rFont val="Tahoma"/>
            <family val="2"/>
          </rPr>
          <t xml:space="preserve">This cell provides the inflation rate for the remainder of the project's useful life.
Input must be greater than zero.
</t>
        </r>
      </text>
    </comment>
    <comment ref="S981" authorId="1" shapeId="0" xr:uid="{E0E840FB-35C7-472A-8908-752895AF02E7}">
      <text>
        <r>
          <rPr>
            <b/>
            <sz val="14"/>
            <color indexed="81"/>
            <rFont val="Tahoma"/>
            <family val="2"/>
          </rPr>
          <t xml:space="preserve">Note:
</t>
        </r>
        <r>
          <rPr>
            <sz val="14"/>
            <color indexed="81"/>
            <rFont val="Tahoma"/>
            <family val="2"/>
          </rPr>
          <t>This drop-down input cell allows the user to specify whether state incentives are cost-based (e.g. an investment tax credit) or performance-based (e.g. a PTC or cash payment). If no state incentive is available or useable by the modeled project, the user will select "Neither." The magnitude and terms of these incentives are set in the cells below.
For more information, a useful resource for researching federal and state incentives online is:  
http://dsireusa.org/
*See bottom of introduction page for a list of links</t>
        </r>
      </text>
    </comment>
    <comment ref="I982" authorId="1" shapeId="0" xr:uid="{E2A11FF0-946A-4255-8CC5-0A1AE18A999A}">
      <text>
        <r>
          <rPr>
            <b/>
            <sz val="14"/>
            <color indexed="81"/>
            <rFont val="Tahoma"/>
            <family val="2"/>
          </rPr>
          <t xml:space="preserve">Note:
</t>
        </r>
        <r>
          <rPr>
            <sz val="14"/>
            <color indexed="81"/>
            <rFont val="Tahoma"/>
            <family val="2"/>
          </rPr>
          <t xml:space="preserve">Project owners, or hosts, are required to carry insurance. This input accounts for the estimated cost of insuring the modeled power generating facility.
Input cannot be less than zero.
</t>
        </r>
      </text>
    </comment>
    <comment ref="S982" authorId="0" shapeId="0" xr:uid="{9D5AD30F-CB5D-438E-AFD6-33D3320DC379}">
      <text>
        <r>
          <rPr>
            <b/>
            <sz val="14"/>
            <color indexed="81"/>
            <rFont val="Tahoma"/>
            <family val="2"/>
          </rPr>
          <t xml:space="preserve">NOTE:
</t>
        </r>
        <r>
          <rPr>
            <sz val="14"/>
            <color indexed="81"/>
            <rFont val="Tahoma"/>
            <family val="2"/>
          </rPr>
          <t xml:space="preserve">The maximum potential Investment Tax Credit (ITC) benefit is assumed to be 30% of those project costs which are depreciable on the 5-year MACRS schedule.
</t>
        </r>
      </text>
    </comment>
    <comment ref="I983" authorId="0" shapeId="0" xr:uid="{E035961E-E3A2-4FF0-93D4-71AA4A306CAB}">
      <text>
        <r>
          <rPr>
            <b/>
            <sz val="14"/>
            <color indexed="81"/>
            <rFont val="Tahoma"/>
            <family val="2"/>
          </rPr>
          <t xml:space="preserve">Note:
</t>
        </r>
        <r>
          <rPr>
            <sz val="14"/>
            <color indexed="81"/>
            <rFont val="Tahoma"/>
            <family val="2"/>
          </rPr>
          <t xml:space="preserve">This cell calculates the resulting dollar value cost of insurance based on the input above and the project installed cost (net of financing costs).  It is provided simply as a reference for the user.
</t>
        </r>
        <r>
          <rPr>
            <sz val="8"/>
            <color indexed="81"/>
            <rFont val="Tahoma"/>
            <family val="2"/>
          </rPr>
          <t xml:space="preserve">
</t>
        </r>
      </text>
    </comment>
    <comment ref="S983" authorId="0" shapeId="0" xr:uid="{2447E34B-6EE1-4426-8481-6D65AE5514FA}">
      <text>
        <r>
          <rPr>
            <b/>
            <sz val="14"/>
            <color indexed="81"/>
            <rFont val="Tahoma"/>
            <family val="2"/>
          </rPr>
          <t xml:space="preserve">NOTE:
</t>
        </r>
        <r>
          <rPr>
            <sz val="14"/>
            <color indexed="81"/>
            <rFont val="Tahoma"/>
            <family val="2"/>
          </rPr>
          <t xml:space="preserve">As a tax </t>
        </r>
        <r>
          <rPr>
            <u/>
            <sz val="14"/>
            <color indexed="81"/>
            <rFont val="Tahoma"/>
            <family val="2"/>
          </rPr>
          <t>credit</t>
        </r>
        <r>
          <rPr>
            <sz val="14"/>
            <color indexed="81"/>
            <rFont val="Tahoma"/>
            <family val="2"/>
          </rPr>
          <t>, the ITC is only usable by project owners with positive federal income tax liability.  
In cases where the owner's tax liability in the calendar year of the project's first commercial operation exceeds the ITC amount, the user may enter 100% in this field and assume full utilization of the ITC.
If the owner's tax liability is less than the available ITC, a % less than 100% must be entered in order to represent a less efficient utilization of this federal tax incentive.
Input must be betwee 0% and 100%.</t>
        </r>
      </text>
    </comment>
    <comment ref="I984" authorId="1" shapeId="0" xr:uid="{642CB61A-3819-41E2-B0F4-A9874E76DD6D}">
      <text>
        <r>
          <rPr>
            <b/>
            <sz val="14"/>
            <color indexed="81"/>
            <rFont val="Tahoma"/>
            <family val="2"/>
          </rPr>
          <t>Note:</t>
        </r>
        <r>
          <rPr>
            <sz val="14"/>
            <color indexed="81"/>
            <rFont val="Tahoma"/>
            <family val="2"/>
          </rPr>
          <t xml:space="preserve">
"Project Management" accounts for the cost of staff time related to managing the project's Power Purchase Agreements, grid integration, and periodic reporting to the system operator and policymakers.  
Input cannot be less than zero.
</t>
        </r>
      </text>
    </comment>
    <comment ref="S984" authorId="0" shapeId="0" xr:uid="{AC34B244-E659-423E-A819-485F2D79C742}">
      <text>
        <r>
          <rPr>
            <b/>
            <sz val="14"/>
            <color indexed="81"/>
            <rFont val="Tahoma"/>
            <family val="2"/>
          </rPr>
          <t xml:space="preserve">Note:
</t>
        </r>
        <r>
          <rPr>
            <sz val="14"/>
            <color indexed="81"/>
            <rFont val="Tahoma"/>
            <family val="2"/>
          </rPr>
          <t>Specifies whether the available ITC is realized in a single year or over multiple years. This input will be specified by state-specific law or regulation.
A good resource on available state incentives is:  
http://dsireusa.org/
*See bottom of introduction page for a list of links
Input must be greater than 1 and less than the Project Useful Life.</t>
        </r>
      </text>
    </comment>
    <comment ref="I985" authorId="1" shapeId="0" xr:uid="{EAF10FA2-C9AA-4474-A3E6-1A738822D3D6}">
      <text>
        <r>
          <rPr>
            <b/>
            <sz val="14"/>
            <color indexed="81"/>
            <rFont val="Tahoma"/>
            <family val="2"/>
          </rPr>
          <t xml:space="preserve">Note:
</t>
        </r>
        <r>
          <rPr>
            <sz val="14"/>
            <color indexed="81"/>
            <rFont val="Tahoma"/>
            <family val="2"/>
          </rPr>
          <t xml:space="preserve">"Property Tax or PILOT" accounts for costs associated with any local taxes incurred by the project. Many states offer tax exemptions for renewable energy systems; to check your local applicability, please visit: http://dsireusa.org/ 
This line can also be used to account for any PILOTs or Payment in Leiu of Taxes. Developers often negotiate a PILOT with the local community to secure a fixed, predictable payment that serves both parties appropriately. This model allows the user to input a year-one Property Tax or PILOT value along with an annual property tax adjsutment factor (see next cell down). As a result, taxes can be modeled as flat, increasing, or decreasing annually depending on the value entered in the adjustment factor cell below.
Input cannot be less than zero.
</t>
        </r>
      </text>
    </comment>
    <comment ref="S985" authorId="0" shapeId="0" xr:uid="{B8D0DB5B-5D2B-4FE9-A538-3E5AF7A42CF8}">
      <text>
        <r>
          <rPr>
            <b/>
            <sz val="14"/>
            <color indexed="81"/>
            <rFont val="Tahoma"/>
            <family val="2"/>
          </rPr>
          <t xml:space="preserve">Note:
</t>
        </r>
        <r>
          <rPr>
            <sz val="14"/>
            <color indexed="81"/>
            <rFont val="Tahoma"/>
            <family val="2"/>
          </rPr>
          <t xml:space="preserve">Calculates the dollar value of the State Investment Tax Credit, if applicable.
</t>
        </r>
      </text>
    </comment>
    <comment ref="I986" authorId="1" shapeId="0" xr:uid="{65A2A5E3-A054-47F4-A074-5299FC98C79B}">
      <text>
        <r>
          <rPr>
            <b/>
            <sz val="14"/>
            <color indexed="81"/>
            <rFont val="Tahoma"/>
            <family val="2"/>
          </rPr>
          <t xml:space="preserve">Note:
</t>
        </r>
        <r>
          <rPr>
            <sz val="14"/>
            <color indexed="81"/>
            <rFont val="Tahoma"/>
            <family val="2"/>
          </rPr>
          <t xml:space="preserve">The Annual Property Tax Adjustment Factor allows the user to specify whether the Year One tax (or PILOT) value will remain fixed and flat, will decrease (a negative percentage value entered in this cell) or increase (a positive percentage value entered in this cell) over time.  </t>
        </r>
        <r>
          <rPr>
            <sz val="8"/>
            <color indexed="81"/>
            <rFont val="Tahoma"/>
            <family val="2"/>
          </rPr>
          <t xml:space="preserve">
</t>
        </r>
      </text>
    </comment>
    <comment ref="S986" authorId="0" shapeId="0" xr:uid="{14E16822-2FB9-4C65-A6A1-A784FC063ABE}">
      <text>
        <r>
          <rPr>
            <b/>
            <sz val="14"/>
            <color indexed="81"/>
            <rFont val="Tahoma"/>
            <family val="2"/>
          </rPr>
          <t xml:space="preserve">Note: </t>
        </r>
        <r>
          <rPr>
            <sz val="14"/>
            <color indexed="81"/>
            <rFont val="Tahoma"/>
            <family val="2"/>
          </rPr>
          <t xml:space="preserve">
This input cell, the "Performance Based Incentive" or "PBI" is another potential incentive available to some specific projects. The PBI would be separate from a feed-in-tariff, but acts similarly in that it is per unit of production (typically kWh) income to a project.
Some examples of PBIs include the Federal Production Tax Credit (applicable to private projects with tax appetites) and the Federal Renewable Energy Production Incentive (REPI), historically available to some public projects.
</t>
        </r>
      </text>
    </comment>
    <comment ref="I987" authorId="1" shapeId="0" xr:uid="{D7D684E8-6CAD-4B2F-92B2-6F4374F1381D}">
      <text>
        <r>
          <rPr>
            <b/>
            <sz val="14"/>
            <color indexed="81"/>
            <rFont val="Tahoma"/>
            <family val="2"/>
          </rPr>
          <t xml:space="preserve">Note:
</t>
        </r>
        <r>
          <rPr>
            <sz val="14"/>
            <color indexed="81"/>
            <rFont val="Tahoma"/>
            <family val="2"/>
          </rPr>
          <t xml:space="preserve">The Land Lease input represents </t>
        </r>
        <r>
          <rPr>
            <b/>
            <u/>
            <sz val="14"/>
            <color indexed="81"/>
            <rFont val="Tahoma"/>
            <family val="2"/>
          </rPr>
          <t>fixed payments</t>
        </r>
        <r>
          <rPr>
            <sz val="14"/>
            <color indexed="81"/>
            <rFont val="Tahoma"/>
            <family val="2"/>
          </rPr>
          <t xml:space="preserve"> to the site host (and possibly other affected parties) for the use of the land on which the project is located.  
Variable royalty payments may be applied in addition to, or in lieu of, the land lease payment through the "Royalties" input below, if applicable.  
Input cannot be less than zero.
</t>
        </r>
      </text>
    </comment>
    <comment ref="S987" authorId="0" shapeId="0" xr:uid="{C1EBDD2D-C879-4691-BB05-7515FC9C94D8}">
      <text>
        <r>
          <rPr>
            <b/>
            <sz val="14"/>
            <color indexed="81"/>
            <rFont val="Tahoma"/>
            <family val="2"/>
          </rPr>
          <t xml:space="preserve">Note:
</t>
        </r>
        <r>
          <rPr>
            <sz val="14"/>
            <color indexed="81"/>
            <rFont val="Tahoma"/>
            <family val="2"/>
          </rPr>
          <t xml:space="preserve">Impacts tax treatment of PBI if owner is a taxable entity.
</t>
        </r>
      </text>
    </comment>
    <comment ref="I988" authorId="1" shapeId="0" xr:uid="{02ED2948-FE7C-4E2E-8BCF-A37793A70F89}">
      <text>
        <r>
          <rPr>
            <b/>
            <sz val="14"/>
            <color indexed="81"/>
            <rFont val="Tahoma"/>
            <family val="2"/>
          </rPr>
          <t xml:space="preserve">Note:
</t>
        </r>
        <r>
          <rPr>
            <sz val="14"/>
            <color indexed="81"/>
            <rFont val="Tahoma"/>
            <family val="2"/>
          </rPr>
          <t xml:space="preserve">The royalties input accounts for </t>
        </r>
        <r>
          <rPr>
            <b/>
            <u/>
            <sz val="14"/>
            <color indexed="81"/>
            <rFont val="Tahoma"/>
            <family val="2"/>
          </rPr>
          <t>variable</t>
        </r>
        <r>
          <rPr>
            <sz val="14"/>
            <color indexed="81"/>
            <rFont val="Tahoma"/>
            <family val="2"/>
          </rPr>
          <t xml:space="preserve"> payments to site hosts, neighbors, partners, or other parties which may have a stake in the project and which are NOT covered by the fixed "Land Lease" payment. 
Fixed payments may be applied in addition to, or in lieu of, the royalty payment through the "Land Lease" input above, if applicable.  
</t>
        </r>
        <r>
          <rPr>
            <b/>
            <sz val="14"/>
            <color indexed="81"/>
            <rFont val="Tahoma"/>
            <family val="2"/>
          </rPr>
          <t>Inflation is NOT applied to this input</t>
        </r>
        <r>
          <rPr>
            <sz val="14"/>
            <color indexed="81"/>
            <rFont val="Tahoma"/>
            <family val="2"/>
          </rPr>
          <t xml:space="preserve">. However, if tariff escalation is selected, then the assumed royalty payment will increase over time since it is calculated as a function of revenue over time.
If the modeled project's royalty payments are not the same over time, then an average annual royalty payment should be calculated externally and entered in this cell. 
This input cannot be less than zero.
</t>
        </r>
        <r>
          <rPr>
            <sz val="8"/>
            <color indexed="81"/>
            <rFont val="Tahoma"/>
            <family val="2"/>
          </rPr>
          <t xml:space="preserve">
</t>
        </r>
      </text>
    </comment>
    <comment ref="S988" authorId="0" shapeId="0" xr:uid="{5AD5B915-55F3-4333-B6B7-1DBD022975A9}">
      <text>
        <r>
          <rPr>
            <b/>
            <sz val="14"/>
            <color indexed="81"/>
            <rFont val="Tahoma"/>
            <family val="2"/>
          </rPr>
          <t xml:space="preserve">Note: </t>
        </r>
        <r>
          <rPr>
            <sz val="14"/>
            <color indexed="81"/>
            <rFont val="Tahoma"/>
            <family val="2"/>
          </rPr>
          <t xml:space="preserve">
This cell denotes the value of the Performance Based Incentive applicable to the project's first year of commercial operation. In some cases, this value will need to be calculated external to the model if such PBI is derived from a "base year" and specified inflation index. The following cells can be used to account for inflation and the maximum term of eligibility.
Input cannot be less than zero.
</t>
        </r>
      </text>
    </comment>
    <comment ref="I989" authorId="0" shapeId="0" xr:uid="{DFD15090-1DC5-44D6-BA7F-E480ABC7733F}">
      <text>
        <r>
          <rPr>
            <b/>
            <sz val="14"/>
            <color indexed="81"/>
            <rFont val="Tahoma"/>
            <family val="2"/>
          </rPr>
          <t xml:space="preserve">Note:
</t>
        </r>
        <r>
          <rPr>
            <sz val="14"/>
            <color indexed="81"/>
            <rFont val="Tahoma"/>
            <family val="2"/>
          </rPr>
          <t xml:space="preserve">This cell calculates the resulting dollar value cost of royalties paid to landowners or other stakeholders based on the input above and project revenue.  It is provided simply as a reference for the user.
</t>
        </r>
        <r>
          <rPr>
            <sz val="8"/>
            <color indexed="81"/>
            <rFont val="Tahoma"/>
            <family val="2"/>
          </rPr>
          <t xml:space="preserve">
</t>
        </r>
      </text>
    </comment>
    <comment ref="S989" authorId="0" shapeId="0" xr:uid="{F47B2D82-3A87-4A2C-82C4-2CB74F64FD21}">
      <text>
        <r>
          <rPr>
            <b/>
            <sz val="14"/>
            <color indexed="81"/>
            <rFont val="Tahoma"/>
            <family val="2"/>
          </rPr>
          <t>Note:</t>
        </r>
        <r>
          <rPr>
            <sz val="14"/>
            <color indexed="81"/>
            <rFont val="Tahoma"/>
            <family val="2"/>
          </rPr>
          <t xml:space="preserve">
This is the length of time that a project would be eligible for any Performance Based Incentives outlined in the cell immediately above. For example, the Federal Renewable Energy Production Incentive and Production Tax Credit incentives are available for the first 10 years of project operation.
Input cannot be less than zero.
</t>
        </r>
      </text>
    </comment>
    <comment ref="S990" authorId="0" shapeId="0" xr:uid="{95EC86C2-485F-4C89-9A2A-1255F618C83D}">
      <text>
        <r>
          <rPr>
            <b/>
            <sz val="14"/>
            <color indexed="81"/>
            <rFont val="Tahoma"/>
            <family val="2"/>
          </rPr>
          <t xml:space="preserve">Note:
</t>
        </r>
        <r>
          <rPr>
            <sz val="14"/>
            <color indexed="81"/>
            <rFont val="Tahoma"/>
            <family val="2"/>
          </rPr>
          <t xml:space="preserve">Performance Based Incentives are often adjusted to account for inflation. For example, the Federal Production Tax Credit (PTC) is adjusted each year to account for changes in the GDP IPD index. This cell can be used as a proxy for the inflation that would apply to any PBI incentive entered above.
This input cannot be left blank.
</t>
        </r>
      </text>
    </comment>
    <comment ref="F991" authorId="0" shapeId="0" xr:uid="{5BF2576D-F04B-412C-A6B0-CC5B55C91EB1}">
      <text>
        <r>
          <rPr>
            <b/>
            <sz val="8"/>
            <color indexed="81"/>
            <rFont val="Tahoma"/>
            <family val="2"/>
          </rPr>
          <t>See "unit" definitions at the bottom of this worksheet.</t>
        </r>
        <r>
          <rPr>
            <sz val="8"/>
            <color indexed="81"/>
            <rFont val="Tahoma"/>
            <family val="2"/>
          </rPr>
          <t xml:space="preserve">
</t>
        </r>
      </text>
    </comment>
    <comment ref="S991" authorId="0" shapeId="0" xr:uid="{3AA6C5CB-8155-4B8A-B677-B9D58E752802}">
      <text>
        <r>
          <rPr>
            <b/>
            <sz val="14"/>
            <color indexed="81"/>
            <rFont val="Tahoma"/>
            <family val="2"/>
          </rPr>
          <t xml:space="preserve">Note:
</t>
        </r>
        <r>
          <rPr>
            <sz val="14"/>
            <color indexed="81"/>
            <rFont val="Tahoma"/>
            <family val="2"/>
          </rPr>
          <t xml:space="preserve">In some cases, due to the nature of the requirements of some Performance Based Incentive programs, project owners are unable to maximize the full revenue stream of the incentive. For example, in the case of the Federal Production Tax Credit (PTC), the project owner may not have sufficienct tax appetite to fully utilize the tax credits. 
This input cell would allow the modeler to account for the owner's inability to fully utilize the PTC and/or the reduction of the PTC (a "haircut") due to the presence of subsidized (below market interest rate) financing.
Input must be between 0% and 100%.
</t>
        </r>
        <r>
          <rPr>
            <sz val="8"/>
            <color indexed="81"/>
            <rFont val="Tahoma"/>
            <family val="2"/>
          </rPr>
          <t xml:space="preserve">
</t>
        </r>
      </text>
    </comment>
    <comment ref="I992" authorId="0" shapeId="0" xr:uid="{21B6B363-C9BE-4E20-AB4A-E0FE48C2CF1A}">
      <text>
        <r>
          <rPr>
            <b/>
            <sz val="14"/>
            <color indexed="81"/>
            <rFont val="Tahoma"/>
            <family val="2"/>
          </rPr>
          <t xml:space="preserve">Note:
</t>
        </r>
        <r>
          <rPr>
            <sz val="14"/>
            <color indexed="81"/>
            <rFont val="Tahoma"/>
            <family val="2"/>
          </rPr>
          <t xml:space="preserve">The # of months from construction start to commercial operation. This input cannot be less than zero.
</t>
        </r>
      </text>
    </comment>
    <comment ref="S992" authorId="0" shapeId="0" xr:uid="{077B2364-F297-4390-8565-644400F620DC}">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I993" authorId="0" shapeId="0" xr:uid="{900FDC0B-57D4-4F05-98D1-128858A68FEC}">
      <text>
        <r>
          <rPr>
            <b/>
            <sz val="14"/>
            <color indexed="81"/>
            <rFont val="Tahoma"/>
            <family val="2"/>
          </rPr>
          <t xml:space="preserve">Note:
</t>
        </r>
        <r>
          <rPr>
            <sz val="14"/>
            <color indexed="81"/>
            <rFont val="Tahoma"/>
            <family val="2"/>
          </rPr>
          <t xml:space="preserve">The annual interest rate on construction debt. This input cannot be less than zero.
</t>
        </r>
      </text>
    </comment>
    <comment ref="I994" authorId="0" shapeId="0" xr:uid="{3A2CF163-59A5-43C3-898C-54979107CE29}">
      <text>
        <r>
          <rPr>
            <b/>
            <sz val="14"/>
            <color indexed="81"/>
            <rFont val="Tahoma"/>
            <family val="2"/>
          </rPr>
          <t xml:space="preserve">Note:
</t>
        </r>
        <r>
          <rPr>
            <sz val="14"/>
            <color indexed="81"/>
            <rFont val="Tahoma"/>
            <family val="2"/>
          </rPr>
          <t xml:space="preserve">A calculated value showing the interest accrued during the construction period. Rather than requiring the user to define a detailed construction draw-down schedule, this calculation makes the simplifying assumption that the total project cost is spent in equal parts in each month of the construction period.
IDC is calculated on total project cost, assuming that any grants are collected after construction financing is repaid at time of permanent financing.
This cell is only used with the "Intermediate" and "Complex" capital cost options. The "Simple" capital cost option assumes that all project costs, including IDC, are included in the single input.
</t>
        </r>
      </text>
    </comment>
    <comment ref="S994" authorId="0" shapeId="0" xr:uid="{30327E81-7FDA-4235-AEA6-C626E7D5916E}">
      <text>
        <r>
          <rPr>
            <b/>
            <sz val="14"/>
            <color indexed="81"/>
            <rFont val="Tahoma"/>
            <family val="2"/>
          </rPr>
          <t xml:space="preserve">Note:
</t>
        </r>
        <r>
          <rPr>
            <sz val="14"/>
            <color indexed="81"/>
            <rFont val="Tahoma"/>
            <family val="2"/>
          </rPr>
          <t xml:space="preserve">Include here the total dollar value of any state-specific cash grants or rebates.
Input cannot be less than zero.
</t>
        </r>
      </text>
    </comment>
    <comment ref="S995" authorId="0" shapeId="0" xr:uid="{7740A4A6-9D7C-4D69-A0CA-F4B14C4F6AEA}">
      <text>
        <r>
          <rPr>
            <b/>
            <sz val="14"/>
            <color indexed="81"/>
            <rFont val="Tahoma"/>
            <family val="2"/>
          </rPr>
          <t xml:space="preserve">Note:
</t>
        </r>
        <r>
          <rPr>
            <sz val="14"/>
            <color indexed="81"/>
            <rFont val="Tahoma"/>
            <family val="2"/>
          </rPr>
          <t xml:space="preserve">Select here whether state grants are treated as taxable income.  If no, depreciation basis is reduced. 
</t>
        </r>
      </text>
    </comment>
    <comment ref="F996" authorId="0" shapeId="0" xr:uid="{BE5F4C23-5C68-4769-90BC-5C4BD7E76A47}">
      <text>
        <r>
          <rPr>
            <b/>
            <sz val="8"/>
            <color indexed="81"/>
            <rFont val="Tahoma"/>
            <family val="2"/>
          </rPr>
          <t>See "unit" definitions at the bottom of this worksheet.</t>
        </r>
        <r>
          <rPr>
            <sz val="8"/>
            <color indexed="81"/>
            <rFont val="Tahoma"/>
            <family val="2"/>
          </rPr>
          <t xml:space="preserve">
</t>
        </r>
      </text>
    </comment>
    <comment ref="I997" authorId="0" shapeId="0" xr:uid="{C9FE12F7-0ACC-424D-A363-E2041446D691}">
      <text>
        <r>
          <rPr>
            <b/>
            <sz val="14"/>
            <color indexed="81"/>
            <rFont val="Tahoma"/>
            <family val="2"/>
          </rPr>
          <t xml:space="preserve">Note:
</t>
        </r>
        <r>
          <rPr>
            <sz val="14"/>
            <color indexed="81"/>
            <rFont val="Tahoma"/>
            <family val="2"/>
          </rPr>
          <t xml:space="preserve">For ease of use and comprehension by a wide range of stakeholders, this model allows the user to define the capital structure, and relies on mortgage-style amortization of the project debt. The "% Debt" input specifies the portion of funds borrowed, as a percentage of the total "hard costs." Equity is assumed to fund the remaining hard costs PLUS all "soft costs" (e.g. transaction costs and funding of initial reserve accounts, if applicable).  This input cannot be less than zero.
Where maximum sustainable leverage is desired, the user must manually adjust the "% Debt" entry upward to the highest point </t>
        </r>
        <r>
          <rPr>
            <b/>
            <i/>
            <sz val="14"/>
            <color indexed="81"/>
            <rFont val="Tahoma"/>
            <family val="2"/>
          </rPr>
          <t>before</t>
        </r>
        <r>
          <rPr>
            <sz val="14"/>
            <color indexed="81"/>
            <rFont val="Tahoma"/>
            <family val="2"/>
          </rPr>
          <t xml:space="preserve"> the DSCRs no longer "Pass."
If a specific % Debt is desired, </t>
        </r>
        <r>
          <rPr>
            <u/>
            <sz val="14"/>
            <color indexed="81"/>
            <rFont val="Tahoma"/>
            <family val="2"/>
          </rPr>
          <t>and such % is higher than the maximum sustainable debt</t>
        </r>
        <r>
          <rPr>
            <sz val="14"/>
            <color indexed="81"/>
            <rFont val="Tahoma"/>
            <family val="2"/>
          </rPr>
          <t xml:space="preserve"> (such that it causes the DSCR to "Fail"), then the user must define the % Debt and then manually adjust the "Target After-Tax Equity IRR" upward until the DSCRs are met.  The user should </t>
        </r>
        <r>
          <rPr>
            <b/>
            <sz val="14"/>
            <color indexed="81"/>
            <rFont val="Tahoma"/>
            <family val="2"/>
          </rPr>
          <t>take note</t>
        </r>
        <r>
          <rPr>
            <sz val="14"/>
            <color indexed="81"/>
            <rFont val="Tahoma"/>
            <family val="2"/>
          </rPr>
          <t xml:space="preserve"> that when leverage becomes very high (and the corresponding equity contribution low), the "Target After-Tax Equity IRR" will need to be adjusted to levels exceeding typical commercial returns </t>
        </r>
        <r>
          <rPr>
            <u/>
            <sz val="14"/>
            <color indexed="81"/>
            <rFont val="Tahoma"/>
            <family val="2"/>
          </rPr>
          <t>in order to maintain the DSCR ratio</t>
        </r>
        <r>
          <rPr>
            <sz val="14"/>
            <color indexed="81"/>
            <rFont val="Tahoma"/>
            <family val="2"/>
          </rPr>
          <t xml:space="preserve"> on such high debt levels.  For this reason, it is not recommended that users solve for the COE associated with a % Debt that is beyond the maximum sustainable leverage.
If a project is expected to be funded either by a pool of corporate funds or back-leveraged after commercial operation, the user might elect to enter 0% in the "% Debt" cell and enter a weighted average cost of capital (WACC) in the "Target After-Tax Equity IRR" cell.
</t>
        </r>
      </text>
    </comment>
    <comment ref="I998" authorId="1" shapeId="0" xr:uid="{500566E6-E1A3-4EAA-B30E-0CA32E76EB39}">
      <text>
        <r>
          <rPr>
            <b/>
            <sz val="14"/>
            <color indexed="81"/>
            <rFont val="Tahoma"/>
            <family val="2"/>
          </rPr>
          <t>Note:</t>
        </r>
        <r>
          <rPr>
            <sz val="14"/>
            <color indexed="81"/>
            <rFont val="Tahoma"/>
            <family val="2"/>
          </rPr>
          <t xml:space="preserve">
Debt "tenor" (also casually referred to as "term"), is the number of years in the debt repayment schedule.   
Caution: If the project will utilize debt, this value must be greater than zero but less than or equal to the total FIT contract duration.
</t>
        </r>
      </text>
    </comment>
    <comment ref="S998" authorId="0" shapeId="0" xr:uid="{FA8F06DF-3001-429E-9F91-784F52E6CE1B}">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999" authorId="1" shapeId="0" xr:uid="{B64AC29B-325A-4B61-A42F-41D8D077E1FA}">
      <text>
        <r>
          <rPr>
            <b/>
            <sz val="14"/>
            <color indexed="81"/>
            <rFont val="Tahoma"/>
            <family val="2"/>
          </rPr>
          <t>Note:</t>
        </r>
        <r>
          <rPr>
            <sz val="14"/>
            <color indexed="81"/>
            <rFont val="Tahoma"/>
            <family val="2"/>
          </rPr>
          <t xml:space="preserve">
The all-in interest rate is the financing rate provided by the bank or other debt investor.
This input cannot be less than zero.
</t>
        </r>
      </text>
    </comment>
    <comment ref="S999" authorId="0" shapeId="0" xr:uid="{FB331D65-47A2-4C95-B208-64E9384615B9}">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1000" authorId="0" shapeId="0" xr:uid="{1DD9A4DD-F99A-4403-B279-EA27CC5B5882}">
      <text>
        <r>
          <rPr>
            <b/>
            <sz val="14"/>
            <color indexed="81"/>
            <rFont val="Tahoma"/>
            <family val="2"/>
          </rPr>
          <t xml:space="preserve">Note:
</t>
        </r>
        <r>
          <rPr>
            <sz val="14"/>
            <color indexed="81"/>
            <rFont val="Tahoma"/>
            <family val="2"/>
          </rPr>
          <t xml:space="preserve">A one-time fee collected by the lender and calculated as a % of the total loan amount. This value is typically between 1% and 4%.
This input cannot be less than zero.
</t>
        </r>
      </text>
    </comment>
    <comment ref="S1000" authorId="0" shapeId="0" xr:uid="{59846481-B62A-491C-A696-1DBD605CFB55}">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1001" authorId="1" shapeId="0" xr:uid="{ABE9F162-BF07-4B20-ACD4-FDA72F2FC88A}">
      <text>
        <r>
          <rPr>
            <b/>
            <sz val="14"/>
            <color indexed="81"/>
            <rFont val="Tahoma"/>
            <family val="2"/>
          </rPr>
          <t>Note:</t>
        </r>
        <r>
          <rPr>
            <sz val="14"/>
            <color indexed="81"/>
            <rFont val="Tahoma"/>
            <family val="2"/>
          </rPr>
          <t xml:space="preserve">
The annual Debt Service Coverage Ratio is calculated by dividing the sum of the annual principal and interest payment into that year's operating cash flow. Lenders will require the DSCR to demonstrate the project's ability to easily meet its annual debt service obligation.
Average DSCRs over the life of the loan typically range from 1.2 to 1.5 for private, commercially financed projects, or from 1.1 to 1.3 for publicly owned, bond-financed projects - depending on the level of reserves, or other surety, provided. 
The annual minimum DSCR will depend on the specific terms of the loan and the probability-weighting of the production estimate, but will likely be in the range of 1.0 to 1.3. This input must be greater than 1.
</t>
        </r>
      </text>
    </comment>
    <comment ref="S1001" authorId="0" shapeId="0" xr:uid="{632AE392-8A07-45B1-9208-7BADB9D257AB}">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1002" authorId="0" shapeId="0" xr:uid="{285080D0-9AC3-4B6C-8CA1-DE5F9FFD844B}">
      <text>
        <r>
          <rPr>
            <b/>
            <sz val="14"/>
            <color indexed="81"/>
            <rFont val="Tahoma"/>
            <family val="2"/>
          </rPr>
          <t>Note:</t>
        </r>
        <r>
          <rPr>
            <sz val="14"/>
            <color indexed="81"/>
            <rFont val="Tahoma"/>
            <family val="2"/>
          </rPr>
          <t xml:space="preserve">
If "#N/A" appears, F9 should be pressed until the calculated COE achieves it's final value.</t>
        </r>
      </text>
    </comment>
    <comment ref="S1002" authorId="0" shapeId="0" xr:uid="{CFF84F6F-A752-4717-B16B-199F54A54F9A}">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1003" authorId="1" shapeId="0" xr:uid="{5E9B7FC2-D8A5-482A-AEB8-4FA0F8FACCE6}">
      <text>
        <r>
          <rPr>
            <b/>
            <sz val="14"/>
            <color indexed="81"/>
            <rFont val="Tahoma"/>
            <family val="2"/>
          </rPr>
          <t>Note:</t>
        </r>
        <r>
          <rPr>
            <sz val="14"/>
            <color indexed="81"/>
            <rFont val="Tahoma"/>
            <family val="2"/>
          </rPr>
          <t xml:space="preserve">
This cell checks that the debt service coverage ratio exceeds the user-defined minimum in each operating year (see note in DSCR cell for definition and rationale for DSCR). If the test "fails", the user must choose from one of several options in order to cure this deficiency (the extent to which these options are available will be specific to each project):
1. reduce the amount of project level debt, 
2. increase the feed-in tariff rate in order to generate cash flow sufficient to meet the bank's assumed coverage requirement.  In the CREST model, </t>
        </r>
        <r>
          <rPr>
            <u/>
            <sz val="14"/>
            <color indexed="81"/>
            <rFont val="Tahoma"/>
            <family val="2"/>
          </rPr>
          <t>this is done by manually increasing the "Target After-Tax Equity IRR."</t>
        </r>
        <r>
          <rPr>
            <sz val="14"/>
            <color indexed="81"/>
            <rFont val="Tahoma"/>
            <family val="2"/>
          </rPr>
          <t xml:space="preserve">
Other possible, but less likely, mechanisms include:
3. increase the loan tenor
4. decrease the interest rate</t>
        </r>
      </text>
    </comment>
    <comment ref="S1003" authorId="0" shapeId="0" xr:uid="{DB43B912-8159-492B-A197-9A9371513B6C}">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1004" authorId="1" shapeId="0" xr:uid="{9175C475-A6DD-40DE-99BF-82F77C4EE1C9}">
      <text>
        <r>
          <rPr>
            <b/>
            <sz val="14"/>
            <color indexed="81"/>
            <rFont val="Tahoma"/>
            <family val="2"/>
          </rPr>
          <t>Note:</t>
        </r>
        <r>
          <rPr>
            <sz val="14"/>
            <color indexed="81"/>
            <rFont val="Tahoma"/>
            <family val="2"/>
          </rPr>
          <t xml:space="preserve">
The annual Debt Service Coverage Ratio is calculated by dividing the sum of the annual principal and interest payment into that year's operating cash flow. Lenders will require the DSCR to demonstrate the project's ability to easily meet its annual debt service obligation.
</t>
        </r>
        <r>
          <rPr>
            <u/>
            <sz val="14"/>
            <color indexed="81"/>
            <rFont val="Tahoma"/>
            <family val="2"/>
          </rPr>
          <t>Average</t>
        </r>
        <r>
          <rPr>
            <sz val="14"/>
            <color indexed="81"/>
            <rFont val="Tahoma"/>
            <family val="2"/>
          </rPr>
          <t xml:space="preserve"> DSCRs over the life of the loan typically range from 1.2 to 1.5 for private, commercially financed projects, or from 1.1 to 1.3 for publicly owned, bond-financed projects - depending on the level of reserves, or other surety, provided. 
The </t>
        </r>
        <r>
          <rPr>
            <u/>
            <sz val="14"/>
            <color indexed="81"/>
            <rFont val="Tahoma"/>
            <family val="2"/>
          </rPr>
          <t>annual minimum</t>
        </r>
        <r>
          <rPr>
            <sz val="14"/>
            <color indexed="81"/>
            <rFont val="Tahoma"/>
            <family val="2"/>
          </rPr>
          <t xml:space="preserve"> DSCR will depend on the specific terms of the loan and the probability-weighting of the production estimate, but will likely be in the range of 1.0 to 1.3. This input must be greater than 1.
</t>
        </r>
      </text>
    </comment>
    <comment ref="S1004" authorId="0" shapeId="0" xr:uid="{F0D1BE1B-3456-443D-88C8-8B44DBB2F6CE}">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1005" authorId="0" shapeId="0" xr:uid="{996E49CA-1ED4-43E7-9058-F9AA528DF373}">
      <text>
        <r>
          <rPr>
            <b/>
            <sz val="12"/>
            <color indexed="81"/>
            <rFont val="Tahoma"/>
            <family val="2"/>
          </rPr>
          <t>Note:</t>
        </r>
        <r>
          <rPr>
            <sz val="12"/>
            <color indexed="81"/>
            <rFont val="Tahoma"/>
            <family val="2"/>
          </rPr>
          <t xml:space="preserve">
If "#N/A" appears, F9 should be pressed until the calculated COE achieves it's final value.</t>
        </r>
      </text>
    </comment>
    <comment ref="S1005" authorId="0" shapeId="0" xr:uid="{2A01BB55-D30A-4DB5-8571-067849A6CA6B}">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1006" authorId="1" shapeId="0" xr:uid="{E6C3E7C2-485F-4025-9746-22EDEB1D8170}">
      <text>
        <r>
          <rPr>
            <b/>
            <sz val="14"/>
            <color indexed="81"/>
            <rFont val="Tahoma"/>
            <family val="2"/>
          </rPr>
          <t>Note:</t>
        </r>
        <r>
          <rPr>
            <sz val="14"/>
            <color indexed="81"/>
            <rFont val="Tahoma"/>
            <family val="2"/>
          </rPr>
          <t xml:space="preserve">
This cell checks that the average debt service coverage ratio exceeds the user-defined minimum during the period for which debt is outstanding (see note in DSCR cell for definition and rationale for DSCR). If the test "fails", the user must choose from one of several options in order to cure this deficiency (the extent to which these options are available will be specific to each project):
1. reduce the amount of project level debt, 
2. increase the feed-in tariff rate in order to generate cash flow sufficient to meet the bank's assumed coverage requirement.  In the CREST model, </t>
        </r>
        <r>
          <rPr>
            <u/>
            <sz val="14"/>
            <color indexed="81"/>
            <rFont val="Tahoma"/>
            <family val="2"/>
          </rPr>
          <t>this is done by manually increasing the "Target After-Tax Equity IRR."</t>
        </r>
        <r>
          <rPr>
            <sz val="14"/>
            <color indexed="81"/>
            <rFont val="Tahoma"/>
            <family val="2"/>
          </rPr>
          <t xml:space="preserve">
Other possible, but less likely, mechanisms include:
3. increase the loan tenor
4. decrease the interest rate</t>
        </r>
      </text>
    </comment>
    <comment ref="I1007" authorId="0" shapeId="0" xr:uid="{761F7AAD-7C5D-479D-800B-0080AC842B13}">
      <text>
        <r>
          <rPr>
            <b/>
            <sz val="14"/>
            <color indexed="81"/>
            <rFont val="Tahoma"/>
            <family val="2"/>
          </rPr>
          <t xml:space="preserve">Note:
</t>
        </r>
        <r>
          <rPr>
            <sz val="14"/>
            <color indexed="81"/>
            <rFont val="Tahoma"/>
            <family val="2"/>
          </rPr>
          <t xml:space="preserve">The portion of total project cost funded from equity investors. This cell is a calculation and not an input. It is calculated as 100% minus the "% Debt" entered above.
</t>
        </r>
      </text>
    </comment>
    <comment ref="P1007" authorId="0" shapeId="0" xr:uid="{BBAA0E70-A9D9-436B-BF7D-C0F7A9F6EFD9}">
      <text>
        <r>
          <rPr>
            <b/>
            <sz val="8"/>
            <color indexed="81"/>
            <rFont val="Tahoma"/>
            <family val="2"/>
          </rPr>
          <t>See "unit" definitions at the bottom of this worksheet.</t>
        </r>
        <r>
          <rPr>
            <sz val="8"/>
            <color indexed="81"/>
            <rFont val="Tahoma"/>
            <family val="2"/>
          </rPr>
          <t xml:space="preserve">
</t>
        </r>
      </text>
    </comment>
    <comment ref="I1008" authorId="1" shapeId="0" xr:uid="{FBF5D573-1116-413E-8E22-08B10916A9FD}">
      <text>
        <r>
          <rPr>
            <b/>
            <sz val="14"/>
            <color indexed="81"/>
            <rFont val="Tahoma"/>
            <family val="2"/>
          </rPr>
          <t>Note:</t>
        </r>
        <r>
          <rPr>
            <sz val="14"/>
            <color indexed="81"/>
            <rFont val="Tahoma"/>
            <family val="2"/>
          </rPr>
          <t xml:space="preserve">
The target after-tax equity IRR is the equity investor's cost of capital -- or "discount rate" -- and is the minimum rate of return that the project owner will seek to attain in order to justify the project compared to alternative investments.  
The user should be explicit in his or her assumption regarding the term over which the target after-tax IRR is assumed to be realized. For example, the user could elect to align the return requirement with the tariff payment duration. In this case, the project useful life should be set equal to the tariff duration in order to calculate the COE associated with the target IRR over that period of time. 
In a second example, the user could elect to align the return requirement with the project's useful life. In this case, the user can either assume a tariff duration equal to the project life, or assume market-based revenue for the period after the tariff and before the end of the assumed project useful life.
This input cannot be less than zero.
If a project is expected to be funded either by a pool of corporate funds or back-leveraged after commercial operation, the user might elect to enter 0% in the "% Debt" cell and enter a weighted average cost of capital (WACC) in the "Target After-Tax Equity IRR" cell.
</t>
        </r>
      </text>
    </comment>
    <comment ref="I1009" authorId="0" shapeId="0" xr:uid="{3443F26E-1EB6-4AA9-9AFB-FF5CBB41C33B}">
      <text>
        <r>
          <rPr>
            <b/>
            <sz val="14"/>
            <color indexed="81"/>
            <rFont val="Tahoma"/>
            <family val="2"/>
          </rPr>
          <t xml:space="preserve">Note:
</t>
        </r>
        <r>
          <rPr>
            <sz val="14"/>
            <color indexed="81"/>
            <rFont val="Tahoma"/>
            <family val="2"/>
          </rPr>
          <t xml:space="preserve">The weighted average cost of capital combines the after-tax cost of both equity and debt in proportion to their use, and is calculated here for reference.
</t>
        </r>
      </text>
    </comment>
    <comment ref="S1009" authorId="1" shapeId="0" xr:uid="{4E503474-4F26-4DAA-AD96-DEA9588FC4BA}">
      <text>
        <r>
          <rPr>
            <b/>
            <sz val="14"/>
            <color indexed="81"/>
            <rFont val="Tahoma"/>
            <family val="2"/>
          </rPr>
          <t xml:space="preserve">Note:
</t>
        </r>
        <r>
          <rPr>
            <sz val="14"/>
            <color indexed="81"/>
            <rFont val="Tahoma"/>
            <family val="2"/>
          </rPr>
          <t xml:space="preserve">In order to ensure that project owners have sufficient funds to decommission and remove equipment at the end of a project's life, many owners choose to create and fund a reserve account throughout the course of project. 
This input cell allows the modeler to choose whether to pay for project removal by creating and funding a reserve account over the project life by selecting "Operations" or to assume that a project's removal will be funded by selling the equipment, by selecting "Salvage".
</t>
        </r>
      </text>
    </comment>
    <comment ref="I1010" authorId="0" shapeId="0" xr:uid="{6827BC7B-E4F8-4F9F-8B05-69DC2A7F373C}">
      <text>
        <r>
          <rPr>
            <b/>
            <sz val="14"/>
            <color indexed="81"/>
            <rFont val="Tahoma"/>
            <family val="2"/>
          </rPr>
          <t xml:space="preserve">Note:
</t>
        </r>
        <r>
          <rPr>
            <sz val="14"/>
            <color indexed="81"/>
            <rFont val="Tahoma"/>
            <family val="2"/>
          </rPr>
          <t>This cell represents the costs of both equity and debt due diligence (if applicable) and other transaction costs.
Input cannot be less than zero.</t>
        </r>
      </text>
    </comment>
    <comment ref="S1010" authorId="0" shapeId="0" xr:uid="{B66D3C4E-682A-4062-9B07-0CF4A053EFF7}">
      <text>
        <r>
          <rPr>
            <b/>
            <sz val="14"/>
            <color indexed="81"/>
            <rFont val="Tahoma"/>
            <family val="2"/>
          </rPr>
          <t>Note:</t>
        </r>
        <r>
          <rPr>
            <sz val="14"/>
            <color indexed="81"/>
            <rFont val="Tahoma"/>
            <family val="2"/>
          </rPr>
          <t xml:space="preserve">
This input cell allows the user to assume the creation of a reserve account. The value entered here will be accounted for in the project's cash flow, and would be funded evenly over the number of years available between the project's commercial operation and the end of its useful life.
Input cannot be less than zero.
</t>
        </r>
      </text>
    </comment>
    <comment ref="P1012" authorId="0" shapeId="0" xr:uid="{588F7B07-3FC9-43A7-A72D-80D50F321730}">
      <text>
        <r>
          <rPr>
            <b/>
            <sz val="8"/>
            <color indexed="81"/>
            <rFont val="Tahoma"/>
            <family val="2"/>
          </rPr>
          <t>See "unit" definitions at the bottom of this worksheet.</t>
        </r>
        <r>
          <rPr>
            <sz val="8"/>
            <color indexed="81"/>
            <rFont val="Tahoma"/>
            <family val="2"/>
          </rPr>
          <t xml:space="preserve">
</t>
        </r>
      </text>
    </comment>
    <comment ref="I1013" authorId="0" shapeId="0" xr:uid="{152ECB41-EE7D-49A0-9AD7-5554316B2A30}">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at the project's "Total Installed Cost."
</t>
        </r>
      </text>
    </comment>
    <comment ref="I1014" authorId="0" shapeId="0" xr:uid="{4F7502E0-BC0B-4EE4-A6CD-2D1BA6E9D760}">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t>
        </r>
      </text>
    </comment>
    <comment ref="S1014" authorId="0" shapeId="0" xr:uid="{441418D1-8719-429F-AF21-65F0D1BE5037}">
      <text>
        <r>
          <rPr>
            <b/>
            <sz val="14"/>
            <color indexed="81"/>
            <rFont val="Tahoma"/>
            <family val="2"/>
          </rPr>
          <t>Note:</t>
        </r>
        <r>
          <rPr>
            <sz val="14"/>
            <color indexed="81"/>
            <rFont val="Tahoma"/>
            <family val="2"/>
          </rPr>
          <t xml:space="preserve">
Lenders typically require the project owner to establish a reserve account prior to the commencement of operations to ensure that loan repayments occur in full and on time even if the project has insufficient operating cash flow in a specific period due to lower than expected production, higher costs, or both. The size of the reserve account is typically equal to 6 months of debt service obligation.
Input cannot be less than zero.
</t>
        </r>
      </text>
    </comment>
    <comment ref="I1015" authorId="0" shapeId="0" xr:uid="{41EF69F7-6EC6-4578-833A-4155DAA2E2DC}">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As previously described, this value excludes the ITC Cash Grant, which must be financed prior to commercial operation.  
</t>
        </r>
      </text>
    </comment>
    <comment ref="S1015" authorId="0" shapeId="0" xr:uid="{85464EFD-FC8B-4D40-8A6E-1BE23A348C8B}">
      <text>
        <r>
          <rPr>
            <b/>
            <sz val="14"/>
            <color indexed="81"/>
            <rFont val="Tahoma"/>
            <family val="2"/>
          </rPr>
          <t>Note:</t>
        </r>
        <r>
          <rPr>
            <sz val="14"/>
            <color indexed="81"/>
            <rFont val="Tahoma"/>
            <family val="2"/>
          </rPr>
          <t xml:space="preserve">
Calculated value based on the # months of required reserve and the capital structure and associated periodic debt obligation.
</t>
        </r>
      </text>
    </comment>
    <comment ref="I1016" authorId="0" shapeId="0" xr:uid="{E68512F7-69EA-4E3B-85D2-D490A8A18A6E}">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t>
        </r>
      </text>
    </comment>
    <comment ref="S1017" authorId="0" shapeId="0" xr:uid="{53BB07EC-B5E9-49AD-A67B-DC362AF2ABD4}">
      <text>
        <r>
          <rPr>
            <b/>
            <sz val="14"/>
            <color indexed="81"/>
            <rFont val="Tahoma"/>
            <family val="2"/>
          </rPr>
          <t>Note:</t>
        </r>
        <r>
          <rPr>
            <sz val="14"/>
            <color indexed="81"/>
            <rFont val="Tahoma"/>
            <family val="2"/>
          </rPr>
          <t xml:space="preserve">
Lenders typically require the project owner to establish a reserve account prior to the commencement of operations to ensure that all O&amp;M expenses can be met even if the project has insufficient operating cash flow in a specific period due to lower than expected production, higher costs, or both. The size of the reserve account is typically 3 to 6 months of O&amp;M expenses, and includes all categories of O&amp;M expenses.
Input cannot be less than zero.
</t>
        </r>
      </text>
    </comment>
    <comment ref="F1018" authorId="0" shapeId="0" xr:uid="{DEEEE81A-6E39-4202-AD74-45233A839B43}">
      <text>
        <r>
          <rPr>
            <b/>
            <sz val="8"/>
            <color indexed="81"/>
            <rFont val="Tahoma"/>
            <family val="2"/>
          </rPr>
          <t>See "unit" definitions at the bottom of this worksheet.</t>
        </r>
        <r>
          <rPr>
            <sz val="8"/>
            <color indexed="81"/>
            <rFont val="Tahoma"/>
            <family val="2"/>
          </rPr>
          <t xml:space="preserve">
</t>
        </r>
      </text>
    </comment>
    <comment ref="S1018" authorId="0" shapeId="0" xr:uid="{6AD0DF95-F589-43B3-B47D-FF1858BDE84F}">
      <text>
        <r>
          <rPr>
            <b/>
            <sz val="14"/>
            <color indexed="81"/>
            <rFont val="Tahoma"/>
            <family val="2"/>
          </rPr>
          <t>Note:</t>
        </r>
        <r>
          <rPr>
            <sz val="14"/>
            <color indexed="81"/>
            <rFont val="Tahoma"/>
            <family val="2"/>
          </rPr>
          <t xml:space="preserve">
Calculated value based on the # months of required reserve and all annual operating expenses.
</t>
        </r>
      </text>
    </comment>
    <comment ref="I1019" authorId="0" shapeId="0" xr:uid="{8646C866-5E0B-44AC-8816-BE3E1F4B7C26}">
      <text>
        <r>
          <rPr>
            <b/>
            <sz val="14"/>
            <color indexed="81"/>
            <rFont val="Tahoma"/>
            <family val="2"/>
          </rPr>
          <t xml:space="preserve">Note:
</t>
        </r>
        <r>
          <rPr>
            <sz val="14"/>
            <color indexed="81"/>
            <rFont val="Tahoma"/>
            <family val="2"/>
          </rPr>
          <t xml:space="preserve">Defines whether the project owner is a taxable or non-taxable entity. This determines the treatment of income taxes and other tax-related items.
</t>
        </r>
      </text>
    </comment>
    <comment ref="S1019" authorId="0" shapeId="0" xr:uid="{7D4867DF-27C0-42F9-9BB2-A32258235B6F}">
      <text>
        <r>
          <rPr>
            <b/>
            <sz val="14"/>
            <color indexed="81"/>
            <rFont val="Tahoma"/>
            <family val="2"/>
          </rPr>
          <t>Note:</t>
        </r>
        <r>
          <rPr>
            <sz val="14"/>
            <color indexed="81"/>
            <rFont val="Tahoma"/>
            <family val="2"/>
          </rPr>
          <t xml:space="preserve">
Unused reserves earn interest at this rate. Input cannot be less than zero.
</t>
        </r>
      </text>
    </comment>
    <comment ref="I1020" authorId="0" shapeId="0" xr:uid="{45E88895-864E-40D7-B64C-8201A7E26016}">
      <text>
        <r>
          <rPr>
            <b/>
            <sz val="14"/>
            <color indexed="81"/>
            <rFont val="Tahoma"/>
            <family val="2"/>
          </rPr>
          <t xml:space="preserve">Note:
</t>
        </r>
        <r>
          <rPr>
            <sz val="14"/>
            <color indexed="81"/>
            <rFont val="Tahoma"/>
            <family val="2"/>
          </rPr>
          <t xml:space="preserve">Defines the project's federal income tax rate, if applicable.
Input cannot be less than zero.
</t>
        </r>
      </text>
    </comment>
    <comment ref="I1021" authorId="0" shapeId="0" xr:uid="{CDAFB7ED-BD9A-40D5-8357-8E6C4C703D3E}">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I1022" authorId="0" shapeId="0" xr:uid="{945ABA4A-59D7-4C32-8F16-96C082148088}">
      <text>
        <r>
          <rPr>
            <b/>
            <sz val="14"/>
            <color indexed="81"/>
            <rFont val="Tahoma"/>
            <family val="2"/>
          </rPr>
          <t xml:space="preserve">Note:
</t>
        </r>
        <r>
          <rPr>
            <sz val="14"/>
            <color indexed="81"/>
            <rFont val="Tahoma"/>
            <family val="2"/>
          </rPr>
          <t xml:space="preserve">Defines the project's state income tax rate, if applicable.
Input cannot be less than zero.
</t>
        </r>
      </text>
    </comment>
    <comment ref="S1022" authorId="0" shapeId="0" xr:uid="{6602333E-C1D3-469C-9007-96DADD1F7347}">
      <text>
        <r>
          <rPr>
            <b/>
            <sz val="14"/>
            <color indexed="81"/>
            <rFont val="Tahoma"/>
            <family val="2"/>
          </rPr>
          <t>Note:</t>
        </r>
        <r>
          <rPr>
            <sz val="14"/>
            <color indexed="81"/>
            <rFont val="Tahoma"/>
            <family val="2"/>
          </rPr>
          <t xml:space="preserve">
To qualify for Bonus Depreciation the property must have a recovery period of 20 years or less (under normal federal tax depreciation rules), and the project must commence operation in the year in which bonus depreciation is in effect and under the ownership of the entity claiming the deduction. 
For qualifying projects, the owner is entitled to deduct 50% of the adjusted basis of the property during the tax year the property is first placed in service. The remaining 50% of the adjusted basis of the property is depreciated over the ordinary MACRS depreciation schedule. The bonus depreciation rules do not override the depreciation limit applicable to projects qualifying for the federal ITC. Before calculating depreciation for such a project, including any bonus depreciation, the adjusted basis of the project must be reduced by one-half of the amount of the ITC for which the project qualifies. 
</t>
        </r>
      </text>
    </comment>
    <comment ref="I1023" authorId="0" shapeId="0" xr:uid="{0F53C37D-710F-49E6-B4F4-72F114FFFC28}">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P1023" authorId="0" shapeId="0" xr:uid="{A60B5D5B-6AA9-4CB0-B0E6-7C0EDCC53B2E}">
      <text>
        <r>
          <rPr>
            <b/>
            <sz val="12"/>
            <color indexed="81"/>
            <rFont val="Tahoma"/>
            <family val="2"/>
          </rPr>
          <t>Jason Gifford:</t>
        </r>
        <r>
          <rPr>
            <sz val="12"/>
            <color indexed="81"/>
            <rFont val="Tahoma"/>
            <family val="2"/>
          </rPr>
          <t xml:space="preserve">
The Consolidated Appropriations Act, signed in December 2015, extended the "placed in service" deadline for bonus depreciation. Equipment placed in service before January 1, 2018 can qualify for 50% bonus depreciation. Equipment placed in service during 2018 can qualify for 40% bonus depreciation. And equipment placed in service during 2019 can qualify for 30% bonus depreciation. </t>
        </r>
      </text>
    </comment>
    <comment ref="S1023" authorId="0" shapeId="0" xr:uid="{C9588712-0634-45B4-AE09-0CA00D023459}">
      <text>
        <r>
          <rPr>
            <b/>
            <sz val="14"/>
            <color indexed="81"/>
            <rFont val="Tahoma"/>
            <family val="2"/>
          </rPr>
          <t>Note:</t>
        </r>
        <r>
          <rPr>
            <sz val="14"/>
            <color indexed="81"/>
            <rFont val="Tahoma"/>
            <family val="2"/>
          </rPr>
          <t xml:space="preserve">
This input allows the user to define the bonus depreciation % applied in Year 1, if applicable.  Historically, federal bonus depreciation has been 50% of the eligible cost basis (after taking into account reductions in such cost basis for the ITC, if applicable).  
Input cannot be less than zero.
</t>
        </r>
      </text>
    </comment>
    <comment ref="I1024" authorId="0" shapeId="0" xr:uid="{33C7DB80-7288-4E62-B844-32FCD1AB57C7}">
      <text>
        <r>
          <rPr>
            <b/>
            <sz val="14"/>
            <color indexed="81"/>
            <rFont val="Tahoma"/>
            <family val="2"/>
          </rPr>
          <t xml:space="preserve">Note:
</t>
        </r>
        <r>
          <rPr>
            <sz val="14"/>
            <color indexed="81"/>
            <rFont val="Tahoma"/>
            <family val="2"/>
          </rPr>
          <t xml:space="preserve">Takes into account the interaction between federal and state tax rates. This is a calculated value.
</t>
        </r>
      </text>
    </comment>
    <comment ref="I1025" authorId="0" shapeId="0" xr:uid="{72DEFFBE-567B-48F5-BADB-669F281BE51A}">
      <text>
        <r>
          <rPr>
            <b/>
            <sz val="14"/>
            <color indexed="81"/>
            <rFont val="Tahoma"/>
            <family val="2"/>
          </rPr>
          <t xml:space="preserve">Note:
</t>
        </r>
        <r>
          <rPr>
            <sz val="14"/>
            <color indexed="81"/>
            <rFont val="Tahoma"/>
            <family val="2"/>
          </rPr>
          <t>Depreciation accounts for the "use" of equipment for tax purposes. The depreciation inputs are provided in the table to the right and on the Complex Capital Costs tab when this option is selected.</t>
        </r>
      </text>
    </comment>
    <comment ref="AB1026" authorId="0" shapeId="0" xr:uid="{064CBE84-D27C-45B1-9219-23471CB4444A}">
      <text>
        <r>
          <rPr>
            <b/>
            <sz val="14"/>
            <color indexed="81"/>
            <rFont val="Tahoma"/>
            <family val="2"/>
          </rPr>
          <t>Note:</t>
        </r>
        <r>
          <rPr>
            <sz val="14"/>
            <color indexed="81"/>
            <rFont val="Tahoma"/>
            <family val="2"/>
          </rPr>
          <t xml:space="preserve">
When the "Simple" capital cost option is selected, the depreciation of total project costs is divided among the classifications using this row. The depreciation options associated with other levels of cost detail will be hidden.
</t>
        </r>
        <r>
          <rPr>
            <b/>
            <sz val="14"/>
            <color indexed="81"/>
            <rFont val="Tahoma"/>
            <family val="2"/>
          </rPr>
          <t xml:space="preserve">This row must sum to 100%.
</t>
        </r>
      </text>
    </comment>
    <comment ref="AB1027" authorId="0" shapeId="0" xr:uid="{52414264-C158-4136-807B-90B6E73E39B2}">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1028" authorId="0" shapeId="0" xr:uid="{D3C4C863-1438-48AB-AB97-E3A336E4F27C}">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1029" authorId="0" shapeId="0" xr:uid="{7033D9C9-9F75-4F30-B7F4-DA9F1F494342}">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1030" authorId="0" shapeId="0" xr:uid="{35BBDA76-7F16-41F1-A730-019423DF59A1}">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1031" authorId="0" shapeId="0" xr:uid="{66E32C41-E14F-4C7F-8196-2796D758E977}">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1032" authorId="0" shapeId="0" xr:uid="{7E075464-0BE7-4D1A-A104-67A912A09870}">
      <text>
        <r>
          <rPr>
            <b/>
            <sz val="14"/>
            <color indexed="81"/>
            <rFont val="Tahoma"/>
            <family val="2"/>
          </rPr>
          <t>Note:</t>
        </r>
        <r>
          <rPr>
            <sz val="14"/>
            <color indexed="81"/>
            <rFont val="Tahoma"/>
            <family val="2"/>
          </rPr>
          <t xml:space="preserve">
When the "Complex" capital cost option is selected, each line items is assigned its own depreciation classification using a drop-down menu on the Complex Capital Costs tab.
</t>
        </r>
      </text>
    </comment>
    <comment ref="C1037" authorId="0" shapeId="0" xr:uid="{2E68A606-ED6C-46F3-8564-7457A55E0A57}">
      <text>
        <r>
          <rPr>
            <sz val="14"/>
            <color indexed="81"/>
            <rFont val="Tahoma"/>
            <family val="2"/>
          </rPr>
          <t xml:space="preserve">The "Check" column evaluates whether or not values have been enterred in all required fields.  Green denotes an accepted entry in a required field or a calculation for which the minimum required precedents have been satisfied.  Red denotes the absence of an entry in a required field, or a calculation for which the minimum required precendents have NOT been satisfied.
</t>
        </r>
        <r>
          <rPr>
            <b/>
            <sz val="14"/>
            <color indexed="81"/>
            <rFont val="Tahoma"/>
            <family val="2"/>
          </rPr>
          <t>Please note</t>
        </r>
        <r>
          <rPr>
            <sz val="14"/>
            <color indexed="81"/>
            <rFont val="Tahoma"/>
            <family val="2"/>
          </rPr>
          <t xml:space="preserve"> that while the "Check" column ensures the population of all required fields, this column does NOT validate the magnitude of such entries.  It is the model user's responsibility to provide inputs which accurately represent the project being modeled.  In some cases, a range of typical values for a specified input are provided in that input's "Notes" cell.</t>
        </r>
      </text>
    </comment>
    <comment ref="I1037" authorId="0" shapeId="0" xr:uid="{4DA5FBD6-74D5-4B70-8BD8-DE21F19FC2B2}">
      <text>
        <r>
          <rPr>
            <sz val="14"/>
            <color indexed="81"/>
            <rFont val="Tahoma"/>
            <family val="2"/>
          </rPr>
          <t xml:space="preserve">Each cell in the "Notes" column provides a brief description of the input in the corresponding row, its application within the model, and (in some cases) the range of values that might be expected to populate that  input cell.  It is the model user's responsibility, however, to research and validate the applicability of, and appropriate value for, each input.
</t>
        </r>
        <r>
          <rPr>
            <sz val="8"/>
            <color indexed="81"/>
            <rFont val="Tahoma"/>
            <family val="2"/>
          </rPr>
          <t xml:space="preserve">
</t>
        </r>
      </text>
    </comment>
    <comment ref="M1037" authorId="0" shapeId="0" xr:uid="{C75439D0-8ABF-4139-BF5E-9D3DE2451D1C}">
      <text>
        <r>
          <rPr>
            <sz val="14"/>
            <color indexed="81"/>
            <rFont val="Tahoma"/>
            <family val="2"/>
          </rPr>
          <t xml:space="preserve">The "Check" column evaluates whether or not values have been enterred in all required fields.  Green denotes an accepted entry in a required field or a calculation for which the minimum required precedents have been satisfied.  Red denotes the absence of an entry in a required field, or a calculation for which the minimum required precendents have NOT been satisfied.
</t>
        </r>
        <r>
          <rPr>
            <b/>
            <sz val="14"/>
            <color indexed="81"/>
            <rFont val="Tahoma"/>
            <family val="2"/>
          </rPr>
          <t>Please note</t>
        </r>
        <r>
          <rPr>
            <sz val="14"/>
            <color indexed="81"/>
            <rFont val="Tahoma"/>
            <family val="2"/>
          </rPr>
          <t xml:space="preserve"> that while the "Check" column ensures the population of all required fields, this column does NOT validate the magnitude of such entries.  It is the model user's responsibility to provide inputs which accurately represent the project being modeled.  In some cases, a range of typical values for a specified input are provided in that input's "Notes" cell.</t>
        </r>
      </text>
    </comment>
    <comment ref="S1037" authorId="0" shapeId="0" xr:uid="{9A7F1D07-125F-468E-B52C-53631A3EF44A}">
      <text>
        <r>
          <rPr>
            <sz val="14"/>
            <color indexed="81"/>
            <rFont val="Tahoma"/>
            <family val="2"/>
          </rPr>
          <t>Each cell in the "Notes" column provides a brief description of the input in the corresponding row, its application within the model, and (in some cases) the range of values that might be expected to populate that  input cell. It is the model user's responsibility, however, to research and validate the applicability of, and appropriate value for, each input.</t>
        </r>
        <r>
          <rPr>
            <sz val="8"/>
            <color indexed="81"/>
            <rFont val="Tahoma"/>
            <family val="2"/>
          </rPr>
          <t xml:space="preserve">
</t>
        </r>
      </text>
    </comment>
    <comment ref="F1039" authorId="0" shapeId="0" xr:uid="{DD22553F-CAB5-4B89-9B57-F41128AEB28F}">
      <text>
        <r>
          <rPr>
            <b/>
            <sz val="8"/>
            <color indexed="81"/>
            <rFont val="Tahoma"/>
            <family val="2"/>
          </rPr>
          <t>See "unit" definitions at the bottom of this worksheet.</t>
        </r>
        <r>
          <rPr>
            <sz val="8"/>
            <color indexed="81"/>
            <rFont val="Tahoma"/>
            <family val="2"/>
          </rPr>
          <t xml:space="preserve">
</t>
        </r>
      </text>
    </comment>
    <comment ref="P1039" authorId="0" shapeId="0" xr:uid="{8346E536-317A-43FA-976C-D392A6212719}">
      <text>
        <r>
          <rPr>
            <b/>
            <sz val="8"/>
            <color indexed="81"/>
            <rFont val="Tahoma"/>
            <family val="2"/>
          </rPr>
          <t>See "unit" definitions at the bottom of this worksheet.</t>
        </r>
        <r>
          <rPr>
            <sz val="8"/>
            <color indexed="81"/>
            <rFont val="Tahoma"/>
            <family val="2"/>
          </rPr>
          <t xml:space="preserve">
</t>
        </r>
      </text>
    </comment>
    <comment ref="I1040" authorId="1" shapeId="0" xr:uid="{4548A389-78F5-4C6E-B039-D15E813F427B}">
      <text>
        <r>
          <rPr>
            <b/>
            <sz val="14"/>
            <color indexed="81"/>
            <rFont val="Tahoma"/>
            <family val="2"/>
          </rPr>
          <t>Note:</t>
        </r>
        <r>
          <rPr>
            <sz val="14"/>
            <color indexed="81"/>
            <rFont val="Tahoma"/>
            <family val="2"/>
          </rPr>
          <t xml:space="preserve">
This is the aggregate nameplate rating for the entire generating facility.
Input must be greater than zero.
</t>
        </r>
      </text>
    </comment>
    <comment ref="S1040" authorId="1" shapeId="0" xr:uid="{6A3FD959-B83D-4772-BF80-F79C97DF446B}">
      <text>
        <r>
          <rPr>
            <b/>
            <sz val="14"/>
            <color indexed="81"/>
            <rFont val="Tahoma"/>
            <family val="2"/>
          </rPr>
          <t xml:space="preserve">Note:
</t>
        </r>
        <r>
          <rPr>
            <sz val="14"/>
            <color indexed="81"/>
            <rFont val="Tahoma"/>
            <family val="2"/>
          </rPr>
          <t xml:space="preserve">The FIT contract length is the number of years for which the rate specified by this model is available. This term is established by policymakers and must be less than or equal to the project's useful life.  
The contract duration is also different than the debt tenor (if applicable), which is specified in the Permanent Financing section below.
</t>
        </r>
      </text>
    </comment>
    <comment ref="I1041" authorId="1" shapeId="0" xr:uid="{C5EBA170-2AFF-4F05-B829-CB10D0523773}">
      <text>
        <r>
          <rPr>
            <b/>
            <sz val="14"/>
            <color indexed="81"/>
            <rFont val="Tahoma"/>
            <family val="2"/>
          </rPr>
          <t>Note:</t>
        </r>
        <r>
          <rPr>
            <sz val="14"/>
            <color indexed="81"/>
            <rFont val="Tahoma"/>
            <family val="2"/>
          </rPr>
          <t xml:space="preserve">
Capacity Factor is the % representation of the actual production vs. the theoretical maximum annual production of an energy project. This model requires the input of a </t>
        </r>
        <r>
          <rPr>
            <b/>
            <sz val="14"/>
            <color indexed="81"/>
            <rFont val="Tahoma"/>
            <family val="2"/>
          </rPr>
          <t>Net Capacity Factor</t>
        </r>
        <r>
          <rPr>
            <sz val="14"/>
            <color indexed="81"/>
            <rFont val="Tahoma"/>
            <family val="2"/>
          </rPr>
          <t xml:space="preserve">, meaning that the estimate of actual energy production should take into account all electricity losses (including those incurred between the generating facility and the contract delivery point), scheduled and unscheduled maintenance, forced outages, wake effects, icing, and any other factors that could reduce production.
Wind projects typically have a capacity factor between 25% and 40% depending on region and site-specific topography. 
Input must be between 0% and 100%.
</t>
        </r>
      </text>
    </comment>
    <comment ref="S1041" authorId="1" shapeId="0" xr:uid="{B72527BF-C406-4A17-B1E7-EDFB8A5CBE67}">
      <text>
        <r>
          <rPr>
            <b/>
            <sz val="14"/>
            <color indexed="81"/>
            <rFont val="Tahoma"/>
            <family val="2"/>
          </rPr>
          <t xml:space="preserve">Note:
</t>
        </r>
        <r>
          <rPr>
            <sz val="14"/>
            <color indexed="81"/>
            <rFont val="Tahoma"/>
            <family val="2"/>
          </rPr>
          <t xml:space="preserve">This is the portion (%) of the tariff which is subject to annual escalation.  
Program administrators may determine that some or all of the tariff rate should be escalated to reflect the uncertainty associated with the future cost of owning and operating an electricity generating facility. This input is separate from the inflation assumed to apply to certain O&amp;M expenses, which is provided as an input in the O&amp;M section below.
Input must be between 0% and 100%.
</t>
        </r>
      </text>
    </comment>
    <comment ref="I1042" authorId="1" shapeId="0" xr:uid="{0602215A-6CCD-43E6-ADE9-1724BE704939}">
      <text>
        <r>
          <rPr>
            <b/>
            <sz val="14"/>
            <color indexed="81"/>
            <rFont val="Tahoma"/>
            <family val="2"/>
          </rPr>
          <t>Note:</t>
        </r>
        <r>
          <rPr>
            <sz val="14"/>
            <color indexed="81"/>
            <rFont val="Tahoma"/>
            <family val="2"/>
          </rPr>
          <t xml:space="preserve">
This is a calculation, based on the system size and capacity factor provided above. 
</t>
        </r>
      </text>
    </comment>
    <comment ref="S1042" authorId="1" shapeId="0" xr:uid="{D0C417E5-64C6-4F3B-BF79-DC8983B92444}">
      <text>
        <r>
          <rPr>
            <b/>
            <sz val="14"/>
            <color indexed="81"/>
            <rFont val="Tahoma"/>
            <family val="2"/>
          </rPr>
          <t xml:space="preserve">Note:
</t>
        </r>
        <r>
          <rPr>
            <sz val="14"/>
            <color indexed="81"/>
            <rFont val="Tahoma"/>
            <family val="2"/>
          </rPr>
          <t xml:space="preserve">To calculate a </t>
        </r>
        <r>
          <rPr>
            <b/>
            <sz val="14"/>
            <color indexed="81"/>
            <rFont val="Tahoma"/>
            <family val="2"/>
          </rPr>
          <t>nominal levelized tariff rate</t>
        </r>
        <r>
          <rPr>
            <sz val="14"/>
            <color indexed="81"/>
            <rFont val="Tahoma"/>
            <family val="2"/>
          </rPr>
          <t xml:space="preserve">, the "feed-in tariff escalation rate" field should be </t>
        </r>
        <r>
          <rPr>
            <b/>
            <sz val="14"/>
            <color indexed="81"/>
            <rFont val="Tahoma"/>
            <family val="2"/>
          </rPr>
          <t>set to zero</t>
        </r>
        <r>
          <rPr>
            <sz val="14"/>
            <color indexed="81"/>
            <rFont val="Tahoma"/>
            <family val="2"/>
          </rPr>
          <t>.</t>
        </r>
        <r>
          <rPr>
            <b/>
            <sz val="14"/>
            <color indexed="81"/>
            <rFont val="Tahoma"/>
            <family val="2"/>
          </rPr>
          <t xml:space="preserve">
</t>
        </r>
        <r>
          <rPr>
            <sz val="14"/>
            <color indexed="81"/>
            <rFont val="Tahoma"/>
            <family val="2"/>
          </rPr>
          <t xml:space="preserve">Where applied, tariff rate escalation is intended to serve as a risk mitigating tool, at least partially protecting the project investor from the uncertainty associated with the future cost of owning and operating the renewable energy facility. The escalation rate can be used to assume a year over year increase in all, or a portion, of the per unit payment provided to eligible generators. This concept is separate from inflationary adjustments to future operating cost assumptions -- which are input below.
This rate is applied annually.  Note that in this model, calendar years and tariff years are aligned.
</t>
        </r>
        <r>
          <rPr>
            <b/>
            <sz val="14"/>
            <color indexed="81"/>
            <rFont val="Tahoma"/>
            <family val="2"/>
          </rPr>
          <t>Caution:</t>
        </r>
        <r>
          <rPr>
            <sz val="14"/>
            <color indexed="81"/>
            <rFont val="Tahoma"/>
            <family val="2"/>
          </rPr>
          <t xml:space="preserve"> A value must be entered into this cell in order for the model to function properly. The input can be positive or negative (if the FIT value decreases over time), and a typical value may fall between 0% and 5%.  
</t>
        </r>
      </text>
    </comment>
    <comment ref="I1043" authorId="1" shapeId="0" xr:uid="{F513CED1-E5F2-4DDC-BA56-9E50A92CEC74}">
      <text>
        <r>
          <rPr>
            <b/>
            <sz val="14"/>
            <color indexed="81"/>
            <rFont val="Tahoma"/>
            <family val="2"/>
          </rPr>
          <t>Note:</t>
        </r>
        <r>
          <rPr>
            <sz val="14"/>
            <color indexed="81"/>
            <rFont val="Tahoma"/>
            <family val="2"/>
          </rPr>
          <t xml:space="preserve">
The natural aging of the mechanical components of a wind turbine generator may lead to a drop in turbine availability (or efficiency), and therefore production, over time.  
This input allows the user to model the potential for such degradation, which may be between 0% and 2% per year.
</t>
        </r>
        <r>
          <rPr>
            <b/>
            <sz val="14"/>
            <color indexed="81"/>
            <rFont val="Tahoma"/>
            <family val="2"/>
          </rPr>
          <t>If the modeled "Net Capacity Factor" is intented to take long-term average availability into account, then the user may wish to enter 0% in the Annual Production Degradation field.</t>
        </r>
        <r>
          <rPr>
            <sz val="14"/>
            <color indexed="81"/>
            <rFont val="Tahoma"/>
            <family val="2"/>
          </rPr>
          <t xml:space="preserve">
Input must be =&gt; 0%.
</t>
        </r>
      </text>
    </comment>
    <comment ref="I1044" authorId="1" shapeId="0" xr:uid="{D313E633-FDF0-4B53-974D-730A4070461A}">
      <text>
        <r>
          <rPr>
            <b/>
            <sz val="14"/>
            <color indexed="81"/>
            <rFont val="Tahoma"/>
            <family val="2"/>
          </rPr>
          <t xml:space="preserve">Note:
</t>
        </r>
        <r>
          <rPr>
            <sz val="14"/>
            <color indexed="81"/>
            <rFont val="Tahoma"/>
            <family val="2"/>
          </rPr>
          <t xml:space="preserve">The Project Useful Life is the number of years that the project is expected to be fully operational, reliably delivering electricity to the grid, and generating revenue. This concept is different from the FIT Contract Length, which is administratively determined by policymakers. These two values may be the same if a FIT contract is offered for the project's entire expected useful life. This approach is likely to generate the lowest tariff rate, while successfully attracting investors to renewable energy projects.  
The CREST model is built for a maximum Project Useful Life of 30 years.
Input must be greater than 0 and less than or equal to 30.
</t>
        </r>
      </text>
    </comment>
    <comment ref="S1044" authorId="1" shapeId="0" xr:uid="{1164FFE1-E277-481D-A8D0-62105BE8DA4E}">
      <text>
        <r>
          <rPr>
            <b/>
            <sz val="14"/>
            <color indexed="81"/>
            <rFont val="Tahoma"/>
            <family val="2"/>
          </rPr>
          <t xml:space="preserve">Note:
</t>
        </r>
        <r>
          <rPr>
            <sz val="14"/>
            <color indexed="81"/>
            <rFont val="Tahoma"/>
            <family val="2"/>
          </rPr>
          <t>If the designated "FIT Contract Length" is less than the defined "Project Useful Life", then this grouping of inputs is used to calculate the project's market-based revenue during the period from FIT contract expiration to the end of the project's life.</t>
        </r>
        <r>
          <rPr>
            <b/>
            <sz val="14"/>
            <color indexed="81"/>
            <rFont val="Tahoma"/>
            <family val="2"/>
          </rPr>
          <t xml:space="preserve">
</t>
        </r>
        <r>
          <rPr>
            <sz val="14"/>
            <color indexed="81"/>
            <rFont val="Tahoma"/>
            <family val="2"/>
          </rPr>
          <t xml:space="preserve">
</t>
        </r>
      </text>
    </comment>
    <comment ref="S1045" authorId="1" shapeId="0" xr:uid="{DB196EDD-98C4-4D44-B585-A3AC7B899E44}">
      <text>
        <r>
          <rPr>
            <b/>
            <sz val="14"/>
            <color indexed="81"/>
            <rFont val="Tahoma"/>
            <family val="2"/>
          </rPr>
          <t xml:space="preserve">Note:
</t>
        </r>
        <r>
          <rPr>
            <sz val="14"/>
            <color indexed="81"/>
            <rFont val="Tahoma"/>
            <family val="2"/>
          </rPr>
          <t>Selecting "Year One" forecasts the total market value of production based on an estimate of that value in the project's first year of commercial operation and a user-defined escalation rate.  
Selecting "Year-by-Year" enables the user to enter unique annual values for the period after the FIT expires and before the end of the project's useful life.</t>
        </r>
        <r>
          <rPr>
            <b/>
            <sz val="14"/>
            <color indexed="81"/>
            <rFont val="Tahoma"/>
            <family val="2"/>
          </rPr>
          <t xml:space="preserve">
</t>
        </r>
        <r>
          <rPr>
            <sz val="14"/>
            <color indexed="81"/>
            <rFont val="Tahoma"/>
            <family val="2"/>
          </rPr>
          <t xml:space="preserve">
</t>
        </r>
      </text>
    </comment>
    <comment ref="F1046" authorId="0" shapeId="0" xr:uid="{01973DB5-62B1-4FE5-B810-E7930E5B75BD}">
      <text>
        <r>
          <rPr>
            <b/>
            <sz val="8"/>
            <color indexed="81"/>
            <rFont val="Tahoma"/>
            <family val="2"/>
          </rPr>
          <t>See "unit" definitions at the bottom of this worksheet.</t>
        </r>
        <r>
          <rPr>
            <sz val="8"/>
            <color indexed="81"/>
            <rFont val="Tahoma"/>
            <family val="2"/>
          </rPr>
          <t xml:space="preserve">
</t>
        </r>
      </text>
    </comment>
    <comment ref="S1046" authorId="1" shapeId="0" xr:uid="{CD060BCB-92DE-4865-8DC0-7E6E8DAE3C85}">
      <text>
        <r>
          <rPr>
            <b/>
            <sz val="14"/>
            <color indexed="81"/>
            <rFont val="Tahoma"/>
            <family val="2"/>
          </rPr>
          <t xml:space="preserve">Note:
</t>
        </r>
        <r>
          <rPr>
            <sz val="14"/>
            <color indexed="81"/>
            <rFont val="Tahoma"/>
            <family val="2"/>
          </rPr>
          <t xml:space="preserve">This is the </t>
        </r>
        <r>
          <rPr>
            <b/>
            <sz val="14"/>
            <color indexed="81"/>
            <rFont val="Tahoma"/>
            <family val="2"/>
          </rPr>
          <t>combined</t>
        </r>
        <r>
          <rPr>
            <sz val="14"/>
            <color indexed="81"/>
            <rFont val="Tahoma"/>
            <family val="2"/>
          </rPr>
          <t xml:space="preserve"> (or "bundled") market value of energy + capacity + Renewable Energy Credtis (RECs) in the same year in which the project's first enters commercial operation.
This input must be greater than zero.
</t>
        </r>
      </text>
    </comment>
    <comment ref="I1047" authorId="1" shapeId="0" xr:uid="{419486DA-6184-487B-BA3C-3820B39530F8}">
      <text>
        <r>
          <rPr>
            <b/>
            <sz val="14"/>
            <color indexed="81"/>
            <rFont val="Tahoma"/>
            <family val="2"/>
          </rPr>
          <t>Note:</t>
        </r>
        <r>
          <rPr>
            <sz val="14"/>
            <color indexed="81"/>
            <rFont val="Tahoma"/>
            <family val="2"/>
          </rPr>
          <t xml:space="preserve">
This model alllows the user to input system cost at 1 of 3 levels of detail: "simple", "intermediate" or "complex." Simple offers a single input in $/kW, Intermediate offers five cost subcategories in total dollars, and Complex offers line-by-line project costing with user-defined categories and costs per line-item.  
Select your preferred method and use the cells below to enter your cost information. If you choose the "Complex" option, you will need to follow the link below to the "Complex Capital Costs" tab.</t>
        </r>
      </text>
    </comment>
    <comment ref="S1047" authorId="1" shapeId="0" xr:uid="{705F1031-C713-45E7-8DF2-2DA8DE42AAA3}">
      <text>
        <r>
          <rPr>
            <b/>
            <sz val="14"/>
            <color indexed="81"/>
            <rFont val="Tahoma"/>
            <family val="2"/>
          </rPr>
          <t xml:space="preserve">Note:
</t>
        </r>
        <r>
          <rPr>
            <sz val="14"/>
            <color indexed="81"/>
            <rFont val="Tahoma"/>
            <family val="2"/>
          </rPr>
          <t xml:space="preserve">When the "Year One" forecast methodology is selected, this is the user-defined escalation rate at which the market value of production is expected to change.
Input must be greater than zero.
</t>
        </r>
      </text>
    </comment>
    <comment ref="I1048" authorId="1" shapeId="0" xr:uid="{E9540FBB-35F5-474F-83F4-06C7C86DD446}">
      <text>
        <r>
          <rPr>
            <b/>
            <sz val="14"/>
            <color indexed="81"/>
            <rFont val="Tahoma"/>
            <family val="2"/>
          </rPr>
          <t>Note:</t>
        </r>
        <r>
          <rPr>
            <sz val="14"/>
            <color indexed="81"/>
            <rFont val="Tahoma"/>
            <family val="2"/>
          </rPr>
          <t xml:space="preserve">
When "Simple" is selected in the Cost Level of Detail cell, this "Total Installed Cost" row represents the total expected all-in project cost, which should include all hardware, balance of plant, interconnection, design, construction, permitting, development (including developer fee), interest during construction and financing costs. This figure should not account for any tax incentives, grants, or other cash incentives, each of which will be addressed elsewhere in the model. This figure should, however, reflect any applicable sales tax or exemptions thereof.
Input must be greater than zero.
</t>
        </r>
      </text>
    </comment>
    <comment ref="S1048" authorId="1" shapeId="0" xr:uid="{D02630CE-EBA7-426C-BEC3-BF948C48C6C2}">
      <text>
        <r>
          <rPr>
            <b/>
            <sz val="14"/>
            <color indexed="81"/>
            <rFont val="Tahoma"/>
            <family val="2"/>
          </rPr>
          <t xml:space="preserve">Note:
</t>
        </r>
        <r>
          <rPr>
            <sz val="14"/>
            <color indexed="81"/>
            <rFont val="Tahoma"/>
            <family val="2"/>
          </rPr>
          <t xml:space="preserve">When "Year-by-Year" market value of production forecast is selected, this link brings the user to another worksheet on which unique annual values may be entered.
</t>
        </r>
      </text>
    </comment>
    <comment ref="I1049" authorId="1" shapeId="0" xr:uid="{B7AA3782-8E27-484F-8EC6-09304CDA9310}">
      <text>
        <r>
          <rPr>
            <b/>
            <sz val="14"/>
            <color indexed="81"/>
            <rFont val="Tahoma"/>
            <family val="2"/>
          </rPr>
          <t>Note:</t>
        </r>
        <r>
          <rPr>
            <sz val="14"/>
            <color indexed="81"/>
            <rFont val="Tahoma"/>
            <family val="2"/>
          </rPr>
          <t xml:space="preserve">
"Generation Equipment" should include hardware such as the generator, blades and tower.  
Caution: the model assumes that if "Intermediate" is selected as the level of detail section, the "Generation Equipment" row must have a value greater than zero. 
</t>
        </r>
      </text>
    </comment>
    <comment ref="I1050" authorId="1" shapeId="0" xr:uid="{5D3BCE8B-79EA-4579-85E9-B456428A2A88}">
      <text>
        <r>
          <rPr>
            <b/>
            <sz val="14"/>
            <color indexed="81"/>
            <rFont val="Tahoma"/>
            <family val="2"/>
          </rPr>
          <t>Note:</t>
        </r>
        <r>
          <rPr>
            <sz val="14"/>
            <color indexed="81"/>
            <rFont val="Tahoma"/>
            <family val="2"/>
          </rPr>
          <t xml:space="preserve">
Balance of Plant (also known as Balance of System) represents all infrastructure, site prep and labor supporting the installation of the generation equipment. BOP costs include foundations, mounting devices, other hardware, and labor not already accounted for in the "Generation Equipment" row.
Input cannot be less than zero.
</t>
        </r>
      </text>
    </comment>
    <comment ref="P1050" authorId="0" shapeId="0" xr:uid="{14D67185-534D-468C-BDDF-00C1269B0717}">
      <text>
        <r>
          <rPr>
            <b/>
            <sz val="8"/>
            <color indexed="81"/>
            <rFont val="Tahoma"/>
            <family val="2"/>
          </rPr>
          <t>See "unit" definitions at the bottom of this worksheet.</t>
        </r>
        <r>
          <rPr>
            <sz val="8"/>
            <color indexed="81"/>
            <rFont val="Tahoma"/>
            <family val="2"/>
          </rPr>
          <t xml:space="preserve">
</t>
        </r>
      </text>
    </comment>
    <comment ref="I1051" authorId="1" shapeId="0" xr:uid="{8DB65E4F-77DB-4F38-BC7A-B5CAB6403342}">
      <text>
        <r>
          <rPr>
            <b/>
            <sz val="14"/>
            <color indexed="81"/>
            <rFont val="Tahoma"/>
            <family val="2"/>
          </rPr>
          <t>Note:</t>
        </r>
        <r>
          <rPr>
            <sz val="14"/>
            <color indexed="81"/>
            <rFont val="Tahoma"/>
            <family val="2"/>
          </rPr>
          <t xml:space="preserve">
The "Interconnection" row should account for all project costs relating to connecting to the grid, such as the construction of transmission lines, permitting costs with the utility, and start-up costs. This category will also include the cost of a new substation, if necessary.
Regulators wishing to explore the potential that interconnection costs may be recovered from ratepayers separately can elect to enter zeros in this cost category whenever "Intermediate" or "Complex" is selected.
Input cannot be less than zero.
</t>
        </r>
      </text>
    </comment>
    <comment ref="S1051" authorId="0" shapeId="0" xr:uid="{706F4CA4-23DB-4A1E-BF2A-53E0C258C81D}">
      <text>
        <r>
          <rPr>
            <b/>
            <sz val="14"/>
            <color indexed="81"/>
            <rFont val="Tahoma"/>
            <family val="2"/>
          </rPr>
          <t xml:space="preserve">Note:
</t>
        </r>
        <r>
          <rPr>
            <sz val="14"/>
            <color indexed="81"/>
            <rFont val="Tahoma"/>
            <family val="2"/>
          </rPr>
          <t>This drop-down input cell allows the user to specify whether federal incentives are cost-based (e.g. an investment tax credit) or performance-based (e.g. a PTC). The magnitude and terms of these incentives are set in the cells below.
For more information, a useful resource for researching federal and state incentives online is:  
http://dsireusa.org/
*See bottom of introduction page for a list of links</t>
        </r>
      </text>
    </comment>
    <comment ref="E1052" authorId="0" shapeId="0" xr:uid="{1A0841C5-8F50-4704-9A09-249EFAE8E45F}">
      <text>
        <r>
          <rPr>
            <b/>
            <sz val="14"/>
            <color indexed="81"/>
            <rFont val="Tahoma"/>
            <family val="2"/>
          </rPr>
          <t>Jason Gifford:</t>
        </r>
        <r>
          <rPr>
            <sz val="14"/>
            <color indexed="81"/>
            <rFont val="Tahoma"/>
            <family val="2"/>
          </rPr>
          <t xml:space="preserve">
Converted to "admin cost" for community remote DG</t>
        </r>
      </text>
    </comment>
    <comment ref="I1052" authorId="1" shapeId="0" xr:uid="{28748B80-AABD-45DA-A416-91582506C866}">
      <text>
        <r>
          <rPr>
            <b/>
            <sz val="14"/>
            <color indexed="81"/>
            <rFont val="Tahoma"/>
            <family val="2"/>
          </rPr>
          <t>Note:</t>
        </r>
        <r>
          <rPr>
            <sz val="8"/>
            <color indexed="81"/>
            <rFont val="Tahoma"/>
            <family val="2"/>
          </rPr>
          <t xml:space="preserve">
</t>
        </r>
        <r>
          <rPr>
            <sz val="14"/>
            <color indexed="81"/>
            <rFont val="Tahoma"/>
            <family val="2"/>
          </rPr>
          <t xml:space="preserve">The "Development Costs" row should include all costs relating to project management, studies, engineering, permitting, contingencies, success fees, and other soft costs not accounted for elsewhere in the "Intermediate" cost breakdown. 
Input cannot be less than zero.
</t>
        </r>
      </text>
    </comment>
    <comment ref="S1052" authorId="1" shapeId="0" xr:uid="{DD6AFE5B-E3F4-4CD0-B75A-3A21B7AC1609}">
      <text>
        <r>
          <rPr>
            <b/>
            <sz val="14"/>
            <color indexed="81"/>
            <rFont val="Tahoma"/>
            <family val="2"/>
          </rPr>
          <t xml:space="preserve">Note:
</t>
        </r>
        <r>
          <rPr>
            <sz val="14"/>
            <color indexed="81"/>
            <rFont val="Tahoma"/>
            <family val="2"/>
          </rPr>
          <t>Some renewable energy projects may be eligible to take advantagee of Federal incentives such as the Investment Tax Credit or a Treasury Grant. Information on eligibility for funding opportunities such as these is available online at:
http://dsireusa.org/incentives/incentive.cfm?Incentive_Code=US02F&amp;re=1&amp;ee=1
*See bottom of introduction page for a list of links</t>
        </r>
        <r>
          <rPr>
            <b/>
            <sz val="14"/>
            <color indexed="81"/>
            <rFont val="Tahoma"/>
            <family val="2"/>
          </rPr>
          <t xml:space="preserve">
</t>
        </r>
        <r>
          <rPr>
            <sz val="14"/>
            <color indexed="81"/>
            <rFont val="Tahoma"/>
            <family val="2"/>
          </rPr>
          <t xml:space="preserve">
</t>
        </r>
      </text>
    </comment>
    <comment ref="I1053" authorId="1" shapeId="0" xr:uid="{2F51F376-22F1-4CDA-802E-281F6F05E58D}">
      <text>
        <r>
          <rPr>
            <b/>
            <sz val="14"/>
            <color indexed="81"/>
            <rFont val="Tahoma"/>
            <family val="2"/>
          </rPr>
          <t>Note:</t>
        </r>
        <r>
          <rPr>
            <sz val="14"/>
            <color indexed="81"/>
            <rFont val="Tahoma"/>
            <family val="2"/>
          </rPr>
          <t xml:space="preserve">
The "Reserves &amp; Financing Costs" row accounts for all costs relating to financing, such as lender fees, closing costs, legal fees, interest during construction, due diligence costs, and any other relevant, financing relating costs. The model calculates this field by aggregating G22 through G25, G51, G54, G63, G66, Q57 and Q60.
</t>
        </r>
      </text>
    </comment>
    <comment ref="S1053" authorId="0" shapeId="0" xr:uid="{CCA53DC6-1048-4118-8966-C7CCCE290FB5}">
      <text>
        <r>
          <rPr>
            <b/>
            <sz val="14"/>
            <color indexed="81"/>
            <rFont val="Tahoma"/>
            <family val="2"/>
          </rPr>
          <t xml:space="preserve">NOTE:
</t>
        </r>
        <r>
          <rPr>
            <sz val="14"/>
            <color indexed="81"/>
            <rFont val="Tahoma"/>
            <family val="2"/>
          </rPr>
          <t xml:space="preserve">The maximum potential Investment Tax Credit (ITC) benefit is assumed to be 30% of those project costs which are depreciable on the 5-year MACRS schedule.  This 'eligible costs' assumption is purposefully simplified for this analysis.  Project costs depreciated on other bases may also be eligible for the ITC.  Developers should consult with tax counsel for project-specific depreciation and ITC treatment of each project cost.
</t>
        </r>
        <r>
          <rPr>
            <sz val="8"/>
            <color indexed="81"/>
            <rFont val="Tahoma"/>
            <family val="2"/>
          </rPr>
          <t xml:space="preserve">
</t>
        </r>
      </text>
    </comment>
    <comment ref="I1054" authorId="1" shapeId="0" xr:uid="{FE69EAB3-68DB-44D8-BC8F-F24E7B39110F}">
      <text>
        <r>
          <rPr>
            <b/>
            <sz val="14"/>
            <color indexed="81"/>
            <rFont val="Tahoma"/>
            <family val="2"/>
          </rPr>
          <t>Note:</t>
        </r>
        <r>
          <rPr>
            <sz val="14"/>
            <color indexed="81"/>
            <rFont val="Tahoma"/>
            <family val="2"/>
          </rPr>
          <t xml:space="preserve">
If you wish to enter your project costs under the "Complex" format, select Complex from the drop-down menu and use the link to the left to access additional worksheets which provide the opportunitiy to add significant, additional detail on project costs. Once complete, the model will roll up the detailed costs and populate this row with the resultant final project cost. </t>
        </r>
      </text>
    </comment>
    <comment ref="S1054" authorId="0" shapeId="0" xr:uid="{4DC99644-D084-4D3E-B856-7F8030E6F0CD}">
      <text>
        <r>
          <rPr>
            <b/>
            <sz val="14"/>
            <color indexed="81"/>
            <rFont val="Tahoma"/>
            <family val="2"/>
          </rPr>
          <t xml:space="preserve">NOTE:
</t>
        </r>
        <r>
          <rPr>
            <sz val="14"/>
            <color indexed="81"/>
            <rFont val="Tahoma"/>
            <family val="2"/>
          </rPr>
          <t xml:space="preserve">As a tax </t>
        </r>
        <r>
          <rPr>
            <u/>
            <sz val="14"/>
            <color indexed="81"/>
            <rFont val="Tahoma"/>
            <family val="2"/>
          </rPr>
          <t>credit</t>
        </r>
        <r>
          <rPr>
            <sz val="14"/>
            <color indexed="81"/>
            <rFont val="Tahoma"/>
            <family val="2"/>
          </rPr>
          <t>, the ITC is only usable by project owners with positive federal income tax liability.  
In cases where the owner's tax liability in the calendar year of the project's first commercial operation exceeds the ITC amount, the user may enter 100% in this field and assume full utilization of the ITC.
If the owner's tax liability is less than the available ITC, the user may either enter a % value less than 100% or select the "carried forward" method in the "Tax Benefits used as generated or carried forward?" cell.  
Input must be between 0% and 100%.</t>
        </r>
        <r>
          <rPr>
            <sz val="8"/>
            <color indexed="81"/>
            <rFont val="Tahoma"/>
            <family val="2"/>
          </rPr>
          <t xml:space="preserve">
</t>
        </r>
      </text>
    </comment>
    <comment ref="I1055" authorId="1" shapeId="0" xr:uid="{63812017-7540-43A9-933A-241D7FCBDABF}">
      <text>
        <r>
          <rPr>
            <b/>
            <sz val="14"/>
            <color indexed="81"/>
            <rFont val="Tahoma"/>
            <family val="2"/>
          </rPr>
          <t>Note:</t>
        </r>
        <r>
          <rPr>
            <sz val="14"/>
            <color indexed="81"/>
            <rFont val="Tahoma"/>
            <family val="2"/>
          </rPr>
          <t xml:space="preserve">
The total system cost is a calculation, based on the level of detail selected and the assocated inputs.
</t>
        </r>
      </text>
    </comment>
    <comment ref="S1055" authorId="0" shapeId="0" xr:uid="{7F33A9CE-B74F-4613-ABE5-0CDEBD286803}">
      <text>
        <r>
          <rPr>
            <b/>
            <sz val="14"/>
            <color indexed="81"/>
            <rFont val="Tahoma"/>
            <family val="2"/>
          </rPr>
          <t xml:space="preserve">Note:
</t>
        </r>
        <r>
          <rPr>
            <sz val="14"/>
            <color indexed="81"/>
            <rFont val="Tahoma"/>
            <family val="2"/>
          </rPr>
          <t xml:space="preserve">Calculates the dollar value of the Investment Tax Credit or Cash Grant, if applicable.
</t>
        </r>
      </text>
    </comment>
    <comment ref="I1056" authorId="1" shapeId="0" xr:uid="{3F1C0E4E-D46F-48C8-90A3-165B1700A3BD}">
      <text>
        <r>
          <rPr>
            <b/>
            <sz val="14"/>
            <color indexed="81"/>
            <rFont val="Tahoma"/>
            <family val="2"/>
          </rPr>
          <t>Note:</t>
        </r>
        <r>
          <rPr>
            <sz val="14"/>
            <color indexed="81"/>
            <rFont val="Tahoma"/>
            <family val="2"/>
          </rPr>
          <t xml:space="preserve">
Calculation based on the total system cost in the cell above and the system size reported. Typical costs (as of 2010) fall between $2,000/kW and $3,000/kW.</t>
        </r>
        <r>
          <rPr>
            <sz val="8"/>
            <color indexed="81"/>
            <rFont val="Tahoma"/>
            <family val="2"/>
          </rPr>
          <t xml:space="preserve">
</t>
        </r>
      </text>
    </comment>
    <comment ref="S1056" authorId="0" shapeId="0" xr:uid="{EDF3C941-48B5-4AC8-86D3-25FA374938B2}">
      <text>
        <r>
          <rPr>
            <b/>
            <sz val="14"/>
            <color indexed="81"/>
            <rFont val="Tahoma"/>
            <family val="2"/>
          </rPr>
          <t xml:space="preserve">Note: </t>
        </r>
        <r>
          <rPr>
            <sz val="14"/>
            <color indexed="81"/>
            <rFont val="Tahoma"/>
            <family val="2"/>
          </rPr>
          <t xml:space="preserve">
This input cell, the "Performance Based Incentive" or "PBI" is another potential incentive available to some specific projects. The PBI would be separate from a feed-in-tariff, but acts similarly in that it is per unit of production (typically kWh) income to a project.
Some examples of PBIs include the Federal Production Tax Credit (applicable to private projects with tax appetites) and the Federal Renewable Energy Production Incentive (REPI), historically available to some public projects.
</t>
        </r>
      </text>
    </comment>
    <comment ref="I1057" authorId="1" shapeId="0" xr:uid="{3828A4FD-D06E-497D-9661-701D014598B3}">
      <text>
        <r>
          <rPr>
            <b/>
            <sz val="14"/>
            <color indexed="81"/>
            <rFont val="Tahoma"/>
            <family val="2"/>
          </rPr>
          <t xml:space="preserve">Note:
</t>
        </r>
        <r>
          <rPr>
            <sz val="14"/>
            <color indexed="81"/>
            <rFont val="Tahoma"/>
            <family val="2"/>
          </rPr>
          <t xml:space="preserve">This cell calculates the total of all applicable grants, excluding the payment in lieu of the Federal ITC (also known as the ITC Cash Grant, or Cash Grant), if applicable.  The ITC Cash Grant is considered separately because unlike grants issued upfront and used to offset capital costs, the ITC Cash Grant is disbursed approxiamtely 60 days after the start of commercial operations and therefore becomes an integral part of the project's financing.
Where grants are treated as taxable income, this cell calculates the after-tax impact on the total cost of the project.
  </t>
        </r>
        <r>
          <rPr>
            <sz val="8"/>
            <color indexed="81"/>
            <rFont val="Tahoma"/>
            <family val="2"/>
          </rPr>
          <t xml:space="preserve">
</t>
        </r>
      </text>
    </comment>
    <comment ref="S1057" authorId="0" shapeId="0" xr:uid="{08567473-E87B-49AB-9222-C9BA8C433A95}">
      <text>
        <r>
          <rPr>
            <b/>
            <sz val="14"/>
            <color indexed="81"/>
            <rFont val="Tahoma"/>
            <family val="2"/>
          </rPr>
          <t xml:space="preserve">Note: </t>
        </r>
        <r>
          <rPr>
            <sz val="14"/>
            <color indexed="81"/>
            <rFont val="Tahoma"/>
            <family val="2"/>
          </rPr>
          <t xml:space="preserve">
This cell denotes the value of the Performance Based Incentive applicable to the project's first year of commercial operation. In some cases, this value will need to be calculated external to the model if such PBI is derived from a "base year" and specified inflation index. The following cells can be used to account for inflation and the maximum term of eligibility.
Input cannot be less than zero.
</t>
        </r>
      </text>
    </comment>
    <comment ref="I1058" authorId="1" shapeId="0" xr:uid="{E3F69FD8-1382-4C52-8D97-44F4713FB545}">
      <text>
        <r>
          <rPr>
            <b/>
            <sz val="14"/>
            <color indexed="81"/>
            <rFont val="Tahoma"/>
            <family val="2"/>
          </rPr>
          <t>Note:</t>
        </r>
        <r>
          <rPr>
            <sz val="14"/>
            <color indexed="81"/>
            <rFont val="Tahoma"/>
            <family val="2"/>
          </rPr>
          <t xml:space="preserve">
Calculation of total project cost net applicable grants. 
</t>
        </r>
      </text>
    </comment>
    <comment ref="S1058" authorId="0" shapeId="0" xr:uid="{979E3FDD-4D17-4A51-967D-60D90A63B83F}">
      <text>
        <r>
          <rPr>
            <b/>
            <sz val="14"/>
            <color indexed="81"/>
            <rFont val="Tahoma"/>
            <family val="2"/>
          </rPr>
          <t>Note:</t>
        </r>
        <r>
          <rPr>
            <sz val="14"/>
            <color indexed="81"/>
            <rFont val="Tahoma"/>
            <family val="2"/>
          </rPr>
          <t xml:space="preserve">
This is the length of time that a project would be eligible for any Performance Based Incentives outlined in the cell immediately above. For example, the Federal Renewable Energy Production Incentive and Production Tax Credit incentives are available for the first 10 years of project operation.
Input cannot be less than zero.
</t>
        </r>
      </text>
    </comment>
    <comment ref="I1059" authorId="1" shapeId="0" xr:uid="{6BB5F313-7BCE-4089-AB94-6E75C70180A8}">
      <text>
        <r>
          <rPr>
            <b/>
            <sz val="14"/>
            <color indexed="81"/>
            <rFont val="Tahoma"/>
            <family val="2"/>
          </rPr>
          <t xml:space="preserve">Note:
</t>
        </r>
        <r>
          <rPr>
            <sz val="14"/>
            <color indexed="81"/>
            <rFont val="Tahoma"/>
            <family val="2"/>
          </rPr>
          <t xml:space="preserve">Calculation, based on net project cost and total installed capacity. 
</t>
        </r>
      </text>
    </comment>
    <comment ref="S1059" authorId="0" shapeId="0" xr:uid="{0350D07C-8567-4130-AA1C-32C7FB677104}">
      <text>
        <r>
          <rPr>
            <b/>
            <sz val="14"/>
            <color indexed="81"/>
            <rFont val="Tahoma"/>
            <family val="2"/>
          </rPr>
          <t xml:space="preserve">Note:
</t>
        </r>
        <r>
          <rPr>
            <sz val="14"/>
            <color indexed="81"/>
            <rFont val="Tahoma"/>
            <family val="2"/>
          </rPr>
          <t xml:space="preserve">Performance Based Incentives are often adjusted to account for inflation. For example, the Federal Production Tax Credit (PTC) is adjusted each year to account for changes in the GDP IPD index. This cell can be used as a proxy for the inflation that would apply to any PBI incentive entered above.
This input cannot be left blank.
</t>
        </r>
        <r>
          <rPr>
            <sz val="8"/>
            <color indexed="81"/>
            <rFont val="Tahoma"/>
            <family val="2"/>
          </rPr>
          <t xml:space="preserve">
</t>
        </r>
      </text>
    </comment>
    <comment ref="S1060" authorId="0" shapeId="0" xr:uid="{C5D137A3-CB1C-4477-8835-F4F315FA4B80}">
      <text>
        <r>
          <rPr>
            <b/>
            <sz val="14"/>
            <color indexed="81"/>
            <rFont val="Tahoma"/>
            <family val="2"/>
          </rPr>
          <t xml:space="preserve">Note:
</t>
        </r>
        <r>
          <rPr>
            <sz val="14"/>
            <color indexed="81"/>
            <rFont val="Tahoma"/>
            <family val="2"/>
          </rPr>
          <t>In some cases, due to the nature of the requirements of some Performance Based Incentive programs, project owners are unable to maximize the full revenue stream of the incentive. For example, in the case of the Federal Production Tax Credit (PTC), the project owner may not have sufficienct tax appetite to fully utilize the tax credits. 
This input cell would allow the modeler to account for the owner's inability to fully utilize the PTC and/or the reduction of the PTC (a "haircut") due to the presence of subsidized (below market interest rate) financing.
Incentive "availability" will likely be a factor if this cell is being used to model the cash-based Renewable Energy Production Incentive (REPI).  The REPI program has historically been underfunded; available monies are allocated pro rata among eligible projects.  In this case, the value entered in this cell should reflect the user's expectation of the fraction of the face value REPI payment that will be available over the applicable incentive term.
Input must be between 0% to 100%.</t>
        </r>
      </text>
    </comment>
    <comment ref="F1061" authorId="0" shapeId="0" xr:uid="{05062B02-C5D5-4E01-810C-3113D6316315}">
      <text>
        <r>
          <rPr>
            <b/>
            <sz val="8"/>
            <color indexed="81"/>
            <rFont val="Tahoma"/>
            <family val="2"/>
          </rPr>
          <t>See "unit" definitions at the bottom of this worksheet.</t>
        </r>
        <r>
          <rPr>
            <sz val="8"/>
            <color indexed="81"/>
            <rFont val="Tahoma"/>
            <family val="2"/>
          </rPr>
          <t xml:space="preserve">
</t>
        </r>
      </text>
    </comment>
    <comment ref="S1061" authorId="0" shapeId="0" xr:uid="{AC964E9E-93A6-48A1-B884-DCB6B4F31FFF}">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I1062" authorId="0" shapeId="0" xr:uid="{CA9E12DE-84D3-4787-9C14-E09AB006A1E1}">
      <text>
        <r>
          <rPr>
            <b/>
            <sz val="14"/>
            <color indexed="81"/>
            <rFont val="Tahoma"/>
            <family val="2"/>
          </rPr>
          <t>Note:</t>
        </r>
        <r>
          <rPr>
            <sz val="14"/>
            <color indexed="81"/>
            <rFont val="Tahoma"/>
            <family val="2"/>
          </rPr>
          <t xml:space="preserve">
Select either "Simple" or "Intermediate" O&amp;M expense detail using the drop-down menu to the right.
</t>
        </r>
        <r>
          <rPr>
            <sz val="8"/>
            <color indexed="81"/>
            <rFont val="Tahoma"/>
            <family val="2"/>
          </rPr>
          <t xml:space="preserve">
</t>
        </r>
      </text>
    </comment>
    <comment ref="I1063" authorId="1" shapeId="0" xr:uid="{7338956E-D5CF-40FB-94C8-B5E3310C4791}">
      <text>
        <r>
          <rPr>
            <b/>
            <sz val="14"/>
            <color indexed="81"/>
            <rFont val="Tahoma"/>
            <family val="2"/>
          </rPr>
          <t>Note:</t>
        </r>
        <r>
          <rPr>
            <sz val="14"/>
            <color indexed="81"/>
            <rFont val="Tahoma"/>
            <family val="2"/>
          </rPr>
          <t xml:space="preserve">
If "Simple" is selected in the cell above, then this input should reflect the </t>
        </r>
        <r>
          <rPr>
            <b/>
            <u/>
            <sz val="14"/>
            <color indexed="81"/>
            <rFont val="Tahoma"/>
            <family val="2"/>
          </rPr>
          <t>total</t>
        </r>
        <r>
          <rPr>
            <sz val="14"/>
            <color indexed="81"/>
            <rFont val="Tahoma"/>
            <family val="2"/>
          </rPr>
          <t xml:space="preserve"> expected </t>
        </r>
        <r>
          <rPr>
            <b/>
            <u/>
            <sz val="14"/>
            <color indexed="81"/>
            <rFont val="Tahoma"/>
            <family val="2"/>
          </rPr>
          <t>fixed</t>
        </r>
        <r>
          <rPr>
            <sz val="14"/>
            <color indexed="81"/>
            <rFont val="Tahoma"/>
            <family val="2"/>
          </rPr>
          <t xml:space="preserve"> cost of project operations and maintenance, in $/kW-yr.  This </t>
        </r>
        <r>
          <rPr>
            <u/>
            <sz val="14"/>
            <color indexed="81"/>
            <rFont val="Tahoma"/>
            <family val="2"/>
          </rPr>
          <t>includes</t>
        </r>
        <r>
          <rPr>
            <sz val="14"/>
            <color indexed="81"/>
            <rFont val="Tahoma"/>
            <family val="2"/>
          </rPr>
          <t xml:space="preserve"> the insurance, project management, property tax (or payment in lieu thereof), land lease, and royalty expenses which would have been broken out separately in the "Intermediate" case.  Other labor and spare parts should also be included in this estimate.
If the user has obtained O&amp;M expense estimates from a third-party, it is critical to understand which costs have been included.  If the user is not certain that all of the above-listed expenses are included in the fixed cost estimate, then the "Intermediate" approach should be used and these expenses should be entered separately.
If "Intermediate" is selected, then this input should reflect  the expected annual fixed O&amp;M cost before taking into account the additional listed expenses, which are entered below. 
In all cases, fixed O&amp;M would include - among others - the ongoing cost of obtaining daily, weekly or monthly production estimates based on weather and other factors.
Input value must be greater than zero. 
</t>
        </r>
      </text>
    </comment>
    <comment ref="S1063" authorId="1" shapeId="0" xr:uid="{35616ADD-ED6B-4045-A954-614535BDE108}">
      <text>
        <r>
          <rPr>
            <b/>
            <sz val="14"/>
            <color indexed="81"/>
            <rFont val="Tahoma"/>
            <family val="2"/>
          </rPr>
          <t xml:space="preserve">Note:
</t>
        </r>
        <r>
          <rPr>
            <sz val="14"/>
            <color indexed="81"/>
            <rFont val="Tahoma"/>
            <family val="2"/>
          </rPr>
          <t xml:space="preserve">Some renewable energy projects may be eligible for other federal grants as well, such as funding from the U.S. Department of Agriculture. This input cell can be used to capture those funding opportunities, some of which are outlined online at:
http://dsireusa.org/incentives/index.cfm?state=us&amp;re=1&amp;EE=1
*See bottom of introduction page for a list of links
Input cannot be less than zero.
</t>
        </r>
      </text>
    </comment>
    <comment ref="I1064" authorId="1" shapeId="0" xr:uid="{D52272C5-487C-4598-ACB3-0041EBB5C16F}">
      <text>
        <r>
          <rPr>
            <b/>
            <sz val="14"/>
            <color indexed="81"/>
            <rFont val="Tahoma"/>
            <family val="2"/>
          </rPr>
          <t>Note:</t>
        </r>
        <r>
          <rPr>
            <sz val="14"/>
            <color indexed="81"/>
            <rFont val="Tahoma"/>
            <family val="2"/>
          </rPr>
          <t xml:space="preserve">
This cell provides the user with the option of accounting for O&amp;M expenses (such as labor and spare parts) which are more easily estimated and modeled on a variable, cents per kWh basis.  
If "Simple" is selected above, then this cell should also take into account variable costs, such as royalties, </t>
        </r>
        <r>
          <rPr>
            <b/>
            <u/>
            <sz val="14"/>
            <color indexed="81"/>
            <rFont val="Tahoma"/>
            <family val="2"/>
          </rPr>
          <t>if</t>
        </r>
        <r>
          <rPr>
            <sz val="14"/>
            <color indexed="81"/>
            <rFont val="Tahoma"/>
            <family val="2"/>
          </rPr>
          <t xml:space="preserve"> such annual expenses are not already accounted for in the fixed cost input above.
Input cannot be less than zero.
</t>
        </r>
      </text>
    </comment>
    <comment ref="S1064" authorId="0" shapeId="0" xr:uid="{E9A2B012-6599-4998-8A7F-3A0A5CC3E038}">
      <text>
        <r>
          <rPr>
            <b/>
            <sz val="14"/>
            <color indexed="81"/>
            <rFont val="Tahoma"/>
            <family val="2"/>
          </rPr>
          <t xml:space="preserve">Note:
</t>
        </r>
        <r>
          <rPr>
            <sz val="14"/>
            <color indexed="81"/>
            <rFont val="Tahoma"/>
            <family val="2"/>
          </rPr>
          <t xml:space="preserve">Select here whether federal grants (other than the section 1603 payment in lieu of the ITC/PTC) are treated as taxable income. If no, depreciation basis is reduced. 
</t>
        </r>
      </text>
    </comment>
    <comment ref="I1065" authorId="0" shapeId="0" xr:uid="{7422CE24-8D2E-4221-8CA1-68C05B500C47}">
      <text>
        <r>
          <rPr>
            <b/>
            <sz val="14"/>
            <color indexed="81"/>
            <rFont val="Tahoma"/>
            <family val="2"/>
          </rPr>
          <t>Note:</t>
        </r>
        <r>
          <rPr>
            <sz val="14"/>
            <color indexed="81"/>
            <rFont val="Tahoma"/>
            <family val="2"/>
          </rPr>
          <t xml:space="preserve">
This inflation rate applies to both fixed and variable O&amp;M expense, insurance, and project management costs entered above, if applicable. 
The model allows the user to specify an inflation assumption for an "initial period" and a second inflation assumption "thereafter." These inputs can be used to account for inflation which might be fixed during an initial O&amp;M service contract, but are unknown thereafter.  The final year of the "initial period" is  user-defined (e.g. final year of an O&amp;M service contract). 
The purpose of this feature is also to recognize that inflationary trends may change over time, or that some projects may not expect inflation of O&amp;M expenses for the first several years, but may expect inflation thereafter.
This inflation rate does not apply to PILOT or Royalty costs. Input cannot be less than zero.
</t>
        </r>
      </text>
    </comment>
    <comment ref="I1066" authorId="0" shapeId="0" xr:uid="{772924E5-D584-4384-914C-2BE15B0CF87A}">
      <text>
        <r>
          <rPr>
            <b/>
            <sz val="14"/>
            <color indexed="81"/>
            <rFont val="Tahoma"/>
            <family val="2"/>
          </rPr>
          <t xml:space="preserve">Note:
</t>
        </r>
        <r>
          <rPr>
            <sz val="14"/>
            <color indexed="81"/>
            <rFont val="Tahoma"/>
            <family val="2"/>
          </rPr>
          <t xml:space="preserve">This feature allows the user to assume that the rate at which expenses change over time is not constant. This cell provides the year in which the first inflation period ends.
Input cannot be less than zero.
</t>
        </r>
      </text>
    </comment>
    <comment ref="P1066" authorId="0" shapeId="0" xr:uid="{CA121ED2-0E20-4B36-8DA2-D48986CD9C13}">
      <text>
        <r>
          <rPr>
            <b/>
            <sz val="8"/>
            <color indexed="81"/>
            <rFont val="Tahoma"/>
            <family val="2"/>
          </rPr>
          <t>See "unit" definitions at the bottom of this worksheet.</t>
        </r>
        <r>
          <rPr>
            <sz val="8"/>
            <color indexed="81"/>
            <rFont val="Tahoma"/>
            <family val="2"/>
          </rPr>
          <t xml:space="preserve">
</t>
        </r>
      </text>
    </comment>
    <comment ref="I1067" authorId="0" shapeId="0" xr:uid="{EE8AADEF-888A-48AA-AB30-17EFDBA21995}">
      <text>
        <r>
          <rPr>
            <b/>
            <sz val="14"/>
            <color indexed="81"/>
            <rFont val="Tahoma"/>
            <family val="2"/>
          </rPr>
          <t xml:space="preserve">Note:
</t>
        </r>
        <r>
          <rPr>
            <sz val="14"/>
            <color indexed="81"/>
            <rFont val="Tahoma"/>
            <family val="2"/>
          </rPr>
          <t xml:space="preserve">This cell provides the inflation rate for the remainder of the project's useful life.
Input must be greater than zero.
</t>
        </r>
      </text>
    </comment>
    <comment ref="S1067" authorId="1" shapeId="0" xr:uid="{08E1EEFD-6BE3-4DC5-956E-89799F2D4BCD}">
      <text>
        <r>
          <rPr>
            <b/>
            <sz val="14"/>
            <color indexed="81"/>
            <rFont val="Tahoma"/>
            <family val="2"/>
          </rPr>
          <t xml:space="preserve">Note:
</t>
        </r>
        <r>
          <rPr>
            <sz val="14"/>
            <color indexed="81"/>
            <rFont val="Tahoma"/>
            <family val="2"/>
          </rPr>
          <t>This drop-down input cell allows the user to specify whether state incentives are cost-based (e.g. an investment tax credit) or performance-based (e.g. a PTC or cash payment). If no state incentive is available or useable by the modeled project, the user will select "Neither." The magnitude and terms of these incentives are set in the cells below.
For more information, a useful resource for researching federal and state incentives online is:  
http://dsireusa.org/
*See bottom of introduction page for a list of links</t>
        </r>
      </text>
    </comment>
    <comment ref="I1068" authorId="1" shapeId="0" xr:uid="{0487B186-AFF1-45F3-A4F5-42A174759BB0}">
      <text>
        <r>
          <rPr>
            <b/>
            <sz val="14"/>
            <color indexed="81"/>
            <rFont val="Tahoma"/>
            <family val="2"/>
          </rPr>
          <t xml:space="preserve">Note:
</t>
        </r>
        <r>
          <rPr>
            <sz val="14"/>
            <color indexed="81"/>
            <rFont val="Tahoma"/>
            <family val="2"/>
          </rPr>
          <t xml:space="preserve">Project owners, or hosts, are required to carry insurance. This input accounts for the estimated cost of insuring the modeled power generating facility.
Input cannot be less than zero.
</t>
        </r>
      </text>
    </comment>
    <comment ref="S1068" authorId="0" shapeId="0" xr:uid="{9ECA0D91-B1CC-45B7-BA9A-42A1FB63B0D6}">
      <text>
        <r>
          <rPr>
            <b/>
            <sz val="14"/>
            <color indexed="81"/>
            <rFont val="Tahoma"/>
            <family val="2"/>
          </rPr>
          <t xml:space="preserve">NOTE:
</t>
        </r>
        <r>
          <rPr>
            <sz val="14"/>
            <color indexed="81"/>
            <rFont val="Tahoma"/>
            <family val="2"/>
          </rPr>
          <t xml:space="preserve">The maximum potential Investment Tax Credit (ITC) benefit is assumed to be 30% of those project costs which are depreciable on the 5-year MACRS schedule.
</t>
        </r>
      </text>
    </comment>
    <comment ref="I1069" authorId="0" shapeId="0" xr:uid="{93E12FCD-3D87-4032-AF89-1B60C8306161}">
      <text>
        <r>
          <rPr>
            <b/>
            <sz val="14"/>
            <color indexed="81"/>
            <rFont val="Tahoma"/>
            <family val="2"/>
          </rPr>
          <t xml:space="preserve">Note:
</t>
        </r>
        <r>
          <rPr>
            <sz val="14"/>
            <color indexed="81"/>
            <rFont val="Tahoma"/>
            <family val="2"/>
          </rPr>
          <t xml:space="preserve">This cell calculates the resulting dollar value cost of insurance based on the input above and the project installed cost (net of financing costs).  It is provided simply as a reference for the user.
</t>
        </r>
        <r>
          <rPr>
            <sz val="8"/>
            <color indexed="81"/>
            <rFont val="Tahoma"/>
            <family val="2"/>
          </rPr>
          <t xml:space="preserve">
</t>
        </r>
      </text>
    </comment>
    <comment ref="S1069" authorId="0" shapeId="0" xr:uid="{D50C35D4-7865-4517-94C7-9F90E131EF68}">
      <text>
        <r>
          <rPr>
            <b/>
            <sz val="14"/>
            <color indexed="81"/>
            <rFont val="Tahoma"/>
            <family val="2"/>
          </rPr>
          <t xml:space="preserve">NOTE:
</t>
        </r>
        <r>
          <rPr>
            <sz val="14"/>
            <color indexed="81"/>
            <rFont val="Tahoma"/>
            <family val="2"/>
          </rPr>
          <t xml:space="preserve">As a tax </t>
        </r>
        <r>
          <rPr>
            <u/>
            <sz val="14"/>
            <color indexed="81"/>
            <rFont val="Tahoma"/>
            <family val="2"/>
          </rPr>
          <t>credit</t>
        </r>
        <r>
          <rPr>
            <sz val="14"/>
            <color indexed="81"/>
            <rFont val="Tahoma"/>
            <family val="2"/>
          </rPr>
          <t>, the ITC is only usable by project owners with positive federal income tax liability.  
In cases where the owner's tax liability in the calendar year of the project's first commercial operation exceeds the ITC amount, the user may enter 100% in this field and assume full utilization of the ITC.
If the owner's tax liability is less than the available ITC, a % less than 100% must be entered in order to represent a less efficient utilization of this federal tax incentive.
Input must be betwee 0% and 100%.</t>
        </r>
      </text>
    </comment>
    <comment ref="I1070" authorId="1" shapeId="0" xr:uid="{0B783F5D-FC19-4B40-88F4-EBD7CC2C5033}">
      <text>
        <r>
          <rPr>
            <b/>
            <sz val="14"/>
            <color indexed="81"/>
            <rFont val="Tahoma"/>
            <family val="2"/>
          </rPr>
          <t>Note:</t>
        </r>
        <r>
          <rPr>
            <sz val="14"/>
            <color indexed="81"/>
            <rFont val="Tahoma"/>
            <family val="2"/>
          </rPr>
          <t xml:space="preserve">
"Project Management" accounts for the cost of staff time related to managing the project's Power Purchase Agreements, grid integration, and periodic reporting to the system operator and policymakers.  
Input cannot be less than zero.
</t>
        </r>
      </text>
    </comment>
    <comment ref="S1070" authorId="0" shapeId="0" xr:uid="{4A1A6E65-1F7C-44F9-B62C-77059C3FCB03}">
      <text>
        <r>
          <rPr>
            <b/>
            <sz val="14"/>
            <color indexed="81"/>
            <rFont val="Tahoma"/>
            <family val="2"/>
          </rPr>
          <t xml:space="preserve">Note:
</t>
        </r>
        <r>
          <rPr>
            <sz val="14"/>
            <color indexed="81"/>
            <rFont val="Tahoma"/>
            <family val="2"/>
          </rPr>
          <t>Specifies whether the available ITC is realized in a single year or over multiple years. This input will be specified by state-specific law or regulation.
A good resource on available state incentives is:  
http://dsireusa.org/
*See bottom of introduction page for a list of links
Input must be greater than 1 and less than the Project Useful Life.</t>
        </r>
      </text>
    </comment>
    <comment ref="I1071" authorId="1" shapeId="0" xr:uid="{322483E3-D8A1-4B7B-AC50-D9E236F22539}">
      <text>
        <r>
          <rPr>
            <b/>
            <sz val="14"/>
            <color indexed="81"/>
            <rFont val="Tahoma"/>
            <family val="2"/>
          </rPr>
          <t xml:space="preserve">Note:
</t>
        </r>
        <r>
          <rPr>
            <sz val="14"/>
            <color indexed="81"/>
            <rFont val="Tahoma"/>
            <family val="2"/>
          </rPr>
          <t xml:space="preserve">"Property Tax or PILOT" accounts for costs associated with any local taxes incurred by the project. Many states offer tax exemptions for renewable energy systems; to check your local applicability, please visit: http://dsireusa.org/ 
This line can also be used to account for any PILOTs or Payment in Leiu of Taxes. Developers often negotiate a PILOT with the local community to secure a fixed, predictable payment that serves both parties appropriately. This model allows the user to input a year-one Property Tax or PILOT value along with an annual property tax adjsutment factor (see next cell down). As a result, taxes can be modeled as flat, increasing, or decreasing annually depending on the value entered in the adjustment factor cell below.
Input cannot be less than zero.
</t>
        </r>
      </text>
    </comment>
    <comment ref="S1071" authorId="0" shapeId="0" xr:uid="{F2EC1278-7123-4BBA-ACF9-06F475C21ADF}">
      <text>
        <r>
          <rPr>
            <b/>
            <sz val="14"/>
            <color indexed="81"/>
            <rFont val="Tahoma"/>
            <family val="2"/>
          </rPr>
          <t xml:space="preserve">Note:
</t>
        </r>
        <r>
          <rPr>
            <sz val="14"/>
            <color indexed="81"/>
            <rFont val="Tahoma"/>
            <family val="2"/>
          </rPr>
          <t xml:space="preserve">Calculates the dollar value of the State Investment Tax Credit, if applicable.
</t>
        </r>
      </text>
    </comment>
    <comment ref="I1072" authorId="1" shapeId="0" xr:uid="{976EB8D9-AAB4-4343-AA2F-CB98E7586283}">
      <text>
        <r>
          <rPr>
            <b/>
            <sz val="14"/>
            <color indexed="81"/>
            <rFont val="Tahoma"/>
            <family val="2"/>
          </rPr>
          <t xml:space="preserve">Note:
</t>
        </r>
        <r>
          <rPr>
            <sz val="14"/>
            <color indexed="81"/>
            <rFont val="Tahoma"/>
            <family val="2"/>
          </rPr>
          <t xml:space="preserve">The Annual Property Tax Adjustment Factor allows the user to specify whether the Year One tax (or PILOT) value will remain fixed and flat, will decrease (a negative percentage value entered in this cell) or increase (a positive percentage value entered in this cell) over time.  </t>
        </r>
        <r>
          <rPr>
            <sz val="8"/>
            <color indexed="81"/>
            <rFont val="Tahoma"/>
            <family val="2"/>
          </rPr>
          <t xml:space="preserve">
</t>
        </r>
      </text>
    </comment>
    <comment ref="S1072" authorId="0" shapeId="0" xr:uid="{37B05529-0986-45B2-BFB2-38C6C5A6A1D3}">
      <text>
        <r>
          <rPr>
            <b/>
            <sz val="14"/>
            <color indexed="81"/>
            <rFont val="Tahoma"/>
            <family val="2"/>
          </rPr>
          <t xml:space="preserve">Note: </t>
        </r>
        <r>
          <rPr>
            <sz val="14"/>
            <color indexed="81"/>
            <rFont val="Tahoma"/>
            <family val="2"/>
          </rPr>
          <t xml:space="preserve">
This input cell, the "Performance Based Incentive" or "PBI" is another potential incentive available to some specific projects. The PBI would be separate from a feed-in-tariff, but acts similarly in that it is per unit of production (typically kWh) income to a project.
Some examples of PBIs include the Federal Production Tax Credit (applicable to private projects with tax appetites) and the Federal Renewable Energy Production Incentive (REPI), historically available to some public projects.
</t>
        </r>
      </text>
    </comment>
    <comment ref="I1073" authorId="1" shapeId="0" xr:uid="{F52366E3-97FE-4EB6-AE3E-10F8E9A520D2}">
      <text>
        <r>
          <rPr>
            <b/>
            <sz val="14"/>
            <color indexed="81"/>
            <rFont val="Tahoma"/>
            <family val="2"/>
          </rPr>
          <t xml:space="preserve">Note:
</t>
        </r>
        <r>
          <rPr>
            <sz val="14"/>
            <color indexed="81"/>
            <rFont val="Tahoma"/>
            <family val="2"/>
          </rPr>
          <t xml:space="preserve">The Land Lease input represents </t>
        </r>
        <r>
          <rPr>
            <b/>
            <u/>
            <sz val="14"/>
            <color indexed="81"/>
            <rFont val="Tahoma"/>
            <family val="2"/>
          </rPr>
          <t>fixed payments</t>
        </r>
        <r>
          <rPr>
            <sz val="14"/>
            <color indexed="81"/>
            <rFont val="Tahoma"/>
            <family val="2"/>
          </rPr>
          <t xml:space="preserve"> to the site host (and possibly other affected parties) for the use of the land on which the project is located.  
Variable royalty payments may be applied in addition to, or in lieu of, the land lease payment through the "Royalties" input below, if applicable.  
Input cannot be less than zero.
</t>
        </r>
      </text>
    </comment>
    <comment ref="S1073" authorId="0" shapeId="0" xr:uid="{E4606818-D063-486C-BE58-F5F279F1D822}">
      <text>
        <r>
          <rPr>
            <b/>
            <sz val="14"/>
            <color indexed="81"/>
            <rFont val="Tahoma"/>
            <family val="2"/>
          </rPr>
          <t xml:space="preserve">Note:
</t>
        </r>
        <r>
          <rPr>
            <sz val="14"/>
            <color indexed="81"/>
            <rFont val="Tahoma"/>
            <family val="2"/>
          </rPr>
          <t xml:space="preserve">Impacts tax treatment of PBI if owner is a taxable entity.
</t>
        </r>
      </text>
    </comment>
    <comment ref="I1074" authorId="1" shapeId="0" xr:uid="{E67DD4EC-0413-4CBB-87B2-65F40533566E}">
      <text>
        <r>
          <rPr>
            <b/>
            <sz val="14"/>
            <color indexed="81"/>
            <rFont val="Tahoma"/>
            <family val="2"/>
          </rPr>
          <t xml:space="preserve">Note:
</t>
        </r>
        <r>
          <rPr>
            <sz val="14"/>
            <color indexed="81"/>
            <rFont val="Tahoma"/>
            <family val="2"/>
          </rPr>
          <t xml:space="preserve">The royalties input accounts for </t>
        </r>
        <r>
          <rPr>
            <b/>
            <u/>
            <sz val="14"/>
            <color indexed="81"/>
            <rFont val="Tahoma"/>
            <family val="2"/>
          </rPr>
          <t>variable</t>
        </r>
        <r>
          <rPr>
            <sz val="14"/>
            <color indexed="81"/>
            <rFont val="Tahoma"/>
            <family val="2"/>
          </rPr>
          <t xml:space="preserve"> payments to site hosts, neighbors, partners, or other parties which may have a stake in the project and which are NOT covered by the fixed "Land Lease" payment. 
Fixed payments may be applied in addition to, or in lieu of, the royalty payment through the "Land Lease" input above, if applicable.  
</t>
        </r>
        <r>
          <rPr>
            <b/>
            <sz val="14"/>
            <color indexed="81"/>
            <rFont val="Tahoma"/>
            <family val="2"/>
          </rPr>
          <t>Inflation is NOT applied to this input</t>
        </r>
        <r>
          <rPr>
            <sz val="14"/>
            <color indexed="81"/>
            <rFont val="Tahoma"/>
            <family val="2"/>
          </rPr>
          <t xml:space="preserve">. However, if tariff escalation is selected, then the assumed royalty payment will increase over time since it is calculated as a function of revenue over time.
If the modeled project's royalty payments are not the same over time, then an average annual royalty payment should be calculated externally and entered in this cell. 
This input cannot be less than zero.
</t>
        </r>
        <r>
          <rPr>
            <sz val="8"/>
            <color indexed="81"/>
            <rFont val="Tahoma"/>
            <family val="2"/>
          </rPr>
          <t xml:space="preserve">
</t>
        </r>
      </text>
    </comment>
    <comment ref="S1074" authorId="0" shapeId="0" xr:uid="{598C114F-4FE0-4FB0-9A5B-7CEC5272706C}">
      <text>
        <r>
          <rPr>
            <b/>
            <sz val="14"/>
            <color indexed="81"/>
            <rFont val="Tahoma"/>
            <family val="2"/>
          </rPr>
          <t xml:space="preserve">Note: </t>
        </r>
        <r>
          <rPr>
            <sz val="14"/>
            <color indexed="81"/>
            <rFont val="Tahoma"/>
            <family val="2"/>
          </rPr>
          <t xml:space="preserve">
This cell denotes the value of the Performance Based Incentive applicable to the project's first year of commercial operation. In some cases, this value will need to be calculated external to the model if such PBI is derived from a "base year" and specified inflation index. The following cells can be used to account for inflation and the maximum term of eligibility.
Input cannot be less than zero.
</t>
        </r>
      </text>
    </comment>
    <comment ref="I1075" authorId="0" shapeId="0" xr:uid="{E44D07B6-9ACC-442B-9A55-675A6A8848B3}">
      <text>
        <r>
          <rPr>
            <b/>
            <sz val="14"/>
            <color indexed="81"/>
            <rFont val="Tahoma"/>
            <family val="2"/>
          </rPr>
          <t xml:space="preserve">Note:
</t>
        </r>
        <r>
          <rPr>
            <sz val="14"/>
            <color indexed="81"/>
            <rFont val="Tahoma"/>
            <family val="2"/>
          </rPr>
          <t xml:space="preserve">This cell calculates the resulting dollar value cost of royalties paid to landowners or other stakeholders based on the input above and project revenue.  It is provided simply as a reference for the user.
</t>
        </r>
        <r>
          <rPr>
            <sz val="8"/>
            <color indexed="81"/>
            <rFont val="Tahoma"/>
            <family val="2"/>
          </rPr>
          <t xml:space="preserve">
</t>
        </r>
      </text>
    </comment>
    <comment ref="S1075" authorId="0" shapeId="0" xr:uid="{60F62F77-B13A-4EE2-957C-36BC2F2355A4}">
      <text>
        <r>
          <rPr>
            <b/>
            <sz val="14"/>
            <color indexed="81"/>
            <rFont val="Tahoma"/>
            <family val="2"/>
          </rPr>
          <t>Note:</t>
        </r>
        <r>
          <rPr>
            <sz val="14"/>
            <color indexed="81"/>
            <rFont val="Tahoma"/>
            <family val="2"/>
          </rPr>
          <t xml:space="preserve">
This is the length of time that a project would be eligible for any Performance Based Incentives outlined in the cell immediately above. For example, the Federal Renewable Energy Production Incentive and Production Tax Credit incentives are available for the first 10 years of project operation.
Input cannot be less than zero.
</t>
        </r>
      </text>
    </comment>
    <comment ref="S1076" authorId="0" shapeId="0" xr:uid="{9338E824-E43E-4AB7-B26E-08E6ECCF8C8D}">
      <text>
        <r>
          <rPr>
            <b/>
            <sz val="14"/>
            <color indexed="81"/>
            <rFont val="Tahoma"/>
            <family val="2"/>
          </rPr>
          <t xml:space="preserve">Note:
</t>
        </r>
        <r>
          <rPr>
            <sz val="14"/>
            <color indexed="81"/>
            <rFont val="Tahoma"/>
            <family val="2"/>
          </rPr>
          <t xml:space="preserve">Performance Based Incentives are often adjusted to account for inflation. For example, the Federal Production Tax Credit (PTC) is adjusted each year to account for changes in the GDP IPD index. This cell can be used as a proxy for the inflation that would apply to any PBI incentive entered above.
This input cannot be left blank.
</t>
        </r>
      </text>
    </comment>
    <comment ref="F1077" authorId="0" shapeId="0" xr:uid="{709634B7-304A-4D61-A6BC-E276A185E87A}">
      <text>
        <r>
          <rPr>
            <b/>
            <sz val="8"/>
            <color indexed="81"/>
            <rFont val="Tahoma"/>
            <family val="2"/>
          </rPr>
          <t>See "unit" definitions at the bottom of this worksheet.</t>
        </r>
        <r>
          <rPr>
            <sz val="8"/>
            <color indexed="81"/>
            <rFont val="Tahoma"/>
            <family val="2"/>
          </rPr>
          <t xml:space="preserve">
</t>
        </r>
      </text>
    </comment>
    <comment ref="S1077" authorId="0" shapeId="0" xr:uid="{0D2684DA-B629-420B-8BE2-B81BC0291AC3}">
      <text>
        <r>
          <rPr>
            <b/>
            <sz val="14"/>
            <color indexed="81"/>
            <rFont val="Tahoma"/>
            <family val="2"/>
          </rPr>
          <t xml:space="preserve">Note:
</t>
        </r>
        <r>
          <rPr>
            <sz val="14"/>
            <color indexed="81"/>
            <rFont val="Tahoma"/>
            <family val="2"/>
          </rPr>
          <t xml:space="preserve">In some cases, due to the nature of the requirements of some Performance Based Incentive programs, project owners are unable to maximize the full revenue stream of the incentive. For example, in the case of the Federal Production Tax Credit (PTC), the project owner may not have sufficienct tax appetite to fully utilize the tax credits. 
This input cell would allow the modeler to account for the owner's inability to fully utilize the PTC and/or the reduction of the PTC (a "haircut") due to the presence of subsidized (below market interest rate) financing.
Input must be between 0% and 100%.
</t>
        </r>
        <r>
          <rPr>
            <sz val="8"/>
            <color indexed="81"/>
            <rFont val="Tahoma"/>
            <family val="2"/>
          </rPr>
          <t xml:space="preserve">
</t>
        </r>
      </text>
    </comment>
    <comment ref="I1078" authorId="0" shapeId="0" xr:uid="{F78762FB-4897-4E88-8A13-3EF270FE20A8}">
      <text>
        <r>
          <rPr>
            <b/>
            <sz val="14"/>
            <color indexed="81"/>
            <rFont val="Tahoma"/>
            <family val="2"/>
          </rPr>
          <t xml:space="preserve">Note:
</t>
        </r>
        <r>
          <rPr>
            <sz val="14"/>
            <color indexed="81"/>
            <rFont val="Tahoma"/>
            <family val="2"/>
          </rPr>
          <t xml:space="preserve">The # of months from construction start to commercial operation. This input cannot be less than zero.
</t>
        </r>
      </text>
    </comment>
    <comment ref="S1078" authorId="0" shapeId="0" xr:uid="{DEC98E5C-0EBB-4842-B5AE-0C3ED608F47B}">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I1079" authorId="0" shapeId="0" xr:uid="{05A760B4-77B4-4B39-AB36-510C48E5E2A3}">
      <text>
        <r>
          <rPr>
            <b/>
            <sz val="14"/>
            <color indexed="81"/>
            <rFont val="Tahoma"/>
            <family val="2"/>
          </rPr>
          <t xml:space="preserve">Note:
</t>
        </r>
        <r>
          <rPr>
            <sz val="14"/>
            <color indexed="81"/>
            <rFont val="Tahoma"/>
            <family val="2"/>
          </rPr>
          <t xml:space="preserve">The annual interest rate on construction debt. This input cannot be less than zero.
</t>
        </r>
      </text>
    </comment>
    <comment ref="I1080" authorId="0" shapeId="0" xr:uid="{5A1BADB5-E14E-4C94-904E-16A75CCD1B61}">
      <text>
        <r>
          <rPr>
            <b/>
            <sz val="14"/>
            <color indexed="81"/>
            <rFont val="Tahoma"/>
            <family val="2"/>
          </rPr>
          <t xml:space="preserve">Note:
</t>
        </r>
        <r>
          <rPr>
            <sz val="14"/>
            <color indexed="81"/>
            <rFont val="Tahoma"/>
            <family val="2"/>
          </rPr>
          <t xml:space="preserve">A calculated value showing the interest accrued during the construction period. Rather than requiring the user to define a detailed construction draw-down schedule, this calculation makes the simplifying assumption that the total project cost is spent in equal parts in each month of the construction period.
IDC is calculated on total project cost, assuming that any grants are collected after construction financing is repaid at time of permanent financing.
This cell is only used with the "Intermediate" and "Complex" capital cost options. The "Simple" capital cost option assumes that all project costs, including IDC, are included in the single input.
</t>
        </r>
      </text>
    </comment>
    <comment ref="S1080" authorId="0" shapeId="0" xr:uid="{5B2E6956-DA9E-4F28-8399-E27C5E02F2BA}">
      <text>
        <r>
          <rPr>
            <b/>
            <sz val="14"/>
            <color indexed="81"/>
            <rFont val="Tahoma"/>
            <family val="2"/>
          </rPr>
          <t xml:space="preserve">Note:
</t>
        </r>
        <r>
          <rPr>
            <sz val="14"/>
            <color indexed="81"/>
            <rFont val="Tahoma"/>
            <family val="2"/>
          </rPr>
          <t xml:space="preserve">Include here the total dollar value of any state-specific cash grants or rebates.
Input cannot be less than zero.
</t>
        </r>
      </text>
    </comment>
    <comment ref="S1081" authorId="0" shapeId="0" xr:uid="{96588A94-1D32-45DB-9C1F-3438DBBE72B9}">
      <text>
        <r>
          <rPr>
            <b/>
            <sz val="14"/>
            <color indexed="81"/>
            <rFont val="Tahoma"/>
            <family val="2"/>
          </rPr>
          <t xml:space="preserve">Note:
</t>
        </r>
        <r>
          <rPr>
            <sz val="14"/>
            <color indexed="81"/>
            <rFont val="Tahoma"/>
            <family val="2"/>
          </rPr>
          <t xml:space="preserve">Select here whether state grants are treated as taxable income.  If no, depreciation basis is reduced. 
</t>
        </r>
      </text>
    </comment>
    <comment ref="F1082" authorId="0" shapeId="0" xr:uid="{A6572DF9-A3D4-4BC7-AFBE-47A5FF883D7F}">
      <text>
        <r>
          <rPr>
            <b/>
            <sz val="8"/>
            <color indexed="81"/>
            <rFont val="Tahoma"/>
            <family val="2"/>
          </rPr>
          <t>See "unit" definitions at the bottom of this worksheet.</t>
        </r>
        <r>
          <rPr>
            <sz val="8"/>
            <color indexed="81"/>
            <rFont val="Tahoma"/>
            <family val="2"/>
          </rPr>
          <t xml:space="preserve">
</t>
        </r>
      </text>
    </comment>
    <comment ref="I1083" authorId="0" shapeId="0" xr:uid="{275CCEAE-BF6B-4F0B-AB90-3EC01E0FB921}">
      <text>
        <r>
          <rPr>
            <b/>
            <sz val="14"/>
            <color indexed="81"/>
            <rFont val="Tahoma"/>
            <family val="2"/>
          </rPr>
          <t xml:space="preserve">Note:
</t>
        </r>
        <r>
          <rPr>
            <sz val="14"/>
            <color indexed="81"/>
            <rFont val="Tahoma"/>
            <family val="2"/>
          </rPr>
          <t xml:space="preserve">For ease of use and comprehension by a wide range of stakeholders, this model allows the user to define the capital structure, and relies on mortgage-style amortization of the project debt. The "% Debt" input specifies the portion of funds borrowed, as a percentage of the total "hard costs." Equity is assumed to fund the remaining hard costs PLUS all "soft costs" (e.g. transaction costs and funding of initial reserve accounts, if applicable).  This input cannot be less than zero.
Where maximum sustainable leverage is desired, the user must manually adjust the "% Debt" entry upward to the highest point </t>
        </r>
        <r>
          <rPr>
            <b/>
            <i/>
            <sz val="14"/>
            <color indexed="81"/>
            <rFont val="Tahoma"/>
            <family val="2"/>
          </rPr>
          <t>before</t>
        </r>
        <r>
          <rPr>
            <sz val="14"/>
            <color indexed="81"/>
            <rFont val="Tahoma"/>
            <family val="2"/>
          </rPr>
          <t xml:space="preserve"> the DSCRs no longer "Pass."
If a specific % Debt is desired, </t>
        </r>
        <r>
          <rPr>
            <u/>
            <sz val="14"/>
            <color indexed="81"/>
            <rFont val="Tahoma"/>
            <family val="2"/>
          </rPr>
          <t>and such % is higher than the maximum sustainable debt</t>
        </r>
        <r>
          <rPr>
            <sz val="14"/>
            <color indexed="81"/>
            <rFont val="Tahoma"/>
            <family val="2"/>
          </rPr>
          <t xml:space="preserve"> (such that it causes the DSCR to "Fail"), then the user must define the % Debt and then manually adjust the "Target After-Tax Equity IRR" upward until the DSCRs are met.  The user should </t>
        </r>
        <r>
          <rPr>
            <b/>
            <sz val="14"/>
            <color indexed="81"/>
            <rFont val="Tahoma"/>
            <family val="2"/>
          </rPr>
          <t>take note</t>
        </r>
        <r>
          <rPr>
            <sz val="14"/>
            <color indexed="81"/>
            <rFont val="Tahoma"/>
            <family val="2"/>
          </rPr>
          <t xml:space="preserve"> that when leverage becomes very high (and the corresponding equity contribution low), the "Target After-Tax Equity IRR" will need to be adjusted to levels exceeding typical commercial returns </t>
        </r>
        <r>
          <rPr>
            <u/>
            <sz val="14"/>
            <color indexed="81"/>
            <rFont val="Tahoma"/>
            <family val="2"/>
          </rPr>
          <t>in order to maintain the DSCR ratio</t>
        </r>
        <r>
          <rPr>
            <sz val="14"/>
            <color indexed="81"/>
            <rFont val="Tahoma"/>
            <family val="2"/>
          </rPr>
          <t xml:space="preserve"> on such high debt levels.  For this reason, it is not recommended that users solve for the COE associated with a % Debt that is beyond the maximum sustainable leverage.
If a project is expected to be funded either by a pool of corporate funds or back-leveraged after commercial operation, the user might elect to enter 0% in the "% Debt" cell and enter a weighted average cost of capital (WACC) in the "Target After-Tax Equity IRR" cell.
</t>
        </r>
      </text>
    </comment>
    <comment ref="I1084" authorId="1" shapeId="0" xr:uid="{86A404FF-A857-4022-9DDB-D91A40AB2745}">
      <text>
        <r>
          <rPr>
            <b/>
            <sz val="14"/>
            <color indexed="81"/>
            <rFont val="Tahoma"/>
            <family val="2"/>
          </rPr>
          <t>Note:</t>
        </r>
        <r>
          <rPr>
            <sz val="14"/>
            <color indexed="81"/>
            <rFont val="Tahoma"/>
            <family val="2"/>
          </rPr>
          <t xml:space="preserve">
Debt "tenor" (also casually referred to as "term"), is the number of years in the debt repayment schedule.   
Caution: If the project will utilize debt, this value must be greater than zero but less than or equal to the total FIT contract duration.
</t>
        </r>
      </text>
    </comment>
    <comment ref="S1084" authorId="0" shapeId="0" xr:uid="{D5C46C1A-A018-4699-B85F-A09B078E4817}">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1085" authorId="1" shapeId="0" xr:uid="{865B7055-33F6-46A8-9D2E-2EE576F7A57D}">
      <text>
        <r>
          <rPr>
            <b/>
            <sz val="14"/>
            <color indexed="81"/>
            <rFont val="Tahoma"/>
            <family val="2"/>
          </rPr>
          <t>Note:</t>
        </r>
        <r>
          <rPr>
            <sz val="14"/>
            <color indexed="81"/>
            <rFont val="Tahoma"/>
            <family val="2"/>
          </rPr>
          <t xml:space="preserve">
The all-in interest rate is the financing rate provided by the bank or other debt investor.
This input cannot be less than zero.
</t>
        </r>
      </text>
    </comment>
    <comment ref="S1085" authorId="0" shapeId="0" xr:uid="{F2E77CC4-EB97-4DD0-B7C2-E1AA7131B02C}">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1086" authorId="0" shapeId="0" xr:uid="{E5311227-E9B3-4F71-9B87-C7960BB75B35}">
      <text>
        <r>
          <rPr>
            <b/>
            <sz val="14"/>
            <color indexed="81"/>
            <rFont val="Tahoma"/>
            <family val="2"/>
          </rPr>
          <t xml:space="preserve">Note:
</t>
        </r>
        <r>
          <rPr>
            <sz val="14"/>
            <color indexed="81"/>
            <rFont val="Tahoma"/>
            <family val="2"/>
          </rPr>
          <t xml:space="preserve">A one-time fee collected by the lender and calculated as a % of the total loan amount. This value is typically between 1% and 4%.
This input cannot be less than zero.
</t>
        </r>
      </text>
    </comment>
    <comment ref="S1086" authorId="0" shapeId="0" xr:uid="{52EC16D8-7ACF-4BB0-B68F-187FB38DDA97}">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1087" authorId="1" shapeId="0" xr:uid="{2CEFCB68-BF83-446C-9547-DBBB981D948F}">
      <text>
        <r>
          <rPr>
            <b/>
            <sz val="14"/>
            <color indexed="81"/>
            <rFont val="Tahoma"/>
            <family val="2"/>
          </rPr>
          <t>Note:</t>
        </r>
        <r>
          <rPr>
            <sz val="14"/>
            <color indexed="81"/>
            <rFont val="Tahoma"/>
            <family val="2"/>
          </rPr>
          <t xml:space="preserve">
The annual Debt Service Coverage Ratio is calculated by dividing the sum of the annual principal and interest payment into that year's operating cash flow. Lenders will require the DSCR to demonstrate the project's ability to easily meet its annual debt service obligation.
Average DSCRs over the life of the loan typically range from 1.2 to 1.5 for private, commercially financed projects, or from 1.1 to 1.3 for publicly owned, bond-financed projects - depending on the level of reserves, or other surety, provided. 
The annual minimum DSCR will depend on the specific terms of the loan and the probability-weighting of the production estimate, but will likely be in the range of 1.0 to 1.3. This input must be greater than 1.
</t>
        </r>
      </text>
    </comment>
    <comment ref="S1087" authorId="0" shapeId="0" xr:uid="{59BE3ED0-4D73-47C9-AE9E-FDBFE321ADDC}">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1088" authorId="0" shapeId="0" xr:uid="{4CA3ED44-8B08-4F57-8D53-9D23C332A836}">
      <text>
        <r>
          <rPr>
            <b/>
            <sz val="14"/>
            <color indexed="81"/>
            <rFont val="Tahoma"/>
            <family val="2"/>
          </rPr>
          <t>Note:</t>
        </r>
        <r>
          <rPr>
            <sz val="14"/>
            <color indexed="81"/>
            <rFont val="Tahoma"/>
            <family val="2"/>
          </rPr>
          <t xml:space="preserve">
If "#N/A" appears, F9 should be pressed until the calculated COE achieves it's final value.</t>
        </r>
      </text>
    </comment>
    <comment ref="S1088" authorId="0" shapeId="0" xr:uid="{45CE0F8E-E806-4269-BE1E-9D51A828A0E8}">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1089" authorId="1" shapeId="0" xr:uid="{5A9F8274-F6B6-4C51-A333-B70058FF0F86}">
      <text>
        <r>
          <rPr>
            <b/>
            <sz val="14"/>
            <color indexed="81"/>
            <rFont val="Tahoma"/>
            <family val="2"/>
          </rPr>
          <t>Note:</t>
        </r>
        <r>
          <rPr>
            <sz val="14"/>
            <color indexed="81"/>
            <rFont val="Tahoma"/>
            <family val="2"/>
          </rPr>
          <t xml:space="preserve">
This cell checks that the debt service coverage ratio exceeds the user-defined minimum in each operating year (see note in DSCR cell for definition and rationale for DSCR). If the test "fails", the user must choose from one of several options in order to cure this deficiency (the extent to which these options are available will be specific to each project):
1. reduce the amount of project level debt, 
2. increase the feed-in tariff rate in order to generate cash flow sufficient to meet the bank's assumed coverage requirement.  In the CREST model, </t>
        </r>
        <r>
          <rPr>
            <u/>
            <sz val="14"/>
            <color indexed="81"/>
            <rFont val="Tahoma"/>
            <family val="2"/>
          </rPr>
          <t>this is done by manually increasing the "Target After-Tax Equity IRR."</t>
        </r>
        <r>
          <rPr>
            <sz val="14"/>
            <color indexed="81"/>
            <rFont val="Tahoma"/>
            <family val="2"/>
          </rPr>
          <t xml:space="preserve">
Other possible, but less likely, mechanisms include:
3. increase the loan tenor
4. decrease the interest rate</t>
        </r>
      </text>
    </comment>
    <comment ref="S1089" authorId="0" shapeId="0" xr:uid="{8B5CAA5D-BA97-4705-8E5B-48A89D86ED50}">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1090" authorId="1" shapeId="0" xr:uid="{507360AF-1B19-4B12-B7CB-C7C08DBD10BB}">
      <text>
        <r>
          <rPr>
            <b/>
            <sz val="14"/>
            <color indexed="81"/>
            <rFont val="Tahoma"/>
            <family val="2"/>
          </rPr>
          <t>Note:</t>
        </r>
        <r>
          <rPr>
            <sz val="14"/>
            <color indexed="81"/>
            <rFont val="Tahoma"/>
            <family val="2"/>
          </rPr>
          <t xml:space="preserve">
The annual Debt Service Coverage Ratio is calculated by dividing the sum of the annual principal and interest payment into that year's operating cash flow. Lenders will require the DSCR to demonstrate the project's ability to easily meet its annual debt service obligation.
</t>
        </r>
        <r>
          <rPr>
            <u/>
            <sz val="14"/>
            <color indexed="81"/>
            <rFont val="Tahoma"/>
            <family val="2"/>
          </rPr>
          <t>Average</t>
        </r>
        <r>
          <rPr>
            <sz val="14"/>
            <color indexed="81"/>
            <rFont val="Tahoma"/>
            <family val="2"/>
          </rPr>
          <t xml:space="preserve"> DSCRs over the life of the loan typically range from 1.2 to 1.5 for private, commercially financed projects, or from 1.1 to 1.3 for publicly owned, bond-financed projects - depending on the level of reserves, or other surety, provided. 
The </t>
        </r>
        <r>
          <rPr>
            <u/>
            <sz val="14"/>
            <color indexed="81"/>
            <rFont val="Tahoma"/>
            <family val="2"/>
          </rPr>
          <t>annual minimum</t>
        </r>
        <r>
          <rPr>
            <sz val="14"/>
            <color indexed="81"/>
            <rFont val="Tahoma"/>
            <family val="2"/>
          </rPr>
          <t xml:space="preserve"> DSCR will depend on the specific terms of the loan and the probability-weighting of the production estimate, but will likely be in the range of 1.0 to 1.3. This input must be greater than 1.
</t>
        </r>
      </text>
    </comment>
    <comment ref="S1090" authorId="0" shapeId="0" xr:uid="{F3B05908-4542-4C96-B82B-7B20057CF8E4}">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1091" authorId="0" shapeId="0" xr:uid="{E95AAE0D-15C5-46BB-B0EF-F46E33ACCD27}">
      <text>
        <r>
          <rPr>
            <b/>
            <sz val="12"/>
            <color indexed="81"/>
            <rFont val="Tahoma"/>
            <family val="2"/>
          </rPr>
          <t>Note:</t>
        </r>
        <r>
          <rPr>
            <sz val="12"/>
            <color indexed="81"/>
            <rFont val="Tahoma"/>
            <family val="2"/>
          </rPr>
          <t xml:space="preserve">
If "#N/A" appears, F9 should be pressed until the calculated COE achieves it's final value.</t>
        </r>
      </text>
    </comment>
    <comment ref="S1091" authorId="0" shapeId="0" xr:uid="{93AE1A65-F773-4050-825D-009353C46F26}">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1092" authorId="1" shapeId="0" xr:uid="{295C9E90-08D6-42C1-B32C-ADFFEE0AED39}">
      <text>
        <r>
          <rPr>
            <b/>
            <sz val="14"/>
            <color indexed="81"/>
            <rFont val="Tahoma"/>
            <family val="2"/>
          </rPr>
          <t>Note:</t>
        </r>
        <r>
          <rPr>
            <sz val="14"/>
            <color indexed="81"/>
            <rFont val="Tahoma"/>
            <family val="2"/>
          </rPr>
          <t xml:space="preserve">
This cell checks that the average debt service coverage ratio exceeds the user-defined minimum during the period for which debt is outstanding (see note in DSCR cell for definition and rationale for DSCR). If the test "fails", the user must choose from one of several options in order to cure this deficiency (the extent to which these options are available will be specific to each project):
1. reduce the amount of project level debt, 
2. increase the feed-in tariff rate in order to generate cash flow sufficient to meet the bank's assumed coverage requirement.  In the CREST model, </t>
        </r>
        <r>
          <rPr>
            <u/>
            <sz val="14"/>
            <color indexed="81"/>
            <rFont val="Tahoma"/>
            <family val="2"/>
          </rPr>
          <t>this is done by manually increasing the "Target After-Tax Equity IRR."</t>
        </r>
        <r>
          <rPr>
            <sz val="14"/>
            <color indexed="81"/>
            <rFont val="Tahoma"/>
            <family val="2"/>
          </rPr>
          <t xml:space="preserve">
Other possible, but less likely, mechanisms include:
3. increase the loan tenor
4. decrease the interest rate</t>
        </r>
      </text>
    </comment>
    <comment ref="I1093" authorId="0" shapeId="0" xr:uid="{E20775A6-D6AF-4911-99A3-FF17946B7B99}">
      <text>
        <r>
          <rPr>
            <b/>
            <sz val="14"/>
            <color indexed="81"/>
            <rFont val="Tahoma"/>
            <family val="2"/>
          </rPr>
          <t xml:space="preserve">Note:
</t>
        </r>
        <r>
          <rPr>
            <sz val="14"/>
            <color indexed="81"/>
            <rFont val="Tahoma"/>
            <family val="2"/>
          </rPr>
          <t xml:space="preserve">The portion of total project cost funded from equity investors. This cell is a calculation and not an input. It is calculated as 100% minus the "% Debt" entered above.
</t>
        </r>
      </text>
    </comment>
    <comment ref="P1093" authorId="0" shapeId="0" xr:uid="{21E91ACF-DC4F-4F9B-AACB-CA17F4DCAE87}">
      <text>
        <r>
          <rPr>
            <b/>
            <sz val="8"/>
            <color indexed="81"/>
            <rFont val="Tahoma"/>
            <family val="2"/>
          </rPr>
          <t>See "unit" definitions at the bottom of this worksheet.</t>
        </r>
        <r>
          <rPr>
            <sz val="8"/>
            <color indexed="81"/>
            <rFont val="Tahoma"/>
            <family val="2"/>
          </rPr>
          <t xml:space="preserve">
</t>
        </r>
      </text>
    </comment>
    <comment ref="I1094" authorId="1" shapeId="0" xr:uid="{57DFBD08-3371-494D-9479-C7FC3B7742AF}">
      <text>
        <r>
          <rPr>
            <b/>
            <sz val="14"/>
            <color indexed="81"/>
            <rFont val="Tahoma"/>
            <family val="2"/>
          </rPr>
          <t>Note:</t>
        </r>
        <r>
          <rPr>
            <sz val="14"/>
            <color indexed="81"/>
            <rFont val="Tahoma"/>
            <family val="2"/>
          </rPr>
          <t xml:space="preserve">
The target after-tax equity IRR is the equity investor's cost of capital -- or "discount rate" -- and is the minimum rate of return that the project owner will seek to attain in order to justify the project compared to alternative investments.  
The user should be explicit in his or her assumption regarding the term over which the target after-tax IRR is assumed to be realized. For example, the user could elect to align the return requirement with the tariff payment duration. In this case, the project useful life should be set equal to the tariff duration in order to calculate the COE associated with the target IRR over that period of time. 
In a second example, the user could elect to align the return requirement with the project's useful life. In this case, the user can either assume a tariff duration equal to the project life, or assume market-based revenue for the period after the tariff and before the end of the assumed project useful life.
This input cannot be less than zero.
If a project is expected to be funded either by a pool of corporate funds or back-leveraged after commercial operation, the user might elect to enter 0% in the "% Debt" cell and enter a weighted average cost of capital (WACC) in the "Target After-Tax Equity IRR" cell.
</t>
        </r>
      </text>
    </comment>
    <comment ref="I1095" authorId="0" shapeId="0" xr:uid="{ABB4D2A3-744C-4CCE-AE0B-90C0006C338E}">
      <text>
        <r>
          <rPr>
            <b/>
            <sz val="14"/>
            <color indexed="81"/>
            <rFont val="Tahoma"/>
            <family val="2"/>
          </rPr>
          <t xml:space="preserve">Note:
</t>
        </r>
        <r>
          <rPr>
            <sz val="14"/>
            <color indexed="81"/>
            <rFont val="Tahoma"/>
            <family val="2"/>
          </rPr>
          <t xml:space="preserve">The weighted average cost of capital combines the after-tax cost of both equity and debt in proportion to their use, and is calculated here for reference.
</t>
        </r>
      </text>
    </comment>
    <comment ref="S1095" authorId="1" shapeId="0" xr:uid="{140A5501-3732-46F4-84D2-5D7D98C445F8}">
      <text>
        <r>
          <rPr>
            <b/>
            <sz val="14"/>
            <color indexed="81"/>
            <rFont val="Tahoma"/>
            <family val="2"/>
          </rPr>
          <t xml:space="preserve">Note:
</t>
        </r>
        <r>
          <rPr>
            <sz val="14"/>
            <color indexed="81"/>
            <rFont val="Tahoma"/>
            <family val="2"/>
          </rPr>
          <t xml:space="preserve">In order to ensure that project owners have sufficient funds to decommission and remove equipment at the end of a project's life, many owners choose to create and fund a reserve account throughout the course of project. 
This input cell allows the modeler to choose whether to pay for project removal by creating and funding a reserve account over the project life by selecting "Operations" or to assume that a project's removal will be funded by selling the equipment, by selecting "Salvage".
</t>
        </r>
      </text>
    </comment>
    <comment ref="I1096" authorId="0" shapeId="0" xr:uid="{535E0FA0-AC8C-4DC4-A648-A1FEC6E51EAE}">
      <text>
        <r>
          <rPr>
            <b/>
            <sz val="14"/>
            <color indexed="81"/>
            <rFont val="Tahoma"/>
            <family val="2"/>
          </rPr>
          <t xml:space="preserve">Note:
</t>
        </r>
        <r>
          <rPr>
            <sz val="14"/>
            <color indexed="81"/>
            <rFont val="Tahoma"/>
            <family val="2"/>
          </rPr>
          <t>This cell represents the costs of both equity and debt due diligence (if applicable) and other transaction costs.
Input cannot be less than zero.</t>
        </r>
      </text>
    </comment>
    <comment ref="S1096" authorId="0" shapeId="0" xr:uid="{DDA9C6DF-5CAE-402F-8BF7-0627603C2034}">
      <text>
        <r>
          <rPr>
            <b/>
            <sz val="14"/>
            <color indexed="81"/>
            <rFont val="Tahoma"/>
            <family val="2"/>
          </rPr>
          <t>Note:</t>
        </r>
        <r>
          <rPr>
            <sz val="14"/>
            <color indexed="81"/>
            <rFont val="Tahoma"/>
            <family val="2"/>
          </rPr>
          <t xml:space="preserve">
This input cell allows the user to assume the creation of a reserve account. The value entered here will be accounted for in the project's cash flow, and would be funded evenly over the number of years available between the project's commercial operation and the end of its useful life.
Input cannot be less than zero.
</t>
        </r>
      </text>
    </comment>
    <comment ref="P1098" authorId="0" shapeId="0" xr:uid="{400B6744-7A78-4F76-9D98-992128277DCF}">
      <text>
        <r>
          <rPr>
            <b/>
            <sz val="8"/>
            <color indexed="81"/>
            <rFont val="Tahoma"/>
            <family val="2"/>
          </rPr>
          <t>See "unit" definitions at the bottom of this worksheet.</t>
        </r>
        <r>
          <rPr>
            <sz val="8"/>
            <color indexed="81"/>
            <rFont val="Tahoma"/>
            <family val="2"/>
          </rPr>
          <t xml:space="preserve">
</t>
        </r>
      </text>
    </comment>
    <comment ref="I1099" authorId="0" shapeId="0" xr:uid="{63A08D50-C77A-45D4-9AEB-789476C0F324}">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at the project's "Total Installed Cost."
</t>
        </r>
      </text>
    </comment>
    <comment ref="I1100" authorId="0" shapeId="0" xr:uid="{EB9DDD91-D24C-491F-B49E-763522C62453}">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t>
        </r>
      </text>
    </comment>
    <comment ref="S1100" authorId="0" shapeId="0" xr:uid="{BDDD36E3-AAD2-4DF5-BAF3-79FD7A603F38}">
      <text>
        <r>
          <rPr>
            <b/>
            <sz val="14"/>
            <color indexed="81"/>
            <rFont val="Tahoma"/>
            <family val="2"/>
          </rPr>
          <t>Note:</t>
        </r>
        <r>
          <rPr>
            <sz val="14"/>
            <color indexed="81"/>
            <rFont val="Tahoma"/>
            <family val="2"/>
          </rPr>
          <t xml:space="preserve">
Lenders typically require the project owner to establish a reserve account prior to the commencement of operations to ensure that loan repayments occur in full and on time even if the project has insufficient operating cash flow in a specific period due to lower than expected production, higher costs, or both. The size of the reserve account is typically equal to 6 months of debt service obligation.
Input cannot be less than zero.
</t>
        </r>
      </text>
    </comment>
    <comment ref="I1101" authorId="0" shapeId="0" xr:uid="{A8315C66-D4A6-44E6-9240-F7F412BC43DF}">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As previously described, this value excludes the ITC Cash Grant, which must be financed prior to commercial operation.  
</t>
        </r>
      </text>
    </comment>
    <comment ref="S1101" authorId="0" shapeId="0" xr:uid="{A1CEAED9-56C3-45B2-8227-AD2E01C80D70}">
      <text>
        <r>
          <rPr>
            <b/>
            <sz val="14"/>
            <color indexed="81"/>
            <rFont val="Tahoma"/>
            <family val="2"/>
          </rPr>
          <t>Note:</t>
        </r>
        <r>
          <rPr>
            <sz val="14"/>
            <color indexed="81"/>
            <rFont val="Tahoma"/>
            <family val="2"/>
          </rPr>
          <t xml:space="preserve">
Calculated value based on the # months of required reserve and the capital structure and associated periodic debt obligation.
</t>
        </r>
      </text>
    </comment>
    <comment ref="I1102" authorId="0" shapeId="0" xr:uid="{BFFCB41F-545E-454B-939F-138A6303F0E6}">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t>
        </r>
      </text>
    </comment>
    <comment ref="S1103" authorId="0" shapeId="0" xr:uid="{2CC2E8B5-6D5A-4F39-BB8F-1C82860B3926}">
      <text>
        <r>
          <rPr>
            <b/>
            <sz val="14"/>
            <color indexed="81"/>
            <rFont val="Tahoma"/>
            <family val="2"/>
          </rPr>
          <t>Note:</t>
        </r>
        <r>
          <rPr>
            <sz val="14"/>
            <color indexed="81"/>
            <rFont val="Tahoma"/>
            <family val="2"/>
          </rPr>
          <t xml:space="preserve">
Lenders typically require the project owner to establish a reserve account prior to the commencement of operations to ensure that all O&amp;M expenses can be met even if the project has insufficient operating cash flow in a specific period due to lower than expected production, higher costs, or both. The size of the reserve account is typically 3 to 6 months of O&amp;M expenses, and includes all categories of O&amp;M expenses.
Input cannot be less than zero.
</t>
        </r>
      </text>
    </comment>
    <comment ref="F1104" authorId="0" shapeId="0" xr:uid="{13A0A8FD-D7CD-40A3-BCA1-265C005A724A}">
      <text>
        <r>
          <rPr>
            <b/>
            <sz val="8"/>
            <color indexed="81"/>
            <rFont val="Tahoma"/>
            <family val="2"/>
          </rPr>
          <t>See "unit" definitions at the bottom of this worksheet.</t>
        </r>
        <r>
          <rPr>
            <sz val="8"/>
            <color indexed="81"/>
            <rFont val="Tahoma"/>
            <family val="2"/>
          </rPr>
          <t xml:space="preserve">
</t>
        </r>
      </text>
    </comment>
    <comment ref="S1104" authorId="0" shapeId="0" xr:uid="{1A2DD885-0C81-4A16-A0F3-DCC050EF4F38}">
      <text>
        <r>
          <rPr>
            <b/>
            <sz val="14"/>
            <color indexed="81"/>
            <rFont val="Tahoma"/>
            <family val="2"/>
          </rPr>
          <t>Note:</t>
        </r>
        <r>
          <rPr>
            <sz val="14"/>
            <color indexed="81"/>
            <rFont val="Tahoma"/>
            <family val="2"/>
          </rPr>
          <t xml:space="preserve">
Calculated value based on the # months of required reserve and all annual operating expenses.
</t>
        </r>
      </text>
    </comment>
    <comment ref="I1105" authorId="0" shapeId="0" xr:uid="{846DDA9E-05F4-4A5E-BC8B-08E120471578}">
      <text>
        <r>
          <rPr>
            <b/>
            <sz val="14"/>
            <color indexed="81"/>
            <rFont val="Tahoma"/>
            <family val="2"/>
          </rPr>
          <t xml:space="preserve">Note:
</t>
        </r>
        <r>
          <rPr>
            <sz val="14"/>
            <color indexed="81"/>
            <rFont val="Tahoma"/>
            <family val="2"/>
          </rPr>
          <t xml:space="preserve">Defines whether the project owner is a taxable or non-taxable entity. This determines the treatment of income taxes and other tax-related items.
</t>
        </r>
      </text>
    </comment>
    <comment ref="S1105" authorId="0" shapeId="0" xr:uid="{447EB00C-CEE6-4456-8474-75E07CD0B687}">
      <text>
        <r>
          <rPr>
            <b/>
            <sz val="14"/>
            <color indexed="81"/>
            <rFont val="Tahoma"/>
            <family val="2"/>
          </rPr>
          <t>Note:</t>
        </r>
        <r>
          <rPr>
            <sz val="14"/>
            <color indexed="81"/>
            <rFont val="Tahoma"/>
            <family val="2"/>
          </rPr>
          <t xml:space="preserve">
Unused reserves earn interest at this rate. Input cannot be less than zero.
</t>
        </r>
      </text>
    </comment>
    <comment ref="I1106" authorId="0" shapeId="0" xr:uid="{016BAFBB-870C-47E7-B2C1-B4CC43EC63E2}">
      <text>
        <r>
          <rPr>
            <b/>
            <sz val="14"/>
            <color indexed="81"/>
            <rFont val="Tahoma"/>
            <family val="2"/>
          </rPr>
          <t xml:space="preserve">Note:
</t>
        </r>
        <r>
          <rPr>
            <sz val="14"/>
            <color indexed="81"/>
            <rFont val="Tahoma"/>
            <family val="2"/>
          </rPr>
          <t xml:space="preserve">Defines the project's federal income tax rate, if applicable.
Input cannot be less than zero.
</t>
        </r>
      </text>
    </comment>
    <comment ref="I1107" authorId="0" shapeId="0" xr:uid="{1529DAB1-F998-4E4C-853F-DBC1C72FF4B0}">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I1108" authorId="0" shapeId="0" xr:uid="{7C883DD5-B101-44C1-8D94-ABC07432D31E}">
      <text>
        <r>
          <rPr>
            <b/>
            <sz val="14"/>
            <color indexed="81"/>
            <rFont val="Tahoma"/>
            <family val="2"/>
          </rPr>
          <t xml:space="preserve">Note:
</t>
        </r>
        <r>
          <rPr>
            <sz val="14"/>
            <color indexed="81"/>
            <rFont val="Tahoma"/>
            <family val="2"/>
          </rPr>
          <t xml:space="preserve">Defines the project's state income tax rate, if applicable.
Input cannot be less than zero.
</t>
        </r>
      </text>
    </comment>
    <comment ref="S1108" authorId="0" shapeId="0" xr:uid="{470F17EB-8013-4725-9212-2229B21097C0}">
      <text>
        <r>
          <rPr>
            <b/>
            <sz val="14"/>
            <color indexed="81"/>
            <rFont val="Tahoma"/>
            <family val="2"/>
          </rPr>
          <t>Note:</t>
        </r>
        <r>
          <rPr>
            <sz val="14"/>
            <color indexed="81"/>
            <rFont val="Tahoma"/>
            <family val="2"/>
          </rPr>
          <t xml:space="preserve">
To qualify for Bonus Depreciation the property must have a recovery period of 20 years or less (under normal federal tax depreciation rules), and the project must commence operation in the year in which bonus depreciation is in effect and under the ownership of the entity claiming the deduction. 
For qualifying projects, the owner is entitled to deduct 50% of the adjusted basis of the property during the tax year the property is first placed in service. The remaining 50% of the adjusted basis of the property is depreciated over the ordinary MACRS depreciation schedule. The bonus depreciation rules do not override the depreciation limit applicable to projects qualifying for the federal ITC. Before calculating depreciation for such a project, including any bonus depreciation, the adjusted basis of the project must be reduced by one-half of the amount of the ITC for which the project qualifies. 
</t>
        </r>
      </text>
    </comment>
    <comment ref="I1109" authorId="0" shapeId="0" xr:uid="{E25786C6-EF03-46E7-989A-728CBD04EAE6}">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P1109" authorId="0" shapeId="0" xr:uid="{33241901-1D92-4CE7-B6C3-F5B1D0C35D20}">
      <text>
        <r>
          <rPr>
            <b/>
            <sz val="12"/>
            <color indexed="81"/>
            <rFont val="Tahoma"/>
            <family val="2"/>
          </rPr>
          <t>Jason Gifford:</t>
        </r>
        <r>
          <rPr>
            <sz val="12"/>
            <color indexed="81"/>
            <rFont val="Tahoma"/>
            <family val="2"/>
          </rPr>
          <t xml:space="preserve">
The Consolidated Appropriations Act, signed in December 2015, extended the "placed in service" deadline for bonus depreciation. Equipment placed in service before January 1, 2018 can qualify for 50% bonus depreciation. Equipment placed in service during 2018 can qualify for 40% bonus depreciation. And equipment placed in service during 2019 can qualify for 30% bonus depreciation. </t>
        </r>
      </text>
    </comment>
    <comment ref="S1109" authorId="0" shapeId="0" xr:uid="{ED880275-985E-4A47-8FB9-8A7672BC270E}">
      <text>
        <r>
          <rPr>
            <b/>
            <sz val="14"/>
            <color indexed="81"/>
            <rFont val="Tahoma"/>
            <family val="2"/>
          </rPr>
          <t>Note:</t>
        </r>
        <r>
          <rPr>
            <sz val="14"/>
            <color indexed="81"/>
            <rFont val="Tahoma"/>
            <family val="2"/>
          </rPr>
          <t xml:space="preserve">
This input allows the user to define the bonus depreciation % applied in Year 1, if applicable.  Historically, federal bonus depreciation has been 50% of the eligible cost basis (after taking into account reductions in such cost basis for the ITC, if applicable).  
Input cannot be less than zero.
</t>
        </r>
      </text>
    </comment>
    <comment ref="I1110" authorId="0" shapeId="0" xr:uid="{901AD4D7-B3F1-4ED2-B200-021A2284F7A3}">
      <text>
        <r>
          <rPr>
            <b/>
            <sz val="14"/>
            <color indexed="81"/>
            <rFont val="Tahoma"/>
            <family val="2"/>
          </rPr>
          <t xml:space="preserve">Note:
</t>
        </r>
        <r>
          <rPr>
            <sz val="14"/>
            <color indexed="81"/>
            <rFont val="Tahoma"/>
            <family val="2"/>
          </rPr>
          <t xml:space="preserve">Takes into account the interaction between federal and state tax rates. This is a calculated value.
</t>
        </r>
      </text>
    </comment>
    <comment ref="I1111" authorId="0" shapeId="0" xr:uid="{6724E731-149A-45D1-B6E8-AAEE496433FB}">
      <text>
        <r>
          <rPr>
            <b/>
            <sz val="14"/>
            <color indexed="81"/>
            <rFont val="Tahoma"/>
            <family val="2"/>
          </rPr>
          <t xml:space="preserve">Note:
</t>
        </r>
        <r>
          <rPr>
            <sz val="14"/>
            <color indexed="81"/>
            <rFont val="Tahoma"/>
            <family val="2"/>
          </rPr>
          <t>Depreciation accounts for the "use" of equipment for tax purposes. The depreciation inputs are provided in the table to the right and on the Complex Capital Costs tab when this option is selected.</t>
        </r>
      </text>
    </comment>
    <comment ref="AB1112" authorId="0" shapeId="0" xr:uid="{6CEE74A1-4F16-4734-A47E-E81E274D1D83}">
      <text>
        <r>
          <rPr>
            <b/>
            <sz val="14"/>
            <color indexed="81"/>
            <rFont val="Tahoma"/>
            <family val="2"/>
          </rPr>
          <t>Note:</t>
        </r>
        <r>
          <rPr>
            <sz val="14"/>
            <color indexed="81"/>
            <rFont val="Tahoma"/>
            <family val="2"/>
          </rPr>
          <t xml:space="preserve">
When the "Simple" capital cost option is selected, the depreciation of total project costs is divided among the classifications using this row. The depreciation options associated with other levels of cost detail will be hidden.
</t>
        </r>
        <r>
          <rPr>
            <b/>
            <sz val="14"/>
            <color indexed="81"/>
            <rFont val="Tahoma"/>
            <family val="2"/>
          </rPr>
          <t xml:space="preserve">This row must sum to 100%.
</t>
        </r>
      </text>
    </comment>
    <comment ref="AB1113" authorId="0" shapeId="0" xr:uid="{3CB704BD-3CAF-41E5-A256-8E7B139B9602}">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1114" authorId="0" shapeId="0" xr:uid="{9CADD203-9256-4ACC-87D2-6254253456E0}">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1115" authorId="0" shapeId="0" xr:uid="{1CF53F16-1195-477A-BFB5-59A63C7238A7}">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1116" authorId="0" shapeId="0" xr:uid="{7D35F482-219B-4390-A683-27B527964F45}">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1117" authorId="0" shapeId="0" xr:uid="{8D2DDB0C-2787-4862-82CD-8F4E798A8670}">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1118" authorId="0" shapeId="0" xr:uid="{B0208E51-4DEC-40E9-9648-149D2FB00D38}">
      <text>
        <r>
          <rPr>
            <b/>
            <sz val="14"/>
            <color indexed="81"/>
            <rFont val="Tahoma"/>
            <family val="2"/>
          </rPr>
          <t>Note:</t>
        </r>
        <r>
          <rPr>
            <sz val="14"/>
            <color indexed="81"/>
            <rFont val="Tahoma"/>
            <family val="2"/>
          </rPr>
          <t xml:space="preserve">
When the "Complex" capital cost option is selected, each line items is assigned its own depreciation classification using a drop-down menu on the Complex Capital Costs tab.
</t>
        </r>
      </text>
    </comment>
    <comment ref="C1123" authorId="0" shapeId="0" xr:uid="{A7C9EE8F-1F95-41BA-A9ED-4E20BE5DB3A8}">
      <text>
        <r>
          <rPr>
            <sz val="14"/>
            <color indexed="81"/>
            <rFont val="Tahoma"/>
            <family val="2"/>
          </rPr>
          <t xml:space="preserve">The "Check" column evaluates whether or not values have been enterred in all required fields.  Green denotes an accepted entry in a required field or a calculation for which the minimum required precedents have been satisfied.  Red denotes the absence of an entry in a required field, or a calculation for which the minimum required precendents have NOT been satisfied.
</t>
        </r>
        <r>
          <rPr>
            <b/>
            <sz val="14"/>
            <color indexed="81"/>
            <rFont val="Tahoma"/>
            <family val="2"/>
          </rPr>
          <t>Please note</t>
        </r>
        <r>
          <rPr>
            <sz val="14"/>
            <color indexed="81"/>
            <rFont val="Tahoma"/>
            <family val="2"/>
          </rPr>
          <t xml:space="preserve"> that while the "Check" column ensures the population of all required fields, this column does NOT validate the magnitude of such entries.  It is the model user's responsibility to provide inputs which accurately represent the project being modeled.  In some cases, a range of typical values for a specified input are provided in that input's "Notes" cell.</t>
        </r>
      </text>
    </comment>
    <comment ref="I1123" authorId="0" shapeId="0" xr:uid="{07849D08-472A-4B83-8483-384711E6A73E}">
      <text>
        <r>
          <rPr>
            <sz val="14"/>
            <color indexed="81"/>
            <rFont val="Tahoma"/>
            <family val="2"/>
          </rPr>
          <t xml:space="preserve">Each cell in the "Notes" column provides a brief description of the input in the corresponding row, its application within the model, and (in some cases) the range of values that might be expected to populate that  input cell.  It is the model user's responsibility, however, to research and validate the applicability of, and appropriate value for, each input.
</t>
        </r>
        <r>
          <rPr>
            <sz val="8"/>
            <color indexed="81"/>
            <rFont val="Tahoma"/>
            <family val="2"/>
          </rPr>
          <t xml:space="preserve">
</t>
        </r>
      </text>
    </comment>
    <comment ref="M1123" authorId="0" shapeId="0" xr:uid="{09E1EFB2-ED3E-4267-B7C1-125D42F5EB24}">
      <text>
        <r>
          <rPr>
            <sz val="14"/>
            <color indexed="81"/>
            <rFont val="Tahoma"/>
            <family val="2"/>
          </rPr>
          <t xml:space="preserve">The "Check" column evaluates whether or not values have been enterred in all required fields.  Green denotes an accepted entry in a required field or a calculation for which the minimum required precedents have been satisfied.  Red denotes the absence of an entry in a required field, or a calculation for which the minimum required precendents have NOT been satisfied.
</t>
        </r>
        <r>
          <rPr>
            <b/>
            <sz val="14"/>
            <color indexed="81"/>
            <rFont val="Tahoma"/>
            <family val="2"/>
          </rPr>
          <t>Please note</t>
        </r>
        <r>
          <rPr>
            <sz val="14"/>
            <color indexed="81"/>
            <rFont val="Tahoma"/>
            <family val="2"/>
          </rPr>
          <t xml:space="preserve"> that while the "Check" column ensures the population of all required fields, this column does NOT validate the magnitude of such entries.  It is the model user's responsibility to provide inputs which accurately represent the project being modeled.  In some cases, a range of typical values for a specified input are provided in that input's "Notes" cell.</t>
        </r>
      </text>
    </comment>
    <comment ref="S1123" authorId="0" shapeId="0" xr:uid="{B3F49EA6-0025-43FA-8F49-A42CFEC64A83}">
      <text>
        <r>
          <rPr>
            <sz val="14"/>
            <color indexed="81"/>
            <rFont val="Tahoma"/>
            <family val="2"/>
          </rPr>
          <t>Each cell in the "Notes" column provides a brief description of the input in the corresponding row, its application within the model, and (in some cases) the range of values that might be expected to populate that  input cell. It is the model user's responsibility, however, to research and validate the applicability of, and appropriate value for, each input.</t>
        </r>
        <r>
          <rPr>
            <sz val="8"/>
            <color indexed="81"/>
            <rFont val="Tahoma"/>
            <family val="2"/>
          </rPr>
          <t xml:space="preserve">
</t>
        </r>
      </text>
    </comment>
    <comment ref="F1125" authorId="0" shapeId="0" xr:uid="{4D6E391C-7F9D-418E-B514-CD6461640AC2}">
      <text>
        <r>
          <rPr>
            <b/>
            <sz val="8"/>
            <color indexed="81"/>
            <rFont val="Tahoma"/>
            <family val="2"/>
          </rPr>
          <t>See "unit" definitions at the bottom of this worksheet.</t>
        </r>
        <r>
          <rPr>
            <sz val="8"/>
            <color indexed="81"/>
            <rFont val="Tahoma"/>
            <family val="2"/>
          </rPr>
          <t xml:space="preserve">
</t>
        </r>
      </text>
    </comment>
    <comment ref="P1125" authorId="0" shapeId="0" xr:uid="{F15E9C1E-D890-4995-9A04-CEE3C7CCB70D}">
      <text>
        <r>
          <rPr>
            <b/>
            <sz val="8"/>
            <color indexed="81"/>
            <rFont val="Tahoma"/>
            <family val="2"/>
          </rPr>
          <t>See "unit" definitions at the bottom of this worksheet.</t>
        </r>
        <r>
          <rPr>
            <sz val="8"/>
            <color indexed="81"/>
            <rFont val="Tahoma"/>
            <family val="2"/>
          </rPr>
          <t xml:space="preserve">
</t>
        </r>
      </text>
    </comment>
    <comment ref="I1126" authorId="1" shapeId="0" xr:uid="{70964412-AB1B-4698-AA9D-7C7FFBCE69E2}">
      <text>
        <r>
          <rPr>
            <b/>
            <sz val="14"/>
            <color indexed="81"/>
            <rFont val="Tahoma"/>
            <family val="2"/>
          </rPr>
          <t>Note:</t>
        </r>
        <r>
          <rPr>
            <sz val="14"/>
            <color indexed="81"/>
            <rFont val="Tahoma"/>
            <family val="2"/>
          </rPr>
          <t xml:space="preserve">
This is the aggregate nameplate rating for the entire generating facility.
Input must be greater than zero.
</t>
        </r>
      </text>
    </comment>
    <comment ref="S1126" authorId="1" shapeId="0" xr:uid="{4C8ACEC4-B9F8-4DF3-A59D-6A13DB7748E0}">
      <text>
        <r>
          <rPr>
            <b/>
            <sz val="14"/>
            <color indexed="81"/>
            <rFont val="Tahoma"/>
            <family val="2"/>
          </rPr>
          <t xml:space="preserve">Note:
</t>
        </r>
        <r>
          <rPr>
            <sz val="14"/>
            <color indexed="81"/>
            <rFont val="Tahoma"/>
            <family val="2"/>
          </rPr>
          <t xml:space="preserve">The FIT contract length is the number of years for which the rate specified by this model is available. This term is established by policymakers and must be less than or equal to the project's useful life.  
The contract duration is also different than the debt tenor (if applicable), which is specified in the Permanent Financing section below.
</t>
        </r>
      </text>
    </comment>
    <comment ref="I1127" authorId="1" shapeId="0" xr:uid="{F238C208-FB53-4DC4-8BD5-DA911F686F52}">
      <text>
        <r>
          <rPr>
            <b/>
            <sz val="14"/>
            <color indexed="81"/>
            <rFont val="Tahoma"/>
            <family val="2"/>
          </rPr>
          <t>Note:</t>
        </r>
        <r>
          <rPr>
            <sz val="14"/>
            <color indexed="81"/>
            <rFont val="Tahoma"/>
            <family val="2"/>
          </rPr>
          <t xml:space="preserve">
Capacity Factor is the % representation of the actual production vs. the theoretical maximum annual production of an energy project. This model requires the input of a </t>
        </r>
        <r>
          <rPr>
            <b/>
            <sz val="14"/>
            <color indexed="81"/>
            <rFont val="Tahoma"/>
            <family val="2"/>
          </rPr>
          <t>Net Capacity Factor</t>
        </r>
        <r>
          <rPr>
            <sz val="14"/>
            <color indexed="81"/>
            <rFont val="Tahoma"/>
            <family val="2"/>
          </rPr>
          <t xml:space="preserve">, meaning that the estimate of actual energy production should take into account all electricity losses (including those incurred between the generating facility and the contract delivery point), scheduled and unscheduled maintenance, forced outages, wake effects, icing, and any other factors that could reduce production.
Wind projects typically have a capacity factor between 25% and 40% depending on region and site-specific topography. 
Input must be between 0% and 100%.
</t>
        </r>
      </text>
    </comment>
    <comment ref="S1127" authorId="1" shapeId="0" xr:uid="{7B23EF75-BF14-4478-9274-4183BAD25226}">
      <text>
        <r>
          <rPr>
            <b/>
            <sz val="14"/>
            <color indexed="81"/>
            <rFont val="Tahoma"/>
            <family val="2"/>
          </rPr>
          <t xml:space="preserve">Note:
</t>
        </r>
        <r>
          <rPr>
            <sz val="14"/>
            <color indexed="81"/>
            <rFont val="Tahoma"/>
            <family val="2"/>
          </rPr>
          <t xml:space="preserve">This is the portion (%) of the tariff which is subject to annual escalation.  
Program administrators may determine that some or all of the tariff rate should be escalated to reflect the uncertainty associated with the future cost of owning and operating an electricity generating facility. This input is separate from the inflation assumed to apply to certain O&amp;M expenses, which is provided as an input in the O&amp;M section below.
Input must be between 0% and 100%.
</t>
        </r>
      </text>
    </comment>
    <comment ref="I1128" authorId="1" shapeId="0" xr:uid="{6ACFCCE8-D7E1-4166-B8AA-97EB1A1A818B}">
      <text>
        <r>
          <rPr>
            <b/>
            <sz val="14"/>
            <color indexed="81"/>
            <rFont val="Tahoma"/>
            <family val="2"/>
          </rPr>
          <t>Note:</t>
        </r>
        <r>
          <rPr>
            <sz val="14"/>
            <color indexed="81"/>
            <rFont val="Tahoma"/>
            <family val="2"/>
          </rPr>
          <t xml:space="preserve">
This is a calculation, based on the system size and capacity factor provided above. 
</t>
        </r>
      </text>
    </comment>
    <comment ref="S1128" authorId="1" shapeId="0" xr:uid="{3A864F53-4B1D-4EE5-883F-1E1E19B5B586}">
      <text>
        <r>
          <rPr>
            <b/>
            <sz val="14"/>
            <color indexed="81"/>
            <rFont val="Tahoma"/>
            <family val="2"/>
          </rPr>
          <t xml:space="preserve">Note:
</t>
        </r>
        <r>
          <rPr>
            <sz val="14"/>
            <color indexed="81"/>
            <rFont val="Tahoma"/>
            <family val="2"/>
          </rPr>
          <t xml:space="preserve">To calculate a </t>
        </r>
        <r>
          <rPr>
            <b/>
            <sz val="14"/>
            <color indexed="81"/>
            <rFont val="Tahoma"/>
            <family val="2"/>
          </rPr>
          <t>nominal levelized tariff rate</t>
        </r>
        <r>
          <rPr>
            <sz val="14"/>
            <color indexed="81"/>
            <rFont val="Tahoma"/>
            <family val="2"/>
          </rPr>
          <t xml:space="preserve">, the "feed-in tariff escalation rate" field should be </t>
        </r>
        <r>
          <rPr>
            <b/>
            <sz val="14"/>
            <color indexed="81"/>
            <rFont val="Tahoma"/>
            <family val="2"/>
          </rPr>
          <t>set to zero</t>
        </r>
        <r>
          <rPr>
            <sz val="14"/>
            <color indexed="81"/>
            <rFont val="Tahoma"/>
            <family val="2"/>
          </rPr>
          <t>.</t>
        </r>
        <r>
          <rPr>
            <b/>
            <sz val="14"/>
            <color indexed="81"/>
            <rFont val="Tahoma"/>
            <family val="2"/>
          </rPr>
          <t xml:space="preserve">
</t>
        </r>
        <r>
          <rPr>
            <sz val="14"/>
            <color indexed="81"/>
            <rFont val="Tahoma"/>
            <family val="2"/>
          </rPr>
          <t xml:space="preserve">Where applied, tariff rate escalation is intended to serve as a risk mitigating tool, at least partially protecting the project investor from the uncertainty associated with the future cost of owning and operating the renewable energy facility. The escalation rate can be used to assume a year over year increase in all, or a portion, of the per unit payment provided to eligible generators. This concept is separate from inflationary adjustments to future operating cost assumptions -- which are input below.
This rate is applied annually.  Note that in this model, calendar years and tariff years are aligned.
</t>
        </r>
        <r>
          <rPr>
            <b/>
            <sz val="14"/>
            <color indexed="81"/>
            <rFont val="Tahoma"/>
            <family val="2"/>
          </rPr>
          <t>Caution:</t>
        </r>
        <r>
          <rPr>
            <sz val="14"/>
            <color indexed="81"/>
            <rFont val="Tahoma"/>
            <family val="2"/>
          </rPr>
          <t xml:space="preserve"> A value must be entered into this cell in order for the model to function properly. The input can be positive or negative (if the FIT value decreases over time), and a typical value may fall between 0% and 5%.  
</t>
        </r>
      </text>
    </comment>
    <comment ref="I1129" authorId="1" shapeId="0" xr:uid="{B3081877-E7AC-4F9D-BFEC-594D3DB3AE33}">
      <text>
        <r>
          <rPr>
            <b/>
            <sz val="14"/>
            <color indexed="81"/>
            <rFont val="Tahoma"/>
            <family val="2"/>
          </rPr>
          <t>Note:</t>
        </r>
        <r>
          <rPr>
            <sz val="14"/>
            <color indexed="81"/>
            <rFont val="Tahoma"/>
            <family val="2"/>
          </rPr>
          <t xml:space="preserve">
The natural aging of the mechanical components of a wind turbine generator may lead to a drop in turbine availability (or efficiency), and therefore production, over time.  
This input allows the user to model the potential for such degradation, which may be between 0% and 2% per year.
</t>
        </r>
        <r>
          <rPr>
            <b/>
            <sz val="14"/>
            <color indexed="81"/>
            <rFont val="Tahoma"/>
            <family val="2"/>
          </rPr>
          <t>If the modeled "Net Capacity Factor" is intented to take long-term average availability into account, then the user may wish to enter 0% in the Annual Production Degradation field.</t>
        </r>
        <r>
          <rPr>
            <sz val="14"/>
            <color indexed="81"/>
            <rFont val="Tahoma"/>
            <family val="2"/>
          </rPr>
          <t xml:space="preserve">
Input must be =&gt; 0%.
</t>
        </r>
      </text>
    </comment>
    <comment ref="I1130" authorId="1" shapeId="0" xr:uid="{FB2815C7-7980-4F77-9961-83AED8508554}">
      <text>
        <r>
          <rPr>
            <b/>
            <sz val="14"/>
            <color indexed="81"/>
            <rFont val="Tahoma"/>
            <family val="2"/>
          </rPr>
          <t xml:space="preserve">Note:
</t>
        </r>
        <r>
          <rPr>
            <sz val="14"/>
            <color indexed="81"/>
            <rFont val="Tahoma"/>
            <family val="2"/>
          </rPr>
          <t xml:space="preserve">The Project Useful Life is the number of years that the project is expected to be fully operational, reliably delivering electricity to the grid, and generating revenue. This concept is different from the FIT Contract Length, which is administratively determined by policymakers. These two values may be the same if a FIT contract is offered for the project's entire expected useful life. This approach is likely to generate the lowest tariff rate, while successfully attracting investors to renewable energy projects.  
The CREST model is built for a maximum Project Useful Life of 30 years.
Input must be greater than 0 and less than or equal to 30.
</t>
        </r>
      </text>
    </comment>
    <comment ref="S1130" authorId="1" shapeId="0" xr:uid="{0B461322-B294-488B-86E2-8665996327B9}">
      <text>
        <r>
          <rPr>
            <b/>
            <sz val="14"/>
            <color indexed="81"/>
            <rFont val="Tahoma"/>
            <family val="2"/>
          </rPr>
          <t xml:space="preserve">Note:
</t>
        </r>
        <r>
          <rPr>
            <sz val="14"/>
            <color indexed="81"/>
            <rFont val="Tahoma"/>
            <family val="2"/>
          </rPr>
          <t>If the designated "FIT Contract Length" is less than the defined "Project Useful Life", then this grouping of inputs is used to calculate the project's market-based revenue during the period from FIT contract expiration to the end of the project's life.</t>
        </r>
        <r>
          <rPr>
            <b/>
            <sz val="14"/>
            <color indexed="81"/>
            <rFont val="Tahoma"/>
            <family val="2"/>
          </rPr>
          <t xml:space="preserve">
</t>
        </r>
        <r>
          <rPr>
            <sz val="14"/>
            <color indexed="81"/>
            <rFont val="Tahoma"/>
            <family val="2"/>
          </rPr>
          <t xml:space="preserve">
</t>
        </r>
      </text>
    </comment>
    <comment ref="S1131" authorId="1" shapeId="0" xr:uid="{EDA6E728-D449-44A6-B3F8-FB38D83F267F}">
      <text>
        <r>
          <rPr>
            <b/>
            <sz val="14"/>
            <color indexed="81"/>
            <rFont val="Tahoma"/>
            <family val="2"/>
          </rPr>
          <t xml:space="preserve">Note:
</t>
        </r>
        <r>
          <rPr>
            <sz val="14"/>
            <color indexed="81"/>
            <rFont val="Tahoma"/>
            <family val="2"/>
          </rPr>
          <t>Selecting "Year One" forecasts the total market value of production based on an estimate of that value in the project's first year of commercial operation and a user-defined escalation rate.  
Selecting "Year-by-Year" enables the user to enter unique annual values for the period after the FIT expires and before the end of the project's useful life.</t>
        </r>
        <r>
          <rPr>
            <b/>
            <sz val="14"/>
            <color indexed="81"/>
            <rFont val="Tahoma"/>
            <family val="2"/>
          </rPr>
          <t xml:space="preserve">
</t>
        </r>
        <r>
          <rPr>
            <sz val="14"/>
            <color indexed="81"/>
            <rFont val="Tahoma"/>
            <family val="2"/>
          </rPr>
          <t xml:space="preserve">
</t>
        </r>
      </text>
    </comment>
    <comment ref="F1132" authorId="0" shapeId="0" xr:uid="{01861F71-FE4B-4E0C-AEF9-9DAC29AB1D68}">
      <text>
        <r>
          <rPr>
            <b/>
            <sz val="8"/>
            <color indexed="81"/>
            <rFont val="Tahoma"/>
            <family val="2"/>
          </rPr>
          <t>See "unit" definitions at the bottom of this worksheet.</t>
        </r>
        <r>
          <rPr>
            <sz val="8"/>
            <color indexed="81"/>
            <rFont val="Tahoma"/>
            <family val="2"/>
          </rPr>
          <t xml:space="preserve">
</t>
        </r>
      </text>
    </comment>
    <comment ref="S1132" authorId="1" shapeId="0" xr:uid="{B5C4F4AB-7B30-4EFF-B965-8856CE96D0CB}">
      <text>
        <r>
          <rPr>
            <b/>
            <sz val="14"/>
            <color indexed="81"/>
            <rFont val="Tahoma"/>
            <family val="2"/>
          </rPr>
          <t xml:space="preserve">Note:
</t>
        </r>
        <r>
          <rPr>
            <sz val="14"/>
            <color indexed="81"/>
            <rFont val="Tahoma"/>
            <family val="2"/>
          </rPr>
          <t xml:space="preserve">This is the </t>
        </r>
        <r>
          <rPr>
            <b/>
            <sz val="14"/>
            <color indexed="81"/>
            <rFont val="Tahoma"/>
            <family val="2"/>
          </rPr>
          <t>combined</t>
        </r>
        <r>
          <rPr>
            <sz val="14"/>
            <color indexed="81"/>
            <rFont val="Tahoma"/>
            <family val="2"/>
          </rPr>
          <t xml:space="preserve"> (or "bundled") market value of energy + capacity + Renewable Energy Credtis (RECs) in the same year in which the project's first enters commercial operation.
This input must be greater than zero.
</t>
        </r>
      </text>
    </comment>
    <comment ref="I1133" authorId="1" shapeId="0" xr:uid="{7B66C578-CC21-41CE-848D-AAE697CBFA7B}">
      <text>
        <r>
          <rPr>
            <b/>
            <sz val="14"/>
            <color indexed="81"/>
            <rFont val="Tahoma"/>
            <family val="2"/>
          </rPr>
          <t>Note:</t>
        </r>
        <r>
          <rPr>
            <sz val="14"/>
            <color indexed="81"/>
            <rFont val="Tahoma"/>
            <family val="2"/>
          </rPr>
          <t xml:space="preserve">
This model alllows the user to input system cost at 1 of 3 levels of detail: "simple", "intermediate" or "complex." Simple offers a single input in $/kW, Intermediate offers five cost subcategories in total dollars, and Complex offers line-by-line project costing with user-defined categories and costs per line-item.  
Select your preferred method and use the cells below to enter your cost information. If you choose the "Complex" option, you will need to follow the link below to the "Complex Capital Costs" tab.</t>
        </r>
      </text>
    </comment>
    <comment ref="S1133" authorId="1" shapeId="0" xr:uid="{EEE78A9F-3479-4145-93B3-6EC1D979280C}">
      <text>
        <r>
          <rPr>
            <b/>
            <sz val="14"/>
            <color indexed="81"/>
            <rFont val="Tahoma"/>
            <family val="2"/>
          </rPr>
          <t xml:space="preserve">Note:
</t>
        </r>
        <r>
          <rPr>
            <sz val="14"/>
            <color indexed="81"/>
            <rFont val="Tahoma"/>
            <family val="2"/>
          </rPr>
          <t xml:space="preserve">When the "Year One" forecast methodology is selected, this is the user-defined escalation rate at which the market value of production is expected to change.
Input must be greater than zero.
</t>
        </r>
      </text>
    </comment>
    <comment ref="I1134" authorId="1" shapeId="0" xr:uid="{2C717ADD-C31B-4437-A635-95B2D327DC3E}">
      <text>
        <r>
          <rPr>
            <b/>
            <sz val="14"/>
            <color indexed="81"/>
            <rFont val="Tahoma"/>
            <family val="2"/>
          </rPr>
          <t>Note:</t>
        </r>
        <r>
          <rPr>
            <sz val="14"/>
            <color indexed="81"/>
            <rFont val="Tahoma"/>
            <family val="2"/>
          </rPr>
          <t xml:space="preserve">
When "Simple" is selected in the Cost Level of Detail cell, this "Total Installed Cost" row represents the total expected all-in project cost, which should include all hardware, balance of plant, interconnection, design, construction, permitting, development (including developer fee), interest during construction and financing costs. This figure should not account for any tax incentives, grants, or other cash incentives, each of which will be addressed elsewhere in the model. This figure should, however, reflect any applicable sales tax or exemptions thereof.
Input must be greater than zero.
</t>
        </r>
      </text>
    </comment>
    <comment ref="S1134" authorId="1" shapeId="0" xr:uid="{A5E2AA90-0DC5-4786-95FE-1DB30D7526E3}">
      <text>
        <r>
          <rPr>
            <b/>
            <sz val="14"/>
            <color indexed="81"/>
            <rFont val="Tahoma"/>
            <family val="2"/>
          </rPr>
          <t xml:space="preserve">Note:
</t>
        </r>
        <r>
          <rPr>
            <sz val="14"/>
            <color indexed="81"/>
            <rFont val="Tahoma"/>
            <family val="2"/>
          </rPr>
          <t xml:space="preserve">When "Year-by-Year" market value of production forecast is selected, this link brings the user to another worksheet on which unique annual values may be entered.
</t>
        </r>
      </text>
    </comment>
    <comment ref="I1135" authorId="1" shapeId="0" xr:uid="{962FC7D7-D344-4AE2-A267-008F207DB775}">
      <text>
        <r>
          <rPr>
            <b/>
            <sz val="14"/>
            <color indexed="81"/>
            <rFont val="Tahoma"/>
            <family val="2"/>
          </rPr>
          <t>Note:</t>
        </r>
        <r>
          <rPr>
            <sz val="14"/>
            <color indexed="81"/>
            <rFont val="Tahoma"/>
            <family val="2"/>
          </rPr>
          <t xml:space="preserve">
"Generation Equipment" should include hardware such as the generator, blades and tower.  
Caution: the model assumes that if "Intermediate" is selected as the level of detail section, the "Generation Equipment" row must have a value greater than zero. 
</t>
        </r>
      </text>
    </comment>
    <comment ref="I1136" authorId="1" shapeId="0" xr:uid="{DC2BBC5B-4B55-4365-A4A1-028FA053F4B3}">
      <text>
        <r>
          <rPr>
            <b/>
            <sz val="14"/>
            <color indexed="81"/>
            <rFont val="Tahoma"/>
            <family val="2"/>
          </rPr>
          <t>Note:</t>
        </r>
        <r>
          <rPr>
            <sz val="14"/>
            <color indexed="81"/>
            <rFont val="Tahoma"/>
            <family val="2"/>
          </rPr>
          <t xml:space="preserve">
Balance of Plant (also known as Balance of System) represents all infrastructure, site prep and labor supporting the installation of the generation equipment. BOP costs include foundations, mounting devices, other hardware, and labor not already accounted for in the "Generation Equipment" row.
Input cannot be less than zero.
</t>
        </r>
      </text>
    </comment>
    <comment ref="P1136" authorId="0" shapeId="0" xr:uid="{8CDAAF96-6DB5-4336-9F1E-AE6CD8BD0858}">
      <text>
        <r>
          <rPr>
            <b/>
            <sz val="8"/>
            <color indexed="81"/>
            <rFont val="Tahoma"/>
            <family val="2"/>
          </rPr>
          <t>See "unit" definitions at the bottom of this worksheet.</t>
        </r>
        <r>
          <rPr>
            <sz val="8"/>
            <color indexed="81"/>
            <rFont val="Tahoma"/>
            <family val="2"/>
          </rPr>
          <t xml:space="preserve">
</t>
        </r>
      </text>
    </comment>
    <comment ref="I1137" authorId="1" shapeId="0" xr:uid="{B1A7181E-0486-4675-A0A1-9F95DE174F4E}">
      <text>
        <r>
          <rPr>
            <b/>
            <sz val="14"/>
            <color indexed="81"/>
            <rFont val="Tahoma"/>
            <family val="2"/>
          </rPr>
          <t>Note:</t>
        </r>
        <r>
          <rPr>
            <sz val="14"/>
            <color indexed="81"/>
            <rFont val="Tahoma"/>
            <family val="2"/>
          </rPr>
          <t xml:space="preserve">
The "Interconnection" row should account for all project costs relating to connecting to the grid, such as the construction of transmission lines, permitting costs with the utility, and start-up costs. This category will also include the cost of a new substation, if necessary.
Regulators wishing to explore the potential that interconnection costs may be recovered from ratepayers separately can elect to enter zeros in this cost category whenever "Intermediate" or "Complex" is selected.
Input cannot be less than zero.
</t>
        </r>
      </text>
    </comment>
    <comment ref="S1137" authorId="0" shapeId="0" xr:uid="{ECC94385-829D-4CA6-B6D3-506D161366FB}">
      <text>
        <r>
          <rPr>
            <b/>
            <sz val="14"/>
            <color indexed="81"/>
            <rFont val="Tahoma"/>
            <family val="2"/>
          </rPr>
          <t xml:space="preserve">Note:
</t>
        </r>
        <r>
          <rPr>
            <sz val="14"/>
            <color indexed="81"/>
            <rFont val="Tahoma"/>
            <family val="2"/>
          </rPr>
          <t>This drop-down input cell allows the user to specify whether federal incentives are cost-based (e.g. an investment tax credit) or performance-based (e.g. a PTC). The magnitude and terms of these incentives are set in the cells below.
For more information, a useful resource for researching federal and state incentives online is:  
http://dsireusa.org/
*See bottom of introduction page for a list of links</t>
        </r>
      </text>
    </comment>
    <comment ref="E1138" authorId="0" shapeId="0" xr:uid="{9C9C88F2-1FC1-427A-ABDF-1674DC52A832}">
      <text>
        <r>
          <rPr>
            <b/>
            <sz val="14"/>
            <color indexed="81"/>
            <rFont val="Tahoma"/>
            <family val="2"/>
          </rPr>
          <t>Jason Gifford:</t>
        </r>
        <r>
          <rPr>
            <sz val="14"/>
            <color indexed="81"/>
            <rFont val="Tahoma"/>
            <family val="2"/>
          </rPr>
          <t xml:space="preserve">
Converted to "admin cost" for community remote DG</t>
        </r>
      </text>
    </comment>
    <comment ref="I1138" authorId="1" shapeId="0" xr:uid="{A0CC9F4F-79C2-4263-B348-D53261503490}">
      <text>
        <r>
          <rPr>
            <b/>
            <sz val="14"/>
            <color indexed="81"/>
            <rFont val="Tahoma"/>
            <family val="2"/>
          </rPr>
          <t>Note:</t>
        </r>
        <r>
          <rPr>
            <sz val="8"/>
            <color indexed="81"/>
            <rFont val="Tahoma"/>
            <family val="2"/>
          </rPr>
          <t xml:space="preserve">
</t>
        </r>
        <r>
          <rPr>
            <sz val="14"/>
            <color indexed="81"/>
            <rFont val="Tahoma"/>
            <family val="2"/>
          </rPr>
          <t xml:space="preserve">The "Development Costs" row should include all costs relating to project management, studies, engineering, permitting, contingencies, success fees, and other soft costs not accounted for elsewhere in the "Intermediate" cost breakdown. 
Input cannot be less than zero.
</t>
        </r>
      </text>
    </comment>
    <comment ref="S1138" authorId="1" shapeId="0" xr:uid="{1B6E5066-ADB0-4FE5-B59D-954499D2CF46}">
      <text>
        <r>
          <rPr>
            <b/>
            <sz val="14"/>
            <color indexed="81"/>
            <rFont val="Tahoma"/>
            <family val="2"/>
          </rPr>
          <t xml:space="preserve">Note:
</t>
        </r>
        <r>
          <rPr>
            <sz val="14"/>
            <color indexed="81"/>
            <rFont val="Tahoma"/>
            <family val="2"/>
          </rPr>
          <t>Some renewable energy projects may be eligible to take advantagee of Federal incentives such as the Investment Tax Credit or a Treasury Grant. Information on eligibility for funding opportunities such as these is available online at:
http://dsireusa.org/incentives/incentive.cfm?Incentive_Code=US02F&amp;re=1&amp;ee=1
*See bottom of introduction page for a list of links</t>
        </r>
        <r>
          <rPr>
            <b/>
            <sz val="14"/>
            <color indexed="81"/>
            <rFont val="Tahoma"/>
            <family val="2"/>
          </rPr>
          <t xml:space="preserve">
</t>
        </r>
        <r>
          <rPr>
            <sz val="14"/>
            <color indexed="81"/>
            <rFont val="Tahoma"/>
            <family val="2"/>
          </rPr>
          <t xml:space="preserve">
</t>
        </r>
      </text>
    </comment>
    <comment ref="I1139" authorId="1" shapeId="0" xr:uid="{EF499368-A783-4DE2-BBB7-36EBEA07EF87}">
      <text>
        <r>
          <rPr>
            <b/>
            <sz val="14"/>
            <color indexed="81"/>
            <rFont val="Tahoma"/>
            <family val="2"/>
          </rPr>
          <t>Note:</t>
        </r>
        <r>
          <rPr>
            <sz val="14"/>
            <color indexed="81"/>
            <rFont val="Tahoma"/>
            <family val="2"/>
          </rPr>
          <t xml:space="preserve">
The "Reserves &amp; Financing Costs" row accounts for all costs relating to financing, such as lender fees, closing costs, legal fees, interest during construction, due diligence costs, and any other relevant, financing relating costs. The model calculates this field by aggregating G22 through G25, G51, G54, G63, G66, Q57 and Q60.
</t>
        </r>
      </text>
    </comment>
    <comment ref="S1139" authorId="0" shapeId="0" xr:uid="{B6DFF842-DFA9-4223-ABED-11D8D6B13C0C}">
      <text>
        <r>
          <rPr>
            <b/>
            <sz val="14"/>
            <color indexed="81"/>
            <rFont val="Tahoma"/>
            <family val="2"/>
          </rPr>
          <t xml:space="preserve">NOTE:
</t>
        </r>
        <r>
          <rPr>
            <sz val="14"/>
            <color indexed="81"/>
            <rFont val="Tahoma"/>
            <family val="2"/>
          </rPr>
          <t xml:space="preserve">The maximum potential Investment Tax Credit (ITC) benefit is assumed to be 30% of those project costs which are depreciable on the 5-year MACRS schedule.  This 'eligible costs' assumption is purposefully simplified for this analysis.  Project costs depreciated on other bases may also be eligible for the ITC.  Developers should consult with tax counsel for project-specific depreciation and ITC treatment of each project cost.
</t>
        </r>
        <r>
          <rPr>
            <sz val="8"/>
            <color indexed="81"/>
            <rFont val="Tahoma"/>
            <family val="2"/>
          </rPr>
          <t xml:space="preserve">
</t>
        </r>
      </text>
    </comment>
    <comment ref="I1140" authorId="1" shapeId="0" xr:uid="{CA4279F5-746F-494B-B060-2A97738A1D4B}">
      <text>
        <r>
          <rPr>
            <b/>
            <sz val="14"/>
            <color indexed="81"/>
            <rFont val="Tahoma"/>
            <family val="2"/>
          </rPr>
          <t>Note:</t>
        </r>
        <r>
          <rPr>
            <sz val="14"/>
            <color indexed="81"/>
            <rFont val="Tahoma"/>
            <family val="2"/>
          </rPr>
          <t xml:space="preserve">
If you wish to enter your project costs under the "Complex" format, select Complex from the drop-down menu and use the link to the left to access additional worksheets which provide the opportunitiy to add significant, additional detail on project costs. Once complete, the model will roll up the detailed costs and populate this row with the resultant final project cost. </t>
        </r>
      </text>
    </comment>
    <comment ref="S1140" authorId="0" shapeId="0" xr:uid="{C73E9681-C875-42A4-B9A3-E2CB050E33FF}">
      <text>
        <r>
          <rPr>
            <b/>
            <sz val="14"/>
            <color indexed="81"/>
            <rFont val="Tahoma"/>
            <family val="2"/>
          </rPr>
          <t xml:space="preserve">NOTE:
</t>
        </r>
        <r>
          <rPr>
            <sz val="14"/>
            <color indexed="81"/>
            <rFont val="Tahoma"/>
            <family val="2"/>
          </rPr>
          <t xml:space="preserve">As a tax </t>
        </r>
        <r>
          <rPr>
            <u/>
            <sz val="14"/>
            <color indexed="81"/>
            <rFont val="Tahoma"/>
            <family val="2"/>
          </rPr>
          <t>credit</t>
        </r>
        <r>
          <rPr>
            <sz val="14"/>
            <color indexed="81"/>
            <rFont val="Tahoma"/>
            <family val="2"/>
          </rPr>
          <t>, the ITC is only usable by project owners with positive federal income tax liability.  
In cases where the owner's tax liability in the calendar year of the project's first commercial operation exceeds the ITC amount, the user may enter 100% in this field and assume full utilization of the ITC.
If the owner's tax liability is less than the available ITC, the user may either enter a % value less than 100% or select the "carried forward" method in the "Tax Benefits used as generated or carried forward?" cell.  
Input must be between 0% and 100%.</t>
        </r>
        <r>
          <rPr>
            <sz val="8"/>
            <color indexed="81"/>
            <rFont val="Tahoma"/>
            <family val="2"/>
          </rPr>
          <t xml:space="preserve">
</t>
        </r>
      </text>
    </comment>
    <comment ref="I1141" authorId="1" shapeId="0" xr:uid="{D17C8660-2730-4637-8049-703DF74EC70D}">
      <text>
        <r>
          <rPr>
            <b/>
            <sz val="14"/>
            <color indexed="81"/>
            <rFont val="Tahoma"/>
            <family val="2"/>
          </rPr>
          <t>Note:</t>
        </r>
        <r>
          <rPr>
            <sz val="14"/>
            <color indexed="81"/>
            <rFont val="Tahoma"/>
            <family val="2"/>
          </rPr>
          <t xml:space="preserve">
The total system cost is a calculation, based on the level of detail selected and the assocated inputs.
</t>
        </r>
      </text>
    </comment>
    <comment ref="S1141" authorId="0" shapeId="0" xr:uid="{9469E9CC-2CAC-40C3-A270-60667689B388}">
      <text>
        <r>
          <rPr>
            <b/>
            <sz val="14"/>
            <color indexed="81"/>
            <rFont val="Tahoma"/>
            <family val="2"/>
          </rPr>
          <t xml:space="preserve">Note:
</t>
        </r>
        <r>
          <rPr>
            <sz val="14"/>
            <color indexed="81"/>
            <rFont val="Tahoma"/>
            <family val="2"/>
          </rPr>
          <t xml:space="preserve">Calculates the dollar value of the Investment Tax Credit or Cash Grant, if applicable.
</t>
        </r>
      </text>
    </comment>
    <comment ref="I1142" authorId="1" shapeId="0" xr:uid="{ABABB02D-1ABD-488F-8CC9-7D97D0B02BA5}">
      <text>
        <r>
          <rPr>
            <b/>
            <sz val="14"/>
            <color indexed="81"/>
            <rFont val="Tahoma"/>
            <family val="2"/>
          </rPr>
          <t>Note:</t>
        </r>
        <r>
          <rPr>
            <sz val="14"/>
            <color indexed="81"/>
            <rFont val="Tahoma"/>
            <family val="2"/>
          </rPr>
          <t xml:space="preserve">
Calculation based on the total system cost in the cell above and the system size reported. Typical costs (as of 2010) fall between $2,000/kW and $3,000/kW.</t>
        </r>
        <r>
          <rPr>
            <sz val="8"/>
            <color indexed="81"/>
            <rFont val="Tahoma"/>
            <family val="2"/>
          </rPr>
          <t xml:space="preserve">
</t>
        </r>
      </text>
    </comment>
    <comment ref="S1142" authorId="0" shapeId="0" xr:uid="{7679EDB4-D1CB-4F8F-9CDD-18085E9B0572}">
      <text>
        <r>
          <rPr>
            <b/>
            <sz val="14"/>
            <color indexed="81"/>
            <rFont val="Tahoma"/>
            <family val="2"/>
          </rPr>
          <t xml:space="preserve">Note: </t>
        </r>
        <r>
          <rPr>
            <sz val="14"/>
            <color indexed="81"/>
            <rFont val="Tahoma"/>
            <family val="2"/>
          </rPr>
          <t xml:space="preserve">
This input cell, the "Performance Based Incentive" or "PBI" is another potential incentive available to some specific projects. The PBI would be separate from a feed-in-tariff, but acts similarly in that it is per unit of production (typically kWh) income to a project.
Some examples of PBIs include the Federal Production Tax Credit (applicable to private projects with tax appetites) and the Federal Renewable Energy Production Incentive (REPI), historically available to some public projects.
</t>
        </r>
      </text>
    </comment>
    <comment ref="I1143" authorId="1" shapeId="0" xr:uid="{4088CB6C-2706-49F6-A87E-4BC1322F906F}">
      <text>
        <r>
          <rPr>
            <b/>
            <sz val="14"/>
            <color indexed="81"/>
            <rFont val="Tahoma"/>
            <family val="2"/>
          </rPr>
          <t xml:space="preserve">Note:
</t>
        </r>
        <r>
          <rPr>
            <sz val="14"/>
            <color indexed="81"/>
            <rFont val="Tahoma"/>
            <family val="2"/>
          </rPr>
          <t xml:space="preserve">This cell calculates the total of all applicable grants, excluding the payment in lieu of the Federal ITC (also known as the ITC Cash Grant, or Cash Grant), if applicable.  The ITC Cash Grant is considered separately because unlike grants issued upfront and used to offset capital costs, the ITC Cash Grant is disbursed approxiamtely 60 days after the start of commercial operations and therefore becomes an integral part of the project's financing.
Where grants are treated as taxable income, this cell calculates the after-tax impact on the total cost of the project.
  </t>
        </r>
        <r>
          <rPr>
            <sz val="8"/>
            <color indexed="81"/>
            <rFont val="Tahoma"/>
            <family val="2"/>
          </rPr>
          <t xml:space="preserve">
</t>
        </r>
      </text>
    </comment>
    <comment ref="S1143" authorId="0" shapeId="0" xr:uid="{70352018-DDD9-441C-A9EF-7908A2B1421C}">
      <text>
        <r>
          <rPr>
            <b/>
            <sz val="14"/>
            <color indexed="81"/>
            <rFont val="Tahoma"/>
            <family val="2"/>
          </rPr>
          <t xml:space="preserve">Note: </t>
        </r>
        <r>
          <rPr>
            <sz val="14"/>
            <color indexed="81"/>
            <rFont val="Tahoma"/>
            <family val="2"/>
          </rPr>
          <t xml:space="preserve">
This cell denotes the value of the Performance Based Incentive applicable to the project's first year of commercial operation. In some cases, this value will need to be calculated external to the model if such PBI is derived from a "base year" and specified inflation index. The following cells can be used to account for inflation and the maximum term of eligibility.
Input cannot be less than zero.
</t>
        </r>
      </text>
    </comment>
    <comment ref="I1144" authorId="1" shapeId="0" xr:uid="{420D7BD5-9131-4F54-96B7-65C74DB4F872}">
      <text>
        <r>
          <rPr>
            <b/>
            <sz val="14"/>
            <color indexed="81"/>
            <rFont val="Tahoma"/>
            <family val="2"/>
          </rPr>
          <t>Note:</t>
        </r>
        <r>
          <rPr>
            <sz val="14"/>
            <color indexed="81"/>
            <rFont val="Tahoma"/>
            <family val="2"/>
          </rPr>
          <t xml:space="preserve">
Calculation of total project cost net applicable grants. 
</t>
        </r>
      </text>
    </comment>
    <comment ref="S1144" authorId="0" shapeId="0" xr:uid="{69125BD2-6BF3-469C-9CDF-1CC67471A3A5}">
      <text>
        <r>
          <rPr>
            <b/>
            <sz val="14"/>
            <color indexed="81"/>
            <rFont val="Tahoma"/>
            <family val="2"/>
          </rPr>
          <t>Note:</t>
        </r>
        <r>
          <rPr>
            <sz val="14"/>
            <color indexed="81"/>
            <rFont val="Tahoma"/>
            <family val="2"/>
          </rPr>
          <t xml:space="preserve">
This is the length of time that a project would be eligible for any Performance Based Incentives outlined in the cell immediately above. For example, the Federal Renewable Energy Production Incentive and Production Tax Credit incentives are available for the first 10 years of project operation.
Input cannot be less than zero.
</t>
        </r>
      </text>
    </comment>
    <comment ref="I1145" authorId="1" shapeId="0" xr:uid="{9884119A-085B-433E-8971-73DFFB3C5F7B}">
      <text>
        <r>
          <rPr>
            <b/>
            <sz val="14"/>
            <color indexed="81"/>
            <rFont val="Tahoma"/>
            <family val="2"/>
          </rPr>
          <t xml:space="preserve">Note:
</t>
        </r>
        <r>
          <rPr>
            <sz val="14"/>
            <color indexed="81"/>
            <rFont val="Tahoma"/>
            <family val="2"/>
          </rPr>
          <t xml:space="preserve">Calculation, based on net project cost and total installed capacity. 
</t>
        </r>
      </text>
    </comment>
    <comment ref="S1145" authorId="0" shapeId="0" xr:uid="{315CB169-065B-425C-8AD7-0661914FE453}">
      <text>
        <r>
          <rPr>
            <b/>
            <sz val="14"/>
            <color indexed="81"/>
            <rFont val="Tahoma"/>
            <family val="2"/>
          </rPr>
          <t xml:space="preserve">Note:
</t>
        </r>
        <r>
          <rPr>
            <sz val="14"/>
            <color indexed="81"/>
            <rFont val="Tahoma"/>
            <family val="2"/>
          </rPr>
          <t xml:space="preserve">Performance Based Incentives are often adjusted to account for inflation. For example, the Federal Production Tax Credit (PTC) is adjusted each year to account for changes in the GDP IPD index. This cell can be used as a proxy for the inflation that would apply to any PBI incentive entered above.
This input cannot be left blank.
</t>
        </r>
        <r>
          <rPr>
            <sz val="8"/>
            <color indexed="81"/>
            <rFont val="Tahoma"/>
            <family val="2"/>
          </rPr>
          <t xml:space="preserve">
</t>
        </r>
      </text>
    </comment>
    <comment ref="S1146" authorId="0" shapeId="0" xr:uid="{64794738-E85F-4DF4-82F9-62DDC2293EAE}">
      <text>
        <r>
          <rPr>
            <b/>
            <sz val="14"/>
            <color indexed="81"/>
            <rFont val="Tahoma"/>
            <family val="2"/>
          </rPr>
          <t xml:space="preserve">Note:
</t>
        </r>
        <r>
          <rPr>
            <sz val="14"/>
            <color indexed="81"/>
            <rFont val="Tahoma"/>
            <family val="2"/>
          </rPr>
          <t>In some cases, due to the nature of the requirements of some Performance Based Incentive programs, project owners are unable to maximize the full revenue stream of the incentive. For example, in the case of the Federal Production Tax Credit (PTC), the project owner may not have sufficienct tax appetite to fully utilize the tax credits. 
This input cell would allow the modeler to account for the owner's inability to fully utilize the PTC and/or the reduction of the PTC (a "haircut") due to the presence of subsidized (below market interest rate) financing.
Incentive "availability" will likely be a factor if this cell is being used to model the cash-based Renewable Energy Production Incentive (REPI).  The REPI program has historically been underfunded; available monies are allocated pro rata among eligible projects.  In this case, the value entered in this cell should reflect the user's expectation of the fraction of the face value REPI payment that will be available over the applicable incentive term.
Input must be between 0% to 100%.</t>
        </r>
      </text>
    </comment>
    <comment ref="F1147" authorId="0" shapeId="0" xr:uid="{5D8FA43A-C502-4602-B0D2-E5DE6541A06E}">
      <text>
        <r>
          <rPr>
            <b/>
            <sz val="8"/>
            <color indexed="81"/>
            <rFont val="Tahoma"/>
            <family val="2"/>
          </rPr>
          <t>See "unit" definitions at the bottom of this worksheet.</t>
        </r>
        <r>
          <rPr>
            <sz val="8"/>
            <color indexed="81"/>
            <rFont val="Tahoma"/>
            <family val="2"/>
          </rPr>
          <t xml:space="preserve">
</t>
        </r>
      </text>
    </comment>
    <comment ref="S1147" authorId="0" shapeId="0" xr:uid="{7A247032-D85C-4B32-BCF6-A594D663A710}">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I1148" authorId="0" shapeId="0" xr:uid="{79B62237-0720-45BC-9F04-9C3ADAC1EAAB}">
      <text>
        <r>
          <rPr>
            <b/>
            <sz val="14"/>
            <color indexed="81"/>
            <rFont val="Tahoma"/>
            <family val="2"/>
          </rPr>
          <t>Note:</t>
        </r>
        <r>
          <rPr>
            <sz val="14"/>
            <color indexed="81"/>
            <rFont val="Tahoma"/>
            <family val="2"/>
          </rPr>
          <t xml:space="preserve">
Select either "Simple" or "Intermediate" O&amp;M expense detail using the drop-down menu to the right.
</t>
        </r>
        <r>
          <rPr>
            <sz val="8"/>
            <color indexed="81"/>
            <rFont val="Tahoma"/>
            <family val="2"/>
          </rPr>
          <t xml:space="preserve">
</t>
        </r>
      </text>
    </comment>
    <comment ref="I1149" authorId="1" shapeId="0" xr:uid="{C8BBD41F-7D72-4C30-8330-B80A43D11592}">
      <text>
        <r>
          <rPr>
            <b/>
            <sz val="14"/>
            <color indexed="81"/>
            <rFont val="Tahoma"/>
            <family val="2"/>
          </rPr>
          <t>Note:</t>
        </r>
        <r>
          <rPr>
            <sz val="14"/>
            <color indexed="81"/>
            <rFont val="Tahoma"/>
            <family val="2"/>
          </rPr>
          <t xml:space="preserve">
If "Simple" is selected in the cell above, then this input should reflect the </t>
        </r>
        <r>
          <rPr>
            <b/>
            <u/>
            <sz val="14"/>
            <color indexed="81"/>
            <rFont val="Tahoma"/>
            <family val="2"/>
          </rPr>
          <t>total</t>
        </r>
        <r>
          <rPr>
            <sz val="14"/>
            <color indexed="81"/>
            <rFont val="Tahoma"/>
            <family val="2"/>
          </rPr>
          <t xml:space="preserve"> expected </t>
        </r>
        <r>
          <rPr>
            <b/>
            <u/>
            <sz val="14"/>
            <color indexed="81"/>
            <rFont val="Tahoma"/>
            <family val="2"/>
          </rPr>
          <t>fixed</t>
        </r>
        <r>
          <rPr>
            <sz val="14"/>
            <color indexed="81"/>
            <rFont val="Tahoma"/>
            <family val="2"/>
          </rPr>
          <t xml:space="preserve"> cost of project operations and maintenance, in $/kW-yr.  This </t>
        </r>
        <r>
          <rPr>
            <u/>
            <sz val="14"/>
            <color indexed="81"/>
            <rFont val="Tahoma"/>
            <family val="2"/>
          </rPr>
          <t>includes</t>
        </r>
        <r>
          <rPr>
            <sz val="14"/>
            <color indexed="81"/>
            <rFont val="Tahoma"/>
            <family val="2"/>
          </rPr>
          <t xml:space="preserve"> the insurance, project management, property tax (or payment in lieu thereof), land lease, and royalty expenses which would have been broken out separately in the "Intermediate" case.  Other labor and spare parts should also be included in this estimate.
If the user has obtained O&amp;M expense estimates from a third-party, it is critical to understand which costs have been included.  If the user is not certain that all of the above-listed expenses are included in the fixed cost estimate, then the "Intermediate" approach should be used and these expenses should be entered separately.
If "Intermediate" is selected, then this input should reflect  the expected annual fixed O&amp;M cost before taking into account the additional listed expenses, which are entered below. 
In all cases, fixed O&amp;M would include - among others - the ongoing cost of obtaining daily, weekly or monthly production estimates based on weather and other factors.
Input value must be greater than zero. 
</t>
        </r>
      </text>
    </comment>
    <comment ref="S1149" authorId="1" shapeId="0" xr:uid="{2CC77538-8290-423C-B279-440F1E3E906D}">
      <text>
        <r>
          <rPr>
            <b/>
            <sz val="14"/>
            <color indexed="81"/>
            <rFont val="Tahoma"/>
            <family val="2"/>
          </rPr>
          <t xml:space="preserve">Note:
</t>
        </r>
        <r>
          <rPr>
            <sz val="14"/>
            <color indexed="81"/>
            <rFont val="Tahoma"/>
            <family val="2"/>
          </rPr>
          <t xml:space="preserve">Some renewable energy projects may be eligible for other federal grants as well, such as funding from the U.S. Department of Agriculture. This input cell can be used to capture those funding opportunities, some of which are outlined online at:
http://dsireusa.org/incentives/index.cfm?state=us&amp;re=1&amp;EE=1
*See bottom of introduction page for a list of links
Input cannot be less than zero.
</t>
        </r>
      </text>
    </comment>
    <comment ref="I1150" authorId="1" shapeId="0" xr:uid="{7ED3CAF6-257F-43A5-AF49-9D327701B0E3}">
      <text>
        <r>
          <rPr>
            <b/>
            <sz val="14"/>
            <color indexed="81"/>
            <rFont val="Tahoma"/>
            <family val="2"/>
          </rPr>
          <t>Note:</t>
        </r>
        <r>
          <rPr>
            <sz val="14"/>
            <color indexed="81"/>
            <rFont val="Tahoma"/>
            <family val="2"/>
          </rPr>
          <t xml:space="preserve">
This cell provides the user with the option of accounting for O&amp;M expenses (such as labor and spare parts) which are more easily estimated and modeled on a variable, cents per kWh basis.  
If "Simple" is selected above, then this cell should also take into account variable costs, such as royalties, </t>
        </r>
        <r>
          <rPr>
            <b/>
            <u/>
            <sz val="14"/>
            <color indexed="81"/>
            <rFont val="Tahoma"/>
            <family val="2"/>
          </rPr>
          <t>if</t>
        </r>
        <r>
          <rPr>
            <sz val="14"/>
            <color indexed="81"/>
            <rFont val="Tahoma"/>
            <family val="2"/>
          </rPr>
          <t xml:space="preserve"> such annual expenses are not already accounted for in the fixed cost input above.
Input cannot be less than zero.
</t>
        </r>
      </text>
    </comment>
    <comment ref="S1150" authorId="0" shapeId="0" xr:uid="{C2BF3E1B-605D-4F5A-AAB8-EAF0F74BEA56}">
      <text>
        <r>
          <rPr>
            <b/>
            <sz val="14"/>
            <color indexed="81"/>
            <rFont val="Tahoma"/>
            <family val="2"/>
          </rPr>
          <t xml:space="preserve">Note:
</t>
        </r>
        <r>
          <rPr>
            <sz val="14"/>
            <color indexed="81"/>
            <rFont val="Tahoma"/>
            <family val="2"/>
          </rPr>
          <t xml:space="preserve">Select here whether federal grants (other than the section 1603 payment in lieu of the ITC/PTC) are treated as taxable income. If no, depreciation basis is reduced. 
</t>
        </r>
      </text>
    </comment>
    <comment ref="I1151" authorId="0" shapeId="0" xr:uid="{915A70AC-6080-4E54-8C42-D53C51A2C5EF}">
      <text>
        <r>
          <rPr>
            <b/>
            <sz val="14"/>
            <color indexed="81"/>
            <rFont val="Tahoma"/>
            <family val="2"/>
          </rPr>
          <t>Note:</t>
        </r>
        <r>
          <rPr>
            <sz val="14"/>
            <color indexed="81"/>
            <rFont val="Tahoma"/>
            <family val="2"/>
          </rPr>
          <t xml:space="preserve">
This inflation rate applies to both fixed and variable O&amp;M expense, insurance, and project management costs entered above, if applicable. 
The model allows the user to specify an inflation assumption for an "initial period" and a second inflation assumption "thereafter." These inputs can be used to account for inflation which might be fixed during an initial O&amp;M service contract, but are unknown thereafter.  The final year of the "initial period" is  user-defined (e.g. final year of an O&amp;M service contract). 
The purpose of this feature is also to recognize that inflationary trends may change over time, or that some projects may not expect inflation of O&amp;M expenses for the first several years, but may expect inflation thereafter.
This inflation rate does not apply to PILOT or Royalty costs. Input cannot be less than zero.
</t>
        </r>
      </text>
    </comment>
    <comment ref="I1152" authorId="0" shapeId="0" xr:uid="{7623ED43-AE5A-41D5-A562-36D7BF3AC827}">
      <text>
        <r>
          <rPr>
            <b/>
            <sz val="14"/>
            <color indexed="81"/>
            <rFont val="Tahoma"/>
            <family val="2"/>
          </rPr>
          <t xml:space="preserve">Note:
</t>
        </r>
        <r>
          <rPr>
            <sz val="14"/>
            <color indexed="81"/>
            <rFont val="Tahoma"/>
            <family val="2"/>
          </rPr>
          <t xml:space="preserve">This feature allows the user to assume that the rate at which expenses change over time is not constant. This cell provides the year in which the first inflation period ends.
Input cannot be less than zero.
</t>
        </r>
      </text>
    </comment>
    <comment ref="P1152" authorId="0" shapeId="0" xr:uid="{035D37FB-AD98-477D-A9E7-3599A4BDAE27}">
      <text>
        <r>
          <rPr>
            <b/>
            <sz val="8"/>
            <color indexed="81"/>
            <rFont val="Tahoma"/>
            <family val="2"/>
          </rPr>
          <t>See "unit" definitions at the bottom of this worksheet.</t>
        </r>
        <r>
          <rPr>
            <sz val="8"/>
            <color indexed="81"/>
            <rFont val="Tahoma"/>
            <family val="2"/>
          </rPr>
          <t xml:space="preserve">
</t>
        </r>
      </text>
    </comment>
    <comment ref="I1153" authorId="0" shapeId="0" xr:uid="{8C6C8362-8F75-4D6D-AAB8-30D140BA7662}">
      <text>
        <r>
          <rPr>
            <b/>
            <sz val="14"/>
            <color indexed="81"/>
            <rFont val="Tahoma"/>
            <family val="2"/>
          </rPr>
          <t xml:space="preserve">Note:
</t>
        </r>
        <r>
          <rPr>
            <sz val="14"/>
            <color indexed="81"/>
            <rFont val="Tahoma"/>
            <family val="2"/>
          </rPr>
          <t xml:space="preserve">This cell provides the inflation rate for the remainder of the project's useful life.
Input must be greater than zero.
</t>
        </r>
      </text>
    </comment>
    <comment ref="S1153" authorId="1" shapeId="0" xr:uid="{E5DCA4B8-163E-4772-BC0A-0EEA2A2EB3D8}">
      <text>
        <r>
          <rPr>
            <b/>
            <sz val="14"/>
            <color indexed="81"/>
            <rFont val="Tahoma"/>
            <family val="2"/>
          </rPr>
          <t xml:space="preserve">Note:
</t>
        </r>
        <r>
          <rPr>
            <sz val="14"/>
            <color indexed="81"/>
            <rFont val="Tahoma"/>
            <family val="2"/>
          </rPr>
          <t>This drop-down input cell allows the user to specify whether state incentives are cost-based (e.g. an investment tax credit) or performance-based (e.g. a PTC or cash payment). If no state incentive is available or useable by the modeled project, the user will select "Neither." The magnitude and terms of these incentives are set in the cells below.
For more information, a useful resource for researching federal and state incentives online is:  
http://dsireusa.org/
*See bottom of introduction page for a list of links</t>
        </r>
      </text>
    </comment>
    <comment ref="I1154" authorId="1" shapeId="0" xr:uid="{2C72E4BB-06B8-4C92-AD44-A446044EC828}">
      <text>
        <r>
          <rPr>
            <b/>
            <sz val="14"/>
            <color indexed="81"/>
            <rFont val="Tahoma"/>
            <family val="2"/>
          </rPr>
          <t xml:space="preserve">Note:
</t>
        </r>
        <r>
          <rPr>
            <sz val="14"/>
            <color indexed="81"/>
            <rFont val="Tahoma"/>
            <family val="2"/>
          </rPr>
          <t xml:space="preserve">Project owners, or hosts, are required to carry insurance. This input accounts for the estimated cost of insuring the modeled power generating facility.
Input cannot be less than zero.
</t>
        </r>
      </text>
    </comment>
    <comment ref="S1154" authorId="0" shapeId="0" xr:uid="{FBC46700-2EEC-4A8C-8DF7-28F74D4E2BA2}">
      <text>
        <r>
          <rPr>
            <b/>
            <sz val="14"/>
            <color indexed="81"/>
            <rFont val="Tahoma"/>
            <family val="2"/>
          </rPr>
          <t xml:space="preserve">NOTE:
</t>
        </r>
        <r>
          <rPr>
            <sz val="14"/>
            <color indexed="81"/>
            <rFont val="Tahoma"/>
            <family val="2"/>
          </rPr>
          <t xml:space="preserve">The maximum potential Investment Tax Credit (ITC) benefit is assumed to be 30% of those project costs which are depreciable on the 5-year MACRS schedule.
</t>
        </r>
      </text>
    </comment>
    <comment ref="I1155" authorId="0" shapeId="0" xr:uid="{BF7B6B97-BE48-4B90-AAB8-F8ED9ECBF373}">
      <text>
        <r>
          <rPr>
            <b/>
            <sz val="14"/>
            <color indexed="81"/>
            <rFont val="Tahoma"/>
            <family val="2"/>
          </rPr>
          <t xml:space="preserve">Note:
</t>
        </r>
        <r>
          <rPr>
            <sz val="14"/>
            <color indexed="81"/>
            <rFont val="Tahoma"/>
            <family val="2"/>
          </rPr>
          <t xml:space="preserve">This cell calculates the resulting dollar value cost of insurance based on the input above and the project installed cost (net of financing costs).  It is provided simply as a reference for the user.
</t>
        </r>
        <r>
          <rPr>
            <sz val="8"/>
            <color indexed="81"/>
            <rFont val="Tahoma"/>
            <family val="2"/>
          </rPr>
          <t xml:space="preserve">
</t>
        </r>
      </text>
    </comment>
    <comment ref="S1155" authorId="0" shapeId="0" xr:uid="{DCEDD3B7-44A4-44F6-986D-A7516539E849}">
      <text>
        <r>
          <rPr>
            <b/>
            <sz val="14"/>
            <color indexed="81"/>
            <rFont val="Tahoma"/>
            <family val="2"/>
          </rPr>
          <t xml:space="preserve">NOTE:
</t>
        </r>
        <r>
          <rPr>
            <sz val="14"/>
            <color indexed="81"/>
            <rFont val="Tahoma"/>
            <family val="2"/>
          </rPr>
          <t xml:space="preserve">As a tax </t>
        </r>
        <r>
          <rPr>
            <u/>
            <sz val="14"/>
            <color indexed="81"/>
            <rFont val="Tahoma"/>
            <family val="2"/>
          </rPr>
          <t>credit</t>
        </r>
        <r>
          <rPr>
            <sz val="14"/>
            <color indexed="81"/>
            <rFont val="Tahoma"/>
            <family val="2"/>
          </rPr>
          <t>, the ITC is only usable by project owners with positive federal income tax liability.  
In cases where the owner's tax liability in the calendar year of the project's first commercial operation exceeds the ITC amount, the user may enter 100% in this field and assume full utilization of the ITC.
If the owner's tax liability is less than the available ITC, a % less than 100% must be entered in order to represent a less efficient utilization of this federal tax incentive.
Input must be betwee 0% and 100%.</t>
        </r>
      </text>
    </comment>
    <comment ref="I1156" authorId="1" shapeId="0" xr:uid="{187AAB7F-282B-4BC8-8766-A8BAB45EE3D1}">
      <text>
        <r>
          <rPr>
            <b/>
            <sz val="14"/>
            <color indexed="81"/>
            <rFont val="Tahoma"/>
            <family val="2"/>
          </rPr>
          <t>Note:</t>
        </r>
        <r>
          <rPr>
            <sz val="14"/>
            <color indexed="81"/>
            <rFont val="Tahoma"/>
            <family val="2"/>
          </rPr>
          <t xml:space="preserve">
"Project Management" accounts for the cost of staff time related to managing the project's Power Purchase Agreements, grid integration, and periodic reporting to the system operator and policymakers.  
Input cannot be less than zero.
</t>
        </r>
      </text>
    </comment>
    <comment ref="S1156" authorId="0" shapeId="0" xr:uid="{DFD2ECD5-9D67-42E6-B82D-9146462133D6}">
      <text>
        <r>
          <rPr>
            <b/>
            <sz val="14"/>
            <color indexed="81"/>
            <rFont val="Tahoma"/>
            <family val="2"/>
          </rPr>
          <t xml:space="preserve">Note:
</t>
        </r>
        <r>
          <rPr>
            <sz val="14"/>
            <color indexed="81"/>
            <rFont val="Tahoma"/>
            <family val="2"/>
          </rPr>
          <t>Specifies whether the available ITC is realized in a single year or over multiple years. This input will be specified by state-specific law or regulation.
A good resource on available state incentives is:  
http://dsireusa.org/
*See bottom of introduction page for a list of links
Input must be greater than 1 and less than the Project Useful Life.</t>
        </r>
      </text>
    </comment>
    <comment ref="I1157" authorId="1" shapeId="0" xr:uid="{28DB0956-4F7E-4961-B645-2126E2226422}">
      <text>
        <r>
          <rPr>
            <b/>
            <sz val="14"/>
            <color indexed="81"/>
            <rFont val="Tahoma"/>
            <family val="2"/>
          </rPr>
          <t xml:space="preserve">Note:
</t>
        </r>
        <r>
          <rPr>
            <sz val="14"/>
            <color indexed="81"/>
            <rFont val="Tahoma"/>
            <family val="2"/>
          </rPr>
          <t xml:space="preserve">"Property Tax or PILOT" accounts for costs associated with any local taxes incurred by the project. Many states offer tax exemptions for renewable energy systems; to check your local applicability, please visit: http://dsireusa.org/ 
This line can also be used to account for any PILOTs or Payment in Leiu of Taxes. Developers often negotiate a PILOT with the local community to secure a fixed, predictable payment that serves both parties appropriately. This model allows the user to input a year-one Property Tax or PILOT value along with an annual property tax adjsutment factor (see next cell down). As a result, taxes can be modeled as flat, increasing, or decreasing annually depending on the value entered in the adjustment factor cell below.
Input cannot be less than zero.
</t>
        </r>
      </text>
    </comment>
    <comment ref="S1157" authorId="0" shapeId="0" xr:uid="{81E5F7E3-E348-4D80-8B6B-FDD727200040}">
      <text>
        <r>
          <rPr>
            <b/>
            <sz val="14"/>
            <color indexed="81"/>
            <rFont val="Tahoma"/>
            <family val="2"/>
          </rPr>
          <t xml:space="preserve">Note:
</t>
        </r>
        <r>
          <rPr>
            <sz val="14"/>
            <color indexed="81"/>
            <rFont val="Tahoma"/>
            <family val="2"/>
          </rPr>
          <t xml:space="preserve">Calculates the dollar value of the State Investment Tax Credit, if applicable.
</t>
        </r>
      </text>
    </comment>
    <comment ref="I1158" authorId="1" shapeId="0" xr:uid="{66E5F30A-1FF3-44DE-8D72-5BB0E38C70D3}">
      <text>
        <r>
          <rPr>
            <b/>
            <sz val="14"/>
            <color indexed="81"/>
            <rFont val="Tahoma"/>
            <family val="2"/>
          </rPr>
          <t xml:space="preserve">Note:
</t>
        </r>
        <r>
          <rPr>
            <sz val="14"/>
            <color indexed="81"/>
            <rFont val="Tahoma"/>
            <family val="2"/>
          </rPr>
          <t xml:space="preserve">The Annual Property Tax Adjustment Factor allows the user to specify whether the Year One tax (or PILOT) value will remain fixed and flat, will decrease (a negative percentage value entered in this cell) or increase (a positive percentage value entered in this cell) over time.  </t>
        </r>
        <r>
          <rPr>
            <sz val="8"/>
            <color indexed="81"/>
            <rFont val="Tahoma"/>
            <family val="2"/>
          </rPr>
          <t xml:space="preserve">
</t>
        </r>
      </text>
    </comment>
    <comment ref="S1158" authorId="0" shapeId="0" xr:uid="{CA2F961A-75FC-40BF-BD23-FE42E1927F34}">
      <text>
        <r>
          <rPr>
            <b/>
            <sz val="14"/>
            <color indexed="81"/>
            <rFont val="Tahoma"/>
            <family val="2"/>
          </rPr>
          <t xml:space="preserve">Note: </t>
        </r>
        <r>
          <rPr>
            <sz val="14"/>
            <color indexed="81"/>
            <rFont val="Tahoma"/>
            <family val="2"/>
          </rPr>
          <t xml:space="preserve">
This input cell, the "Performance Based Incentive" or "PBI" is another potential incentive available to some specific projects. The PBI would be separate from a feed-in-tariff, but acts similarly in that it is per unit of production (typically kWh) income to a project.
Some examples of PBIs include the Federal Production Tax Credit (applicable to private projects with tax appetites) and the Federal Renewable Energy Production Incentive (REPI), historically available to some public projects.
</t>
        </r>
      </text>
    </comment>
    <comment ref="I1159" authorId="1" shapeId="0" xr:uid="{F1293E31-6C79-4287-9267-06163AB22CDB}">
      <text>
        <r>
          <rPr>
            <b/>
            <sz val="14"/>
            <color indexed="81"/>
            <rFont val="Tahoma"/>
            <family val="2"/>
          </rPr>
          <t xml:space="preserve">Note:
</t>
        </r>
        <r>
          <rPr>
            <sz val="14"/>
            <color indexed="81"/>
            <rFont val="Tahoma"/>
            <family val="2"/>
          </rPr>
          <t xml:space="preserve">The Land Lease input represents </t>
        </r>
        <r>
          <rPr>
            <b/>
            <u/>
            <sz val="14"/>
            <color indexed="81"/>
            <rFont val="Tahoma"/>
            <family val="2"/>
          </rPr>
          <t>fixed payments</t>
        </r>
        <r>
          <rPr>
            <sz val="14"/>
            <color indexed="81"/>
            <rFont val="Tahoma"/>
            <family val="2"/>
          </rPr>
          <t xml:space="preserve"> to the site host (and possibly other affected parties) for the use of the land on which the project is located.  
Variable royalty payments may be applied in addition to, or in lieu of, the land lease payment through the "Royalties" input below, if applicable.  
Input cannot be less than zero.
</t>
        </r>
      </text>
    </comment>
    <comment ref="S1159" authorId="0" shapeId="0" xr:uid="{53EF6D08-90E5-48A1-A1D5-C581EBE08FC0}">
      <text>
        <r>
          <rPr>
            <b/>
            <sz val="14"/>
            <color indexed="81"/>
            <rFont val="Tahoma"/>
            <family val="2"/>
          </rPr>
          <t xml:space="preserve">Note:
</t>
        </r>
        <r>
          <rPr>
            <sz val="14"/>
            <color indexed="81"/>
            <rFont val="Tahoma"/>
            <family val="2"/>
          </rPr>
          <t xml:space="preserve">Impacts tax treatment of PBI if owner is a taxable entity.
</t>
        </r>
      </text>
    </comment>
    <comment ref="I1160" authorId="1" shapeId="0" xr:uid="{C6105377-E9AB-4F51-8F91-E41E4682B823}">
      <text>
        <r>
          <rPr>
            <b/>
            <sz val="14"/>
            <color indexed="81"/>
            <rFont val="Tahoma"/>
            <family val="2"/>
          </rPr>
          <t xml:space="preserve">Note:
</t>
        </r>
        <r>
          <rPr>
            <sz val="14"/>
            <color indexed="81"/>
            <rFont val="Tahoma"/>
            <family val="2"/>
          </rPr>
          <t xml:space="preserve">The royalties input accounts for </t>
        </r>
        <r>
          <rPr>
            <b/>
            <u/>
            <sz val="14"/>
            <color indexed="81"/>
            <rFont val="Tahoma"/>
            <family val="2"/>
          </rPr>
          <t>variable</t>
        </r>
        <r>
          <rPr>
            <sz val="14"/>
            <color indexed="81"/>
            <rFont val="Tahoma"/>
            <family val="2"/>
          </rPr>
          <t xml:space="preserve"> payments to site hosts, neighbors, partners, or other parties which may have a stake in the project and which are NOT covered by the fixed "Land Lease" payment. 
Fixed payments may be applied in addition to, or in lieu of, the royalty payment through the "Land Lease" input above, if applicable.  
</t>
        </r>
        <r>
          <rPr>
            <b/>
            <sz val="14"/>
            <color indexed="81"/>
            <rFont val="Tahoma"/>
            <family val="2"/>
          </rPr>
          <t>Inflation is NOT applied to this input</t>
        </r>
        <r>
          <rPr>
            <sz val="14"/>
            <color indexed="81"/>
            <rFont val="Tahoma"/>
            <family val="2"/>
          </rPr>
          <t xml:space="preserve">. However, if tariff escalation is selected, then the assumed royalty payment will increase over time since it is calculated as a function of revenue over time.
If the modeled project's royalty payments are not the same over time, then an average annual royalty payment should be calculated externally and entered in this cell. 
This input cannot be less than zero.
</t>
        </r>
        <r>
          <rPr>
            <sz val="8"/>
            <color indexed="81"/>
            <rFont val="Tahoma"/>
            <family val="2"/>
          </rPr>
          <t xml:space="preserve">
</t>
        </r>
      </text>
    </comment>
    <comment ref="S1160" authorId="0" shapeId="0" xr:uid="{AD22ED7C-19B1-42DD-832C-714CB3FF1192}">
      <text>
        <r>
          <rPr>
            <b/>
            <sz val="14"/>
            <color indexed="81"/>
            <rFont val="Tahoma"/>
            <family val="2"/>
          </rPr>
          <t xml:space="preserve">Note: </t>
        </r>
        <r>
          <rPr>
            <sz val="14"/>
            <color indexed="81"/>
            <rFont val="Tahoma"/>
            <family val="2"/>
          </rPr>
          <t xml:space="preserve">
This cell denotes the value of the Performance Based Incentive applicable to the project's first year of commercial operation. In some cases, this value will need to be calculated external to the model if such PBI is derived from a "base year" and specified inflation index. The following cells can be used to account for inflation and the maximum term of eligibility.
Input cannot be less than zero.
</t>
        </r>
      </text>
    </comment>
    <comment ref="I1161" authorId="0" shapeId="0" xr:uid="{130A88AA-7154-4FDF-912E-07CD68C3ED5A}">
      <text>
        <r>
          <rPr>
            <b/>
            <sz val="14"/>
            <color indexed="81"/>
            <rFont val="Tahoma"/>
            <family val="2"/>
          </rPr>
          <t xml:space="preserve">Note:
</t>
        </r>
        <r>
          <rPr>
            <sz val="14"/>
            <color indexed="81"/>
            <rFont val="Tahoma"/>
            <family val="2"/>
          </rPr>
          <t xml:space="preserve">This cell calculates the resulting dollar value cost of royalties paid to landowners or other stakeholders based on the input above and project revenue.  It is provided simply as a reference for the user.
</t>
        </r>
        <r>
          <rPr>
            <sz val="8"/>
            <color indexed="81"/>
            <rFont val="Tahoma"/>
            <family val="2"/>
          </rPr>
          <t xml:space="preserve">
</t>
        </r>
      </text>
    </comment>
    <comment ref="S1161" authorId="0" shapeId="0" xr:uid="{98DDCD60-1A83-40E7-8F17-F194D0AE0555}">
      <text>
        <r>
          <rPr>
            <b/>
            <sz val="14"/>
            <color indexed="81"/>
            <rFont val="Tahoma"/>
            <family val="2"/>
          </rPr>
          <t>Note:</t>
        </r>
        <r>
          <rPr>
            <sz val="14"/>
            <color indexed="81"/>
            <rFont val="Tahoma"/>
            <family val="2"/>
          </rPr>
          <t xml:space="preserve">
This is the length of time that a project would be eligible for any Performance Based Incentives outlined in the cell immediately above. For example, the Federal Renewable Energy Production Incentive and Production Tax Credit incentives are available for the first 10 years of project operation.
Input cannot be less than zero.
</t>
        </r>
      </text>
    </comment>
    <comment ref="S1162" authorId="0" shapeId="0" xr:uid="{AA129E50-9E9D-4E7C-9B03-3FC6EB853999}">
      <text>
        <r>
          <rPr>
            <b/>
            <sz val="14"/>
            <color indexed="81"/>
            <rFont val="Tahoma"/>
            <family val="2"/>
          </rPr>
          <t xml:space="preserve">Note:
</t>
        </r>
        <r>
          <rPr>
            <sz val="14"/>
            <color indexed="81"/>
            <rFont val="Tahoma"/>
            <family val="2"/>
          </rPr>
          <t xml:space="preserve">Performance Based Incentives are often adjusted to account for inflation. For example, the Federal Production Tax Credit (PTC) is adjusted each year to account for changes in the GDP IPD index. This cell can be used as a proxy for the inflation that would apply to any PBI incentive entered above.
This input cannot be left blank.
</t>
        </r>
      </text>
    </comment>
    <comment ref="F1163" authorId="0" shapeId="0" xr:uid="{BBA123B5-6E67-43F0-A335-27D5A4D0FD1C}">
      <text>
        <r>
          <rPr>
            <b/>
            <sz val="8"/>
            <color indexed="81"/>
            <rFont val="Tahoma"/>
            <family val="2"/>
          </rPr>
          <t>See "unit" definitions at the bottom of this worksheet.</t>
        </r>
        <r>
          <rPr>
            <sz val="8"/>
            <color indexed="81"/>
            <rFont val="Tahoma"/>
            <family val="2"/>
          </rPr>
          <t xml:space="preserve">
</t>
        </r>
      </text>
    </comment>
    <comment ref="S1163" authorId="0" shapeId="0" xr:uid="{CB16A67D-1802-46D2-BDD5-5CF75817594F}">
      <text>
        <r>
          <rPr>
            <b/>
            <sz val="14"/>
            <color indexed="81"/>
            <rFont val="Tahoma"/>
            <family val="2"/>
          </rPr>
          <t xml:space="preserve">Note:
</t>
        </r>
        <r>
          <rPr>
            <sz val="14"/>
            <color indexed="81"/>
            <rFont val="Tahoma"/>
            <family val="2"/>
          </rPr>
          <t xml:space="preserve">In some cases, due to the nature of the requirements of some Performance Based Incentive programs, project owners are unable to maximize the full revenue stream of the incentive. For example, in the case of the Federal Production Tax Credit (PTC), the project owner may not have sufficienct tax appetite to fully utilize the tax credits. 
This input cell would allow the modeler to account for the owner's inability to fully utilize the PTC and/or the reduction of the PTC (a "haircut") due to the presence of subsidized (below market interest rate) financing.
Input must be between 0% and 100%.
</t>
        </r>
        <r>
          <rPr>
            <sz val="8"/>
            <color indexed="81"/>
            <rFont val="Tahoma"/>
            <family val="2"/>
          </rPr>
          <t xml:space="preserve">
</t>
        </r>
      </text>
    </comment>
    <comment ref="I1164" authorId="0" shapeId="0" xr:uid="{74B195D6-7E91-4A58-9825-2708555921E4}">
      <text>
        <r>
          <rPr>
            <b/>
            <sz val="14"/>
            <color indexed="81"/>
            <rFont val="Tahoma"/>
            <family val="2"/>
          </rPr>
          <t xml:space="preserve">Note:
</t>
        </r>
        <r>
          <rPr>
            <sz val="14"/>
            <color indexed="81"/>
            <rFont val="Tahoma"/>
            <family val="2"/>
          </rPr>
          <t xml:space="preserve">The # of months from construction start to commercial operation. This input cannot be less than zero.
</t>
        </r>
      </text>
    </comment>
    <comment ref="S1164" authorId="0" shapeId="0" xr:uid="{8C807421-E673-4DF7-8B0B-C415CF5327E3}">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I1165" authorId="0" shapeId="0" xr:uid="{4EEB2DFA-E6F0-46FC-AC93-5DC66057BE91}">
      <text>
        <r>
          <rPr>
            <b/>
            <sz val="14"/>
            <color indexed="81"/>
            <rFont val="Tahoma"/>
            <family val="2"/>
          </rPr>
          <t xml:space="preserve">Note:
</t>
        </r>
        <r>
          <rPr>
            <sz val="14"/>
            <color indexed="81"/>
            <rFont val="Tahoma"/>
            <family val="2"/>
          </rPr>
          <t xml:space="preserve">The annual interest rate on construction debt. This input cannot be less than zero.
</t>
        </r>
      </text>
    </comment>
    <comment ref="I1166" authorId="0" shapeId="0" xr:uid="{C46D576E-8A8B-4420-95A5-5461CB1EF5AF}">
      <text>
        <r>
          <rPr>
            <b/>
            <sz val="14"/>
            <color indexed="81"/>
            <rFont val="Tahoma"/>
            <family val="2"/>
          </rPr>
          <t xml:space="preserve">Note:
</t>
        </r>
        <r>
          <rPr>
            <sz val="14"/>
            <color indexed="81"/>
            <rFont val="Tahoma"/>
            <family val="2"/>
          </rPr>
          <t xml:space="preserve">A calculated value showing the interest accrued during the construction period. Rather than requiring the user to define a detailed construction draw-down schedule, this calculation makes the simplifying assumption that the total project cost is spent in equal parts in each month of the construction period.
IDC is calculated on total project cost, assuming that any grants are collected after construction financing is repaid at time of permanent financing.
This cell is only used with the "Intermediate" and "Complex" capital cost options. The "Simple" capital cost option assumes that all project costs, including IDC, are included in the single input.
</t>
        </r>
      </text>
    </comment>
    <comment ref="S1166" authorId="0" shapeId="0" xr:uid="{E91405C1-E30F-4EC8-AA11-EC232B022668}">
      <text>
        <r>
          <rPr>
            <b/>
            <sz val="14"/>
            <color indexed="81"/>
            <rFont val="Tahoma"/>
            <family val="2"/>
          </rPr>
          <t xml:space="preserve">Note:
</t>
        </r>
        <r>
          <rPr>
            <sz val="14"/>
            <color indexed="81"/>
            <rFont val="Tahoma"/>
            <family val="2"/>
          </rPr>
          <t xml:space="preserve">Include here the total dollar value of any state-specific cash grants or rebates.
Input cannot be less than zero.
</t>
        </r>
      </text>
    </comment>
    <comment ref="S1167" authorId="0" shapeId="0" xr:uid="{BEF93A88-09CD-4794-AFAF-FF816AB2630F}">
      <text>
        <r>
          <rPr>
            <b/>
            <sz val="14"/>
            <color indexed="81"/>
            <rFont val="Tahoma"/>
            <family val="2"/>
          </rPr>
          <t xml:space="preserve">Note:
</t>
        </r>
        <r>
          <rPr>
            <sz val="14"/>
            <color indexed="81"/>
            <rFont val="Tahoma"/>
            <family val="2"/>
          </rPr>
          <t xml:space="preserve">Select here whether state grants are treated as taxable income.  If no, depreciation basis is reduced. 
</t>
        </r>
      </text>
    </comment>
    <comment ref="F1168" authorId="0" shapeId="0" xr:uid="{16581B2D-8333-4425-BB8C-9673F7B73D35}">
      <text>
        <r>
          <rPr>
            <b/>
            <sz val="8"/>
            <color indexed="81"/>
            <rFont val="Tahoma"/>
            <family val="2"/>
          </rPr>
          <t>See "unit" definitions at the bottom of this worksheet.</t>
        </r>
        <r>
          <rPr>
            <sz val="8"/>
            <color indexed="81"/>
            <rFont val="Tahoma"/>
            <family val="2"/>
          </rPr>
          <t xml:space="preserve">
</t>
        </r>
      </text>
    </comment>
    <comment ref="I1169" authorId="0" shapeId="0" xr:uid="{AF8B828F-9D27-483D-9FCC-26A3E98F41E2}">
      <text>
        <r>
          <rPr>
            <b/>
            <sz val="14"/>
            <color indexed="81"/>
            <rFont val="Tahoma"/>
            <family val="2"/>
          </rPr>
          <t xml:space="preserve">Note:
</t>
        </r>
        <r>
          <rPr>
            <sz val="14"/>
            <color indexed="81"/>
            <rFont val="Tahoma"/>
            <family val="2"/>
          </rPr>
          <t xml:space="preserve">For ease of use and comprehension by a wide range of stakeholders, this model allows the user to define the capital structure, and relies on mortgage-style amortization of the project debt. The "% Debt" input specifies the portion of funds borrowed, as a percentage of the total "hard costs." Equity is assumed to fund the remaining hard costs PLUS all "soft costs" (e.g. transaction costs and funding of initial reserve accounts, if applicable).  This input cannot be less than zero.
Where maximum sustainable leverage is desired, the user must manually adjust the "% Debt" entry upward to the highest point </t>
        </r>
        <r>
          <rPr>
            <b/>
            <i/>
            <sz val="14"/>
            <color indexed="81"/>
            <rFont val="Tahoma"/>
            <family val="2"/>
          </rPr>
          <t>before</t>
        </r>
        <r>
          <rPr>
            <sz val="14"/>
            <color indexed="81"/>
            <rFont val="Tahoma"/>
            <family val="2"/>
          </rPr>
          <t xml:space="preserve"> the DSCRs no longer "Pass."
If a specific % Debt is desired, </t>
        </r>
        <r>
          <rPr>
            <u/>
            <sz val="14"/>
            <color indexed="81"/>
            <rFont val="Tahoma"/>
            <family val="2"/>
          </rPr>
          <t>and such % is higher than the maximum sustainable debt</t>
        </r>
        <r>
          <rPr>
            <sz val="14"/>
            <color indexed="81"/>
            <rFont val="Tahoma"/>
            <family val="2"/>
          </rPr>
          <t xml:space="preserve"> (such that it causes the DSCR to "Fail"), then the user must define the % Debt and then manually adjust the "Target After-Tax Equity IRR" upward until the DSCRs are met.  The user should </t>
        </r>
        <r>
          <rPr>
            <b/>
            <sz val="14"/>
            <color indexed="81"/>
            <rFont val="Tahoma"/>
            <family val="2"/>
          </rPr>
          <t>take note</t>
        </r>
        <r>
          <rPr>
            <sz val="14"/>
            <color indexed="81"/>
            <rFont val="Tahoma"/>
            <family val="2"/>
          </rPr>
          <t xml:space="preserve"> that when leverage becomes very high (and the corresponding equity contribution low), the "Target After-Tax Equity IRR" will need to be adjusted to levels exceeding typical commercial returns </t>
        </r>
        <r>
          <rPr>
            <u/>
            <sz val="14"/>
            <color indexed="81"/>
            <rFont val="Tahoma"/>
            <family val="2"/>
          </rPr>
          <t>in order to maintain the DSCR ratio</t>
        </r>
        <r>
          <rPr>
            <sz val="14"/>
            <color indexed="81"/>
            <rFont val="Tahoma"/>
            <family val="2"/>
          </rPr>
          <t xml:space="preserve"> on such high debt levels.  For this reason, it is not recommended that users solve for the COE associated with a % Debt that is beyond the maximum sustainable leverage.
If a project is expected to be funded either by a pool of corporate funds or back-leveraged after commercial operation, the user might elect to enter 0% in the "% Debt" cell and enter a weighted average cost of capital (WACC) in the "Target After-Tax Equity IRR" cell.
</t>
        </r>
      </text>
    </comment>
    <comment ref="I1170" authorId="1" shapeId="0" xr:uid="{98652806-C505-43AF-B87B-E19CC6252AC4}">
      <text>
        <r>
          <rPr>
            <b/>
            <sz val="14"/>
            <color indexed="81"/>
            <rFont val="Tahoma"/>
            <family val="2"/>
          </rPr>
          <t>Note:</t>
        </r>
        <r>
          <rPr>
            <sz val="14"/>
            <color indexed="81"/>
            <rFont val="Tahoma"/>
            <family val="2"/>
          </rPr>
          <t xml:space="preserve">
Debt "tenor" (also casually referred to as "term"), is the number of years in the debt repayment schedule.   
Caution: If the project will utilize debt, this value must be greater than zero but less than or equal to the total FIT contract duration.
</t>
        </r>
      </text>
    </comment>
    <comment ref="S1170" authorId="0" shapeId="0" xr:uid="{00F58B91-F2E3-4E99-992B-F76312E59042}">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1171" authorId="1" shapeId="0" xr:uid="{D07CBE3A-9B01-4042-9EAA-DEDB268F4510}">
      <text>
        <r>
          <rPr>
            <b/>
            <sz val="14"/>
            <color indexed="81"/>
            <rFont val="Tahoma"/>
            <family val="2"/>
          </rPr>
          <t>Note:</t>
        </r>
        <r>
          <rPr>
            <sz val="14"/>
            <color indexed="81"/>
            <rFont val="Tahoma"/>
            <family val="2"/>
          </rPr>
          <t xml:space="preserve">
The all-in interest rate is the financing rate provided by the bank or other debt investor.
This input cannot be less than zero.
</t>
        </r>
      </text>
    </comment>
    <comment ref="S1171" authorId="0" shapeId="0" xr:uid="{78B1EA60-3181-4357-88E3-05C14D2D29A4}">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1172" authorId="0" shapeId="0" xr:uid="{9BBC6837-03F8-47BB-A112-48C5EAB2CA28}">
      <text>
        <r>
          <rPr>
            <b/>
            <sz val="14"/>
            <color indexed="81"/>
            <rFont val="Tahoma"/>
            <family val="2"/>
          </rPr>
          <t xml:space="preserve">Note:
</t>
        </r>
        <r>
          <rPr>
            <sz val="14"/>
            <color indexed="81"/>
            <rFont val="Tahoma"/>
            <family val="2"/>
          </rPr>
          <t xml:space="preserve">A one-time fee collected by the lender and calculated as a % of the total loan amount. This value is typically between 1% and 4%.
This input cannot be less than zero.
</t>
        </r>
      </text>
    </comment>
    <comment ref="S1172" authorId="0" shapeId="0" xr:uid="{D61368DD-6775-4620-8782-1C26BC1FC9F7}">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1173" authorId="1" shapeId="0" xr:uid="{39E67432-1C4A-42E4-9E49-1DFEC76C7195}">
      <text>
        <r>
          <rPr>
            <b/>
            <sz val="14"/>
            <color indexed="81"/>
            <rFont val="Tahoma"/>
            <family val="2"/>
          </rPr>
          <t>Note:</t>
        </r>
        <r>
          <rPr>
            <sz val="14"/>
            <color indexed="81"/>
            <rFont val="Tahoma"/>
            <family val="2"/>
          </rPr>
          <t xml:space="preserve">
The annual Debt Service Coverage Ratio is calculated by dividing the sum of the annual principal and interest payment into that year's operating cash flow. Lenders will require the DSCR to demonstrate the project's ability to easily meet its annual debt service obligation.
Average DSCRs over the life of the loan typically range from 1.2 to 1.5 for private, commercially financed projects, or from 1.1 to 1.3 for publicly owned, bond-financed projects - depending on the level of reserves, or other surety, provided. 
The annual minimum DSCR will depend on the specific terms of the loan and the probability-weighting of the production estimate, but will likely be in the range of 1.0 to 1.3. This input must be greater than 1.
</t>
        </r>
      </text>
    </comment>
    <comment ref="S1173" authorId="0" shapeId="0" xr:uid="{E37C41C6-FFE2-4417-AA5D-CE17AE5ABF65}">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1174" authorId="0" shapeId="0" xr:uid="{5DE6A2ED-DCD5-4C89-A348-43AF1883CE77}">
      <text>
        <r>
          <rPr>
            <b/>
            <sz val="14"/>
            <color indexed="81"/>
            <rFont val="Tahoma"/>
            <family val="2"/>
          </rPr>
          <t>Note:</t>
        </r>
        <r>
          <rPr>
            <sz val="14"/>
            <color indexed="81"/>
            <rFont val="Tahoma"/>
            <family val="2"/>
          </rPr>
          <t xml:space="preserve">
If "#N/A" appears, F9 should be pressed until the calculated COE achieves it's final value.</t>
        </r>
      </text>
    </comment>
    <comment ref="S1174" authorId="0" shapeId="0" xr:uid="{41094217-B894-4E03-BF86-607DC4E57B51}">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1175" authorId="1" shapeId="0" xr:uid="{B4705028-5AF2-4876-8739-B7782FBD514B}">
      <text>
        <r>
          <rPr>
            <b/>
            <sz val="14"/>
            <color indexed="81"/>
            <rFont val="Tahoma"/>
            <family val="2"/>
          </rPr>
          <t>Note:</t>
        </r>
        <r>
          <rPr>
            <sz val="14"/>
            <color indexed="81"/>
            <rFont val="Tahoma"/>
            <family val="2"/>
          </rPr>
          <t xml:space="preserve">
This cell checks that the debt service coverage ratio exceeds the user-defined minimum in each operating year (see note in DSCR cell for definition and rationale for DSCR). If the test "fails", the user must choose from one of several options in order to cure this deficiency (the extent to which these options are available will be specific to each project):
1. reduce the amount of project level debt, 
2. increase the feed-in tariff rate in order to generate cash flow sufficient to meet the bank's assumed coverage requirement.  In the CREST model, </t>
        </r>
        <r>
          <rPr>
            <u/>
            <sz val="14"/>
            <color indexed="81"/>
            <rFont val="Tahoma"/>
            <family val="2"/>
          </rPr>
          <t>this is done by manually increasing the "Target After-Tax Equity IRR."</t>
        </r>
        <r>
          <rPr>
            <sz val="14"/>
            <color indexed="81"/>
            <rFont val="Tahoma"/>
            <family val="2"/>
          </rPr>
          <t xml:space="preserve">
Other possible, but less likely, mechanisms include:
3. increase the loan tenor
4. decrease the interest rate</t>
        </r>
      </text>
    </comment>
    <comment ref="S1175" authorId="0" shapeId="0" xr:uid="{5A82636E-9C18-41E7-B077-D93347F56E5A}">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1176" authorId="1" shapeId="0" xr:uid="{C64A901B-0595-42CE-9E95-41E0C21E97B5}">
      <text>
        <r>
          <rPr>
            <b/>
            <sz val="14"/>
            <color indexed="81"/>
            <rFont val="Tahoma"/>
            <family val="2"/>
          </rPr>
          <t>Note:</t>
        </r>
        <r>
          <rPr>
            <sz val="14"/>
            <color indexed="81"/>
            <rFont val="Tahoma"/>
            <family val="2"/>
          </rPr>
          <t xml:space="preserve">
The annual Debt Service Coverage Ratio is calculated by dividing the sum of the annual principal and interest payment into that year's operating cash flow. Lenders will require the DSCR to demonstrate the project's ability to easily meet its annual debt service obligation.
</t>
        </r>
        <r>
          <rPr>
            <u/>
            <sz val="14"/>
            <color indexed="81"/>
            <rFont val="Tahoma"/>
            <family val="2"/>
          </rPr>
          <t>Average</t>
        </r>
        <r>
          <rPr>
            <sz val="14"/>
            <color indexed="81"/>
            <rFont val="Tahoma"/>
            <family val="2"/>
          </rPr>
          <t xml:space="preserve"> DSCRs over the life of the loan typically range from 1.2 to 1.5 for private, commercially financed projects, or from 1.1 to 1.3 for publicly owned, bond-financed projects - depending on the level of reserves, or other surety, provided. 
The </t>
        </r>
        <r>
          <rPr>
            <u/>
            <sz val="14"/>
            <color indexed="81"/>
            <rFont val="Tahoma"/>
            <family val="2"/>
          </rPr>
          <t>annual minimum</t>
        </r>
        <r>
          <rPr>
            <sz val="14"/>
            <color indexed="81"/>
            <rFont val="Tahoma"/>
            <family val="2"/>
          </rPr>
          <t xml:space="preserve"> DSCR will depend on the specific terms of the loan and the probability-weighting of the production estimate, but will likely be in the range of 1.0 to 1.3. This input must be greater than 1.
</t>
        </r>
      </text>
    </comment>
    <comment ref="S1176" authorId="0" shapeId="0" xr:uid="{A5EC0E7D-C3B2-4E31-BC52-F78C90ED65E6}">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1177" authorId="0" shapeId="0" xr:uid="{173ADC13-3C10-4161-838C-5F16B7EF758B}">
      <text>
        <r>
          <rPr>
            <b/>
            <sz val="12"/>
            <color indexed="81"/>
            <rFont val="Tahoma"/>
            <family val="2"/>
          </rPr>
          <t>Note:</t>
        </r>
        <r>
          <rPr>
            <sz val="12"/>
            <color indexed="81"/>
            <rFont val="Tahoma"/>
            <family val="2"/>
          </rPr>
          <t xml:space="preserve">
If "#N/A" appears, F9 should be pressed until the calculated COE achieves it's final value.</t>
        </r>
      </text>
    </comment>
    <comment ref="S1177" authorId="0" shapeId="0" xr:uid="{8451637A-47FB-46C2-A68C-8348CD165B75}">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1178" authorId="1" shapeId="0" xr:uid="{D3EFEC79-94C6-4D36-819C-5B7A27A24698}">
      <text>
        <r>
          <rPr>
            <b/>
            <sz val="14"/>
            <color indexed="81"/>
            <rFont val="Tahoma"/>
            <family val="2"/>
          </rPr>
          <t>Note:</t>
        </r>
        <r>
          <rPr>
            <sz val="14"/>
            <color indexed="81"/>
            <rFont val="Tahoma"/>
            <family val="2"/>
          </rPr>
          <t xml:space="preserve">
This cell checks that the average debt service coverage ratio exceeds the user-defined minimum during the period for which debt is outstanding (see note in DSCR cell for definition and rationale for DSCR). If the test "fails", the user must choose from one of several options in order to cure this deficiency (the extent to which these options are available will be specific to each project):
1. reduce the amount of project level debt, 
2. increase the feed-in tariff rate in order to generate cash flow sufficient to meet the bank's assumed coverage requirement.  In the CREST model, </t>
        </r>
        <r>
          <rPr>
            <u/>
            <sz val="14"/>
            <color indexed="81"/>
            <rFont val="Tahoma"/>
            <family val="2"/>
          </rPr>
          <t>this is done by manually increasing the "Target After-Tax Equity IRR."</t>
        </r>
        <r>
          <rPr>
            <sz val="14"/>
            <color indexed="81"/>
            <rFont val="Tahoma"/>
            <family val="2"/>
          </rPr>
          <t xml:space="preserve">
Other possible, but less likely, mechanisms include:
3. increase the loan tenor
4. decrease the interest rate</t>
        </r>
      </text>
    </comment>
    <comment ref="I1179" authorId="0" shapeId="0" xr:uid="{6EAABFF0-A1FE-4A7A-BBA9-A8615EFF7493}">
      <text>
        <r>
          <rPr>
            <b/>
            <sz val="14"/>
            <color indexed="81"/>
            <rFont val="Tahoma"/>
            <family val="2"/>
          </rPr>
          <t xml:space="preserve">Note:
</t>
        </r>
        <r>
          <rPr>
            <sz val="14"/>
            <color indexed="81"/>
            <rFont val="Tahoma"/>
            <family val="2"/>
          </rPr>
          <t xml:space="preserve">The portion of total project cost funded from equity investors. This cell is a calculation and not an input. It is calculated as 100% minus the "% Debt" entered above.
</t>
        </r>
      </text>
    </comment>
    <comment ref="P1179" authorId="0" shapeId="0" xr:uid="{C34DB022-D15C-4AAA-8FFA-4DFA699F4FFE}">
      <text>
        <r>
          <rPr>
            <b/>
            <sz val="8"/>
            <color indexed="81"/>
            <rFont val="Tahoma"/>
            <family val="2"/>
          </rPr>
          <t>See "unit" definitions at the bottom of this worksheet.</t>
        </r>
        <r>
          <rPr>
            <sz val="8"/>
            <color indexed="81"/>
            <rFont val="Tahoma"/>
            <family val="2"/>
          </rPr>
          <t xml:space="preserve">
</t>
        </r>
      </text>
    </comment>
    <comment ref="I1180" authorId="1" shapeId="0" xr:uid="{F82EA3ED-A84B-481A-A0EE-AE2CFF3C50D5}">
      <text>
        <r>
          <rPr>
            <b/>
            <sz val="14"/>
            <color indexed="81"/>
            <rFont val="Tahoma"/>
            <family val="2"/>
          </rPr>
          <t>Note:</t>
        </r>
        <r>
          <rPr>
            <sz val="14"/>
            <color indexed="81"/>
            <rFont val="Tahoma"/>
            <family val="2"/>
          </rPr>
          <t xml:space="preserve">
The target after-tax equity IRR is the equity investor's cost of capital -- or "discount rate" -- and is the minimum rate of return that the project owner will seek to attain in order to justify the project compared to alternative investments.  
The user should be explicit in his or her assumption regarding the term over which the target after-tax IRR is assumed to be realized. For example, the user could elect to align the return requirement with the tariff payment duration. In this case, the project useful life should be set equal to the tariff duration in order to calculate the COE associated with the target IRR over that period of time. 
In a second example, the user could elect to align the return requirement with the project's useful life. In this case, the user can either assume a tariff duration equal to the project life, or assume market-based revenue for the period after the tariff and before the end of the assumed project useful life.
This input cannot be less than zero.
If a project is expected to be funded either by a pool of corporate funds or back-leveraged after commercial operation, the user might elect to enter 0% in the "% Debt" cell and enter a weighted average cost of capital (WACC) in the "Target After-Tax Equity IRR" cell.
</t>
        </r>
      </text>
    </comment>
    <comment ref="I1181" authorId="0" shapeId="0" xr:uid="{B45EF5A4-9448-416B-99DA-03105D276E9D}">
      <text>
        <r>
          <rPr>
            <b/>
            <sz val="14"/>
            <color indexed="81"/>
            <rFont val="Tahoma"/>
            <family val="2"/>
          </rPr>
          <t xml:space="preserve">Note:
</t>
        </r>
        <r>
          <rPr>
            <sz val="14"/>
            <color indexed="81"/>
            <rFont val="Tahoma"/>
            <family val="2"/>
          </rPr>
          <t xml:space="preserve">The weighted average cost of capital combines the after-tax cost of both equity and debt in proportion to their use, and is calculated here for reference.
</t>
        </r>
      </text>
    </comment>
    <comment ref="S1181" authorId="1" shapeId="0" xr:uid="{267AE9CE-6170-488E-9986-0A1520E2AF87}">
      <text>
        <r>
          <rPr>
            <b/>
            <sz val="14"/>
            <color indexed="81"/>
            <rFont val="Tahoma"/>
            <family val="2"/>
          </rPr>
          <t xml:space="preserve">Note:
</t>
        </r>
        <r>
          <rPr>
            <sz val="14"/>
            <color indexed="81"/>
            <rFont val="Tahoma"/>
            <family val="2"/>
          </rPr>
          <t xml:space="preserve">In order to ensure that project owners have sufficient funds to decommission and remove equipment at the end of a project's life, many owners choose to create and fund a reserve account throughout the course of project. 
This input cell allows the modeler to choose whether to pay for project removal by creating and funding a reserve account over the project life by selecting "Operations" or to assume that a project's removal will be funded by selling the equipment, by selecting "Salvage".
</t>
        </r>
      </text>
    </comment>
    <comment ref="I1182" authorId="0" shapeId="0" xr:uid="{AE96ED3E-61AA-45C0-B2D2-DF3C8FB8FF43}">
      <text>
        <r>
          <rPr>
            <b/>
            <sz val="14"/>
            <color indexed="81"/>
            <rFont val="Tahoma"/>
            <family val="2"/>
          </rPr>
          <t xml:space="preserve">Note:
</t>
        </r>
        <r>
          <rPr>
            <sz val="14"/>
            <color indexed="81"/>
            <rFont val="Tahoma"/>
            <family val="2"/>
          </rPr>
          <t>This cell represents the costs of both equity and debt due diligence (if applicable) and other transaction costs.
Input cannot be less than zero.</t>
        </r>
      </text>
    </comment>
    <comment ref="S1182" authorId="0" shapeId="0" xr:uid="{3BCF5B21-928C-4293-A097-A5E8784B3767}">
      <text>
        <r>
          <rPr>
            <b/>
            <sz val="14"/>
            <color indexed="81"/>
            <rFont val="Tahoma"/>
            <family val="2"/>
          </rPr>
          <t>Note:</t>
        </r>
        <r>
          <rPr>
            <sz val="14"/>
            <color indexed="81"/>
            <rFont val="Tahoma"/>
            <family val="2"/>
          </rPr>
          <t xml:space="preserve">
This input cell allows the user to assume the creation of a reserve account. The value entered here will be accounted for in the project's cash flow, and would be funded evenly over the number of years available between the project's commercial operation and the end of its useful life.
Input cannot be less than zero.
</t>
        </r>
      </text>
    </comment>
    <comment ref="P1184" authorId="0" shapeId="0" xr:uid="{EBA3B48F-B39A-4904-9DE9-1F7196239FB4}">
      <text>
        <r>
          <rPr>
            <b/>
            <sz val="8"/>
            <color indexed="81"/>
            <rFont val="Tahoma"/>
            <family val="2"/>
          </rPr>
          <t>See "unit" definitions at the bottom of this worksheet.</t>
        </r>
        <r>
          <rPr>
            <sz val="8"/>
            <color indexed="81"/>
            <rFont val="Tahoma"/>
            <family val="2"/>
          </rPr>
          <t xml:space="preserve">
</t>
        </r>
      </text>
    </comment>
    <comment ref="I1185" authorId="0" shapeId="0" xr:uid="{2DDF294D-AD5A-4A57-8ACF-996307A295FB}">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at the project's "Total Installed Cost."
</t>
        </r>
      </text>
    </comment>
    <comment ref="I1186" authorId="0" shapeId="0" xr:uid="{0AD9E1C5-3BBE-472E-AA11-5B0D3F41CA9B}">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t>
        </r>
      </text>
    </comment>
    <comment ref="S1186" authorId="0" shapeId="0" xr:uid="{DF634B84-A242-4920-8F65-4A8845AB9623}">
      <text>
        <r>
          <rPr>
            <b/>
            <sz val="14"/>
            <color indexed="81"/>
            <rFont val="Tahoma"/>
            <family val="2"/>
          </rPr>
          <t>Note:</t>
        </r>
        <r>
          <rPr>
            <sz val="14"/>
            <color indexed="81"/>
            <rFont val="Tahoma"/>
            <family val="2"/>
          </rPr>
          <t xml:space="preserve">
Lenders typically require the project owner to establish a reserve account prior to the commencement of operations to ensure that loan repayments occur in full and on time even if the project has insufficient operating cash flow in a specific period due to lower than expected production, higher costs, or both. The size of the reserve account is typically equal to 6 months of debt service obligation.
Input cannot be less than zero.
</t>
        </r>
      </text>
    </comment>
    <comment ref="I1187" authorId="0" shapeId="0" xr:uid="{ADB8DCEA-8AEE-4101-B352-8E74B3D01DD9}">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As previously described, this value excludes the ITC Cash Grant, which must be financed prior to commercial operation.  
</t>
        </r>
      </text>
    </comment>
    <comment ref="S1187" authorId="0" shapeId="0" xr:uid="{858645E5-B3ED-416E-BCC2-E964B113134C}">
      <text>
        <r>
          <rPr>
            <b/>
            <sz val="14"/>
            <color indexed="81"/>
            <rFont val="Tahoma"/>
            <family val="2"/>
          </rPr>
          <t>Note:</t>
        </r>
        <r>
          <rPr>
            <sz val="14"/>
            <color indexed="81"/>
            <rFont val="Tahoma"/>
            <family val="2"/>
          </rPr>
          <t xml:space="preserve">
Calculated value based on the # months of required reserve and the capital structure and associated periodic debt obligation.
</t>
        </r>
      </text>
    </comment>
    <comment ref="I1188" authorId="0" shapeId="0" xr:uid="{CB159361-B0FD-4FF8-9EC3-4FBFD4E73A91}">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t>
        </r>
      </text>
    </comment>
    <comment ref="S1189" authorId="0" shapeId="0" xr:uid="{6C6980ED-10CD-49DE-ADEA-93895339B8A1}">
      <text>
        <r>
          <rPr>
            <b/>
            <sz val="14"/>
            <color indexed="81"/>
            <rFont val="Tahoma"/>
            <family val="2"/>
          </rPr>
          <t>Note:</t>
        </r>
        <r>
          <rPr>
            <sz val="14"/>
            <color indexed="81"/>
            <rFont val="Tahoma"/>
            <family val="2"/>
          </rPr>
          <t xml:space="preserve">
Lenders typically require the project owner to establish a reserve account prior to the commencement of operations to ensure that all O&amp;M expenses can be met even if the project has insufficient operating cash flow in a specific period due to lower than expected production, higher costs, or both. The size of the reserve account is typically 3 to 6 months of O&amp;M expenses, and includes all categories of O&amp;M expenses.
Input cannot be less than zero.
</t>
        </r>
      </text>
    </comment>
    <comment ref="F1190" authorId="0" shapeId="0" xr:uid="{0E3E02B1-5A00-4372-BA76-60076A7F04A3}">
      <text>
        <r>
          <rPr>
            <b/>
            <sz val="8"/>
            <color indexed="81"/>
            <rFont val="Tahoma"/>
            <family val="2"/>
          </rPr>
          <t>See "unit" definitions at the bottom of this worksheet.</t>
        </r>
        <r>
          <rPr>
            <sz val="8"/>
            <color indexed="81"/>
            <rFont val="Tahoma"/>
            <family val="2"/>
          </rPr>
          <t xml:space="preserve">
</t>
        </r>
      </text>
    </comment>
    <comment ref="S1190" authorId="0" shapeId="0" xr:uid="{8A0E67B9-38B1-4429-A7A7-1189F62B6616}">
      <text>
        <r>
          <rPr>
            <b/>
            <sz val="14"/>
            <color indexed="81"/>
            <rFont val="Tahoma"/>
            <family val="2"/>
          </rPr>
          <t>Note:</t>
        </r>
        <r>
          <rPr>
            <sz val="14"/>
            <color indexed="81"/>
            <rFont val="Tahoma"/>
            <family val="2"/>
          </rPr>
          <t xml:space="preserve">
Calculated value based on the # months of required reserve and all annual operating expenses.
</t>
        </r>
      </text>
    </comment>
    <comment ref="I1191" authorId="0" shapeId="0" xr:uid="{BBECD403-CFFD-47F6-8F1A-C243F8CF3C7B}">
      <text>
        <r>
          <rPr>
            <b/>
            <sz val="14"/>
            <color indexed="81"/>
            <rFont val="Tahoma"/>
            <family val="2"/>
          </rPr>
          <t xml:space="preserve">Note:
</t>
        </r>
        <r>
          <rPr>
            <sz val="14"/>
            <color indexed="81"/>
            <rFont val="Tahoma"/>
            <family val="2"/>
          </rPr>
          <t xml:space="preserve">Defines whether the project owner is a taxable or non-taxable entity. This determines the treatment of income taxes and other tax-related items.
</t>
        </r>
      </text>
    </comment>
    <comment ref="S1191" authorId="0" shapeId="0" xr:uid="{8FD7A488-DA6E-4DCE-A72A-8A97100E7D72}">
      <text>
        <r>
          <rPr>
            <b/>
            <sz val="14"/>
            <color indexed="81"/>
            <rFont val="Tahoma"/>
            <family val="2"/>
          </rPr>
          <t>Note:</t>
        </r>
        <r>
          <rPr>
            <sz val="14"/>
            <color indexed="81"/>
            <rFont val="Tahoma"/>
            <family val="2"/>
          </rPr>
          <t xml:space="preserve">
Unused reserves earn interest at this rate. Input cannot be less than zero.
</t>
        </r>
      </text>
    </comment>
    <comment ref="I1192" authorId="0" shapeId="0" xr:uid="{4B008165-74C3-48ED-AFFD-6A622139AAC7}">
      <text>
        <r>
          <rPr>
            <b/>
            <sz val="14"/>
            <color indexed="81"/>
            <rFont val="Tahoma"/>
            <family val="2"/>
          </rPr>
          <t xml:space="preserve">Note:
</t>
        </r>
        <r>
          <rPr>
            <sz val="14"/>
            <color indexed="81"/>
            <rFont val="Tahoma"/>
            <family val="2"/>
          </rPr>
          <t xml:space="preserve">Defines the project's federal income tax rate, if applicable.
Input cannot be less than zero.
</t>
        </r>
      </text>
    </comment>
    <comment ref="I1193" authorId="0" shapeId="0" xr:uid="{DCA85C54-2D97-422B-B064-E80E2ADF468D}">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I1194" authorId="0" shapeId="0" xr:uid="{AC9B12FC-D403-4C56-931E-9319250475B0}">
      <text>
        <r>
          <rPr>
            <b/>
            <sz val="14"/>
            <color indexed="81"/>
            <rFont val="Tahoma"/>
            <family val="2"/>
          </rPr>
          <t xml:space="preserve">Note:
</t>
        </r>
        <r>
          <rPr>
            <sz val="14"/>
            <color indexed="81"/>
            <rFont val="Tahoma"/>
            <family val="2"/>
          </rPr>
          <t xml:space="preserve">Defines the project's state income tax rate, if applicable.
Input cannot be less than zero.
</t>
        </r>
      </text>
    </comment>
    <comment ref="S1194" authorId="0" shapeId="0" xr:uid="{268D520F-D692-4591-A927-D14E18F99954}">
      <text>
        <r>
          <rPr>
            <b/>
            <sz val="14"/>
            <color indexed="81"/>
            <rFont val="Tahoma"/>
            <family val="2"/>
          </rPr>
          <t>Note:</t>
        </r>
        <r>
          <rPr>
            <sz val="14"/>
            <color indexed="81"/>
            <rFont val="Tahoma"/>
            <family val="2"/>
          </rPr>
          <t xml:space="preserve">
To qualify for Bonus Depreciation the property must have a recovery period of 20 years or less (under normal federal tax depreciation rules), and the project must commence operation in the year in which bonus depreciation is in effect and under the ownership of the entity claiming the deduction. 
For qualifying projects, the owner is entitled to deduct 50% of the adjusted basis of the property during the tax year the property is first placed in service. The remaining 50% of the adjusted basis of the property is depreciated over the ordinary MACRS depreciation schedule. The bonus depreciation rules do not override the depreciation limit applicable to projects qualifying for the federal ITC. Before calculating depreciation for such a project, including any bonus depreciation, the adjusted basis of the project must be reduced by one-half of the amount of the ITC for which the project qualifies. 
</t>
        </r>
      </text>
    </comment>
    <comment ref="I1195" authorId="0" shapeId="0" xr:uid="{FDE6F4C2-ACB5-4750-97D6-BA9B8FC4B989}">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P1195" authorId="0" shapeId="0" xr:uid="{E32B92DB-F065-4B95-A948-390F1F253BF2}">
      <text>
        <r>
          <rPr>
            <b/>
            <sz val="12"/>
            <color indexed="81"/>
            <rFont val="Tahoma"/>
            <family val="2"/>
          </rPr>
          <t>Jason Gifford:</t>
        </r>
        <r>
          <rPr>
            <sz val="12"/>
            <color indexed="81"/>
            <rFont val="Tahoma"/>
            <family val="2"/>
          </rPr>
          <t xml:space="preserve">
The Consolidated Appropriations Act, signed in December 2015, extended the "placed in service" deadline for bonus depreciation. Equipment placed in service before January 1, 2018 can qualify for 50% bonus depreciation. Equipment placed in service during 2018 can qualify for 40% bonus depreciation. And equipment placed in service during 2019 can qualify for 30% bonus depreciation. </t>
        </r>
      </text>
    </comment>
    <comment ref="S1195" authorId="0" shapeId="0" xr:uid="{7DA408DF-5841-4011-9137-BD6B6C7B599E}">
      <text>
        <r>
          <rPr>
            <b/>
            <sz val="14"/>
            <color indexed="81"/>
            <rFont val="Tahoma"/>
            <family val="2"/>
          </rPr>
          <t>Note:</t>
        </r>
        <r>
          <rPr>
            <sz val="14"/>
            <color indexed="81"/>
            <rFont val="Tahoma"/>
            <family val="2"/>
          </rPr>
          <t xml:space="preserve">
This input allows the user to define the bonus depreciation % applied in Year 1, if applicable.  Historically, federal bonus depreciation has been 50% of the eligible cost basis (after taking into account reductions in such cost basis for the ITC, if applicable).  
Input cannot be less than zero.
</t>
        </r>
      </text>
    </comment>
    <comment ref="I1196" authorId="0" shapeId="0" xr:uid="{19435542-CE92-40B6-8411-1756199500FB}">
      <text>
        <r>
          <rPr>
            <b/>
            <sz val="14"/>
            <color indexed="81"/>
            <rFont val="Tahoma"/>
            <family val="2"/>
          </rPr>
          <t xml:space="preserve">Note:
</t>
        </r>
        <r>
          <rPr>
            <sz val="14"/>
            <color indexed="81"/>
            <rFont val="Tahoma"/>
            <family val="2"/>
          </rPr>
          <t xml:space="preserve">Takes into account the interaction between federal and state tax rates. This is a calculated value.
</t>
        </r>
      </text>
    </comment>
    <comment ref="I1197" authorId="0" shapeId="0" xr:uid="{9130A0AD-E214-49C9-9970-988477F9F090}">
      <text>
        <r>
          <rPr>
            <b/>
            <sz val="14"/>
            <color indexed="81"/>
            <rFont val="Tahoma"/>
            <family val="2"/>
          </rPr>
          <t xml:space="preserve">Note:
</t>
        </r>
        <r>
          <rPr>
            <sz val="14"/>
            <color indexed="81"/>
            <rFont val="Tahoma"/>
            <family val="2"/>
          </rPr>
          <t>Depreciation accounts for the "use" of equipment for tax purposes. The depreciation inputs are provided in the table to the right and on the Complex Capital Costs tab when this option is selected.</t>
        </r>
      </text>
    </comment>
    <comment ref="AB1198" authorId="0" shapeId="0" xr:uid="{95C69A9C-379A-46EB-B452-B2CF9BB43906}">
      <text>
        <r>
          <rPr>
            <b/>
            <sz val="14"/>
            <color indexed="81"/>
            <rFont val="Tahoma"/>
            <family val="2"/>
          </rPr>
          <t>Note:</t>
        </r>
        <r>
          <rPr>
            <sz val="14"/>
            <color indexed="81"/>
            <rFont val="Tahoma"/>
            <family val="2"/>
          </rPr>
          <t xml:space="preserve">
When the "Simple" capital cost option is selected, the depreciation of total project costs is divided among the classifications using this row. The depreciation options associated with other levels of cost detail will be hidden.
</t>
        </r>
        <r>
          <rPr>
            <b/>
            <sz val="14"/>
            <color indexed="81"/>
            <rFont val="Tahoma"/>
            <family val="2"/>
          </rPr>
          <t xml:space="preserve">This row must sum to 100%.
</t>
        </r>
      </text>
    </comment>
    <comment ref="AB1199" authorId="0" shapeId="0" xr:uid="{44D26CAD-F2AD-4518-8D78-7B33B18C99BE}">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1200" authorId="0" shapeId="0" xr:uid="{C4D98EF8-A3DD-4F98-A5C3-4B847F4FDB13}">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1201" authorId="0" shapeId="0" xr:uid="{085D1C3D-7BD5-4293-B102-22ED63819661}">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1202" authorId="0" shapeId="0" xr:uid="{07185CE6-A6D5-49E2-9332-4DE6D359E473}">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1203" authorId="0" shapeId="0" xr:uid="{B84BB8DF-CC59-471F-A653-EA6BE9EC77BF}">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1204" authorId="0" shapeId="0" xr:uid="{F5D61FBC-44F9-4A9E-B2DE-46512D42E998}">
      <text>
        <r>
          <rPr>
            <b/>
            <sz val="14"/>
            <color indexed="81"/>
            <rFont val="Tahoma"/>
            <family val="2"/>
          </rPr>
          <t>Note:</t>
        </r>
        <r>
          <rPr>
            <sz val="14"/>
            <color indexed="81"/>
            <rFont val="Tahoma"/>
            <family val="2"/>
          </rPr>
          <t xml:space="preserve">
When the "Complex" capital cost option is selected, each line items is assigned its own depreciation classification using a drop-down menu on the Complex Capital Costs tab.
</t>
        </r>
      </text>
    </comment>
    <comment ref="C1209" authorId="0" shapeId="0" xr:uid="{489813B1-F154-4AC5-966E-CCF8F95B534B}">
      <text>
        <r>
          <rPr>
            <sz val="14"/>
            <color indexed="81"/>
            <rFont val="Tahoma"/>
            <family val="2"/>
          </rPr>
          <t xml:space="preserve">The "Check" column evaluates whether or not values have been enterred in all required fields.  Green denotes an accepted entry in a required field or a calculation for which the minimum required precedents have been satisfied.  Red denotes the absence of an entry in a required field, or a calculation for which the minimum required precendents have NOT been satisfied.
</t>
        </r>
        <r>
          <rPr>
            <b/>
            <sz val="14"/>
            <color indexed="81"/>
            <rFont val="Tahoma"/>
            <family val="2"/>
          </rPr>
          <t>Please note</t>
        </r>
        <r>
          <rPr>
            <sz val="14"/>
            <color indexed="81"/>
            <rFont val="Tahoma"/>
            <family val="2"/>
          </rPr>
          <t xml:space="preserve"> that while the "Check" column ensures the population of all required fields, this column does NOT validate the magnitude of such entries.  It is the model user's responsibility to provide inputs which accurately represent the project being modeled.  In some cases, a range of typical values for a specified input are provided in that input's "Notes" cell.</t>
        </r>
      </text>
    </comment>
    <comment ref="I1209" authorId="0" shapeId="0" xr:uid="{6C88E32F-3106-4769-8153-4AED6E5A50D2}">
      <text>
        <r>
          <rPr>
            <sz val="14"/>
            <color indexed="81"/>
            <rFont val="Tahoma"/>
            <family val="2"/>
          </rPr>
          <t xml:space="preserve">Each cell in the "Notes" column provides a brief description of the input in the corresponding row, its application within the model, and (in some cases) the range of values that might be expected to populate that  input cell.  It is the model user's responsibility, however, to research and validate the applicability of, and appropriate value for, each input.
</t>
        </r>
        <r>
          <rPr>
            <sz val="8"/>
            <color indexed="81"/>
            <rFont val="Tahoma"/>
            <family val="2"/>
          </rPr>
          <t xml:space="preserve">
</t>
        </r>
      </text>
    </comment>
    <comment ref="M1209" authorId="0" shapeId="0" xr:uid="{016D1C01-9691-4B10-9CD4-9F535CF29612}">
      <text>
        <r>
          <rPr>
            <sz val="14"/>
            <color indexed="81"/>
            <rFont val="Tahoma"/>
            <family val="2"/>
          </rPr>
          <t xml:space="preserve">The "Check" column evaluates whether or not values have been enterred in all required fields.  Green denotes an accepted entry in a required field or a calculation for which the minimum required precedents have been satisfied.  Red denotes the absence of an entry in a required field, or a calculation for which the minimum required precendents have NOT been satisfied.
</t>
        </r>
        <r>
          <rPr>
            <b/>
            <sz val="14"/>
            <color indexed="81"/>
            <rFont val="Tahoma"/>
            <family val="2"/>
          </rPr>
          <t>Please note</t>
        </r>
        <r>
          <rPr>
            <sz val="14"/>
            <color indexed="81"/>
            <rFont val="Tahoma"/>
            <family val="2"/>
          </rPr>
          <t xml:space="preserve"> that while the "Check" column ensures the population of all required fields, this column does NOT validate the magnitude of such entries.  It is the model user's responsibility to provide inputs which accurately represent the project being modeled.  In some cases, a range of typical values for a specified input are provided in that input's "Notes" cell.</t>
        </r>
      </text>
    </comment>
    <comment ref="S1209" authorId="0" shapeId="0" xr:uid="{0BF49A38-3334-4C09-8C51-B37DC6D7D009}">
      <text>
        <r>
          <rPr>
            <sz val="14"/>
            <color indexed="81"/>
            <rFont val="Tahoma"/>
            <family val="2"/>
          </rPr>
          <t>Each cell in the "Notes" column provides a brief description of the input in the corresponding row, its application within the model, and (in some cases) the range of values that might be expected to populate that  input cell. It is the model user's responsibility, however, to research and validate the applicability of, and appropriate value for, each input.</t>
        </r>
        <r>
          <rPr>
            <sz val="8"/>
            <color indexed="81"/>
            <rFont val="Tahoma"/>
            <family val="2"/>
          </rPr>
          <t xml:space="preserve">
</t>
        </r>
      </text>
    </comment>
    <comment ref="F1211" authorId="0" shapeId="0" xr:uid="{93471639-9A08-4D48-A276-1C9C2099C93F}">
      <text>
        <r>
          <rPr>
            <b/>
            <sz val="8"/>
            <color indexed="81"/>
            <rFont val="Tahoma"/>
            <family val="2"/>
          </rPr>
          <t>See "unit" definitions at the bottom of this worksheet.</t>
        </r>
        <r>
          <rPr>
            <sz val="8"/>
            <color indexed="81"/>
            <rFont val="Tahoma"/>
            <family val="2"/>
          </rPr>
          <t xml:space="preserve">
</t>
        </r>
      </text>
    </comment>
    <comment ref="P1211" authorId="0" shapeId="0" xr:uid="{7BE99368-BC35-4D26-834D-38AD677F0614}">
      <text>
        <r>
          <rPr>
            <b/>
            <sz val="8"/>
            <color indexed="81"/>
            <rFont val="Tahoma"/>
            <family val="2"/>
          </rPr>
          <t>See "unit" definitions at the bottom of this worksheet.</t>
        </r>
        <r>
          <rPr>
            <sz val="8"/>
            <color indexed="81"/>
            <rFont val="Tahoma"/>
            <family val="2"/>
          </rPr>
          <t xml:space="preserve">
</t>
        </r>
      </text>
    </comment>
    <comment ref="I1212" authorId="1" shapeId="0" xr:uid="{B927912F-7FC1-461B-9880-CCD2C6A231F3}">
      <text>
        <r>
          <rPr>
            <b/>
            <sz val="14"/>
            <color indexed="81"/>
            <rFont val="Tahoma"/>
            <family val="2"/>
          </rPr>
          <t>Note:</t>
        </r>
        <r>
          <rPr>
            <sz val="14"/>
            <color indexed="81"/>
            <rFont val="Tahoma"/>
            <family val="2"/>
          </rPr>
          <t xml:space="preserve">
This is the aggregate nameplate rating for the entire generating facility.
Input must be greater than zero.
</t>
        </r>
      </text>
    </comment>
    <comment ref="S1212" authorId="1" shapeId="0" xr:uid="{A15996AF-3616-4A58-90D8-F7550E097BC7}">
      <text>
        <r>
          <rPr>
            <b/>
            <sz val="14"/>
            <color indexed="81"/>
            <rFont val="Tahoma"/>
            <family val="2"/>
          </rPr>
          <t xml:space="preserve">Note:
</t>
        </r>
        <r>
          <rPr>
            <sz val="14"/>
            <color indexed="81"/>
            <rFont val="Tahoma"/>
            <family val="2"/>
          </rPr>
          <t xml:space="preserve">The FIT contract length is the number of years for which the rate specified by this model is available. This term is established by policymakers and must be less than or equal to the project's useful life.  
The contract duration is also different than the debt tenor (if applicable), which is specified in the Permanent Financing section below.
</t>
        </r>
      </text>
    </comment>
    <comment ref="I1213" authorId="1" shapeId="0" xr:uid="{143358AE-AE97-4C23-9A9E-6CFFCA9DFC1B}">
      <text>
        <r>
          <rPr>
            <b/>
            <sz val="14"/>
            <color indexed="81"/>
            <rFont val="Tahoma"/>
            <family val="2"/>
          </rPr>
          <t>Note:</t>
        </r>
        <r>
          <rPr>
            <sz val="14"/>
            <color indexed="81"/>
            <rFont val="Tahoma"/>
            <family val="2"/>
          </rPr>
          <t xml:space="preserve">
Capacity Factor is the % representation of the actual production vs. the theoretical maximum annual production of an energy project. This model requires the input of a </t>
        </r>
        <r>
          <rPr>
            <b/>
            <sz val="14"/>
            <color indexed="81"/>
            <rFont val="Tahoma"/>
            <family val="2"/>
          </rPr>
          <t>Net Capacity Factor</t>
        </r>
        <r>
          <rPr>
            <sz val="14"/>
            <color indexed="81"/>
            <rFont val="Tahoma"/>
            <family val="2"/>
          </rPr>
          <t xml:space="preserve">, meaning that the estimate of actual energy production should take into account all electricity losses (including those incurred between the generating facility and the contract delivery point), scheduled and unscheduled maintenance, forced outages, wake effects, icing, and any other factors that could reduce production.
Wind projects typically have a capacity factor between 25% and 40% depending on region and site-specific topography. 
Input must be between 0% and 100%.
</t>
        </r>
      </text>
    </comment>
    <comment ref="S1213" authorId="1" shapeId="0" xr:uid="{F39B63A5-C73D-4743-8158-71741310A2BC}">
      <text>
        <r>
          <rPr>
            <b/>
            <sz val="14"/>
            <color indexed="81"/>
            <rFont val="Tahoma"/>
            <family val="2"/>
          </rPr>
          <t xml:space="preserve">Note:
</t>
        </r>
        <r>
          <rPr>
            <sz val="14"/>
            <color indexed="81"/>
            <rFont val="Tahoma"/>
            <family val="2"/>
          </rPr>
          <t xml:space="preserve">This is the portion (%) of the tariff which is subject to annual escalation.  
Program administrators may determine that some or all of the tariff rate should be escalated to reflect the uncertainty associated with the future cost of owning and operating an electricity generating facility. This input is separate from the inflation assumed to apply to certain O&amp;M expenses, which is provided as an input in the O&amp;M section below.
Input must be between 0% and 100%.
</t>
        </r>
      </text>
    </comment>
    <comment ref="I1214" authorId="1" shapeId="0" xr:uid="{F000B459-6B63-4139-A771-34B0E584FC7A}">
      <text>
        <r>
          <rPr>
            <b/>
            <sz val="14"/>
            <color indexed="81"/>
            <rFont val="Tahoma"/>
            <family val="2"/>
          </rPr>
          <t>Note:</t>
        </r>
        <r>
          <rPr>
            <sz val="14"/>
            <color indexed="81"/>
            <rFont val="Tahoma"/>
            <family val="2"/>
          </rPr>
          <t xml:space="preserve">
This is a calculation, based on the system size and capacity factor provided above. 
</t>
        </r>
      </text>
    </comment>
    <comment ref="S1214" authorId="1" shapeId="0" xr:uid="{07483DC4-E424-42E6-A976-3D5D020A1616}">
      <text>
        <r>
          <rPr>
            <b/>
            <sz val="14"/>
            <color indexed="81"/>
            <rFont val="Tahoma"/>
            <family val="2"/>
          </rPr>
          <t xml:space="preserve">Note:
</t>
        </r>
        <r>
          <rPr>
            <sz val="14"/>
            <color indexed="81"/>
            <rFont val="Tahoma"/>
            <family val="2"/>
          </rPr>
          <t xml:space="preserve">To calculate a </t>
        </r>
        <r>
          <rPr>
            <b/>
            <sz val="14"/>
            <color indexed="81"/>
            <rFont val="Tahoma"/>
            <family val="2"/>
          </rPr>
          <t>nominal levelized tariff rate</t>
        </r>
        <r>
          <rPr>
            <sz val="14"/>
            <color indexed="81"/>
            <rFont val="Tahoma"/>
            <family val="2"/>
          </rPr>
          <t xml:space="preserve">, the "feed-in tariff escalation rate" field should be </t>
        </r>
        <r>
          <rPr>
            <b/>
            <sz val="14"/>
            <color indexed="81"/>
            <rFont val="Tahoma"/>
            <family val="2"/>
          </rPr>
          <t>set to zero</t>
        </r>
        <r>
          <rPr>
            <sz val="14"/>
            <color indexed="81"/>
            <rFont val="Tahoma"/>
            <family val="2"/>
          </rPr>
          <t>.</t>
        </r>
        <r>
          <rPr>
            <b/>
            <sz val="14"/>
            <color indexed="81"/>
            <rFont val="Tahoma"/>
            <family val="2"/>
          </rPr>
          <t xml:space="preserve">
</t>
        </r>
        <r>
          <rPr>
            <sz val="14"/>
            <color indexed="81"/>
            <rFont val="Tahoma"/>
            <family val="2"/>
          </rPr>
          <t xml:space="preserve">Where applied, tariff rate escalation is intended to serve as a risk mitigating tool, at least partially protecting the project investor from the uncertainty associated with the future cost of owning and operating the renewable energy facility. The escalation rate can be used to assume a year over year increase in all, or a portion, of the per unit payment provided to eligible generators. This concept is separate from inflationary adjustments to future operating cost assumptions -- which are input below.
This rate is applied annually.  Note that in this model, calendar years and tariff years are aligned.
</t>
        </r>
        <r>
          <rPr>
            <b/>
            <sz val="14"/>
            <color indexed="81"/>
            <rFont val="Tahoma"/>
            <family val="2"/>
          </rPr>
          <t>Caution:</t>
        </r>
        <r>
          <rPr>
            <sz val="14"/>
            <color indexed="81"/>
            <rFont val="Tahoma"/>
            <family val="2"/>
          </rPr>
          <t xml:space="preserve"> A value must be entered into this cell in order for the model to function properly. The input can be positive or negative (if the FIT value decreases over time), and a typical value may fall between 0% and 5%.  
</t>
        </r>
      </text>
    </comment>
    <comment ref="I1215" authorId="1" shapeId="0" xr:uid="{0C91237B-26DB-406F-86D1-C87E87BA60CB}">
      <text>
        <r>
          <rPr>
            <b/>
            <sz val="14"/>
            <color indexed="81"/>
            <rFont val="Tahoma"/>
            <family val="2"/>
          </rPr>
          <t>Note:</t>
        </r>
        <r>
          <rPr>
            <sz val="14"/>
            <color indexed="81"/>
            <rFont val="Tahoma"/>
            <family val="2"/>
          </rPr>
          <t xml:space="preserve">
The natural aging of the mechanical components of a wind turbine generator may lead to a drop in turbine availability (or efficiency), and therefore production, over time.  
This input allows the user to model the potential for such degradation, which may be between 0% and 2% per year.
</t>
        </r>
        <r>
          <rPr>
            <b/>
            <sz val="14"/>
            <color indexed="81"/>
            <rFont val="Tahoma"/>
            <family val="2"/>
          </rPr>
          <t>If the modeled "Net Capacity Factor" is intented to take long-term average availability into account, then the user may wish to enter 0% in the Annual Production Degradation field.</t>
        </r>
        <r>
          <rPr>
            <sz val="14"/>
            <color indexed="81"/>
            <rFont val="Tahoma"/>
            <family val="2"/>
          </rPr>
          <t xml:space="preserve">
Input must be =&gt; 0%.
</t>
        </r>
      </text>
    </comment>
    <comment ref="I1216" authorId="1" shapeId="0" xr:uid="{B4C8A850-C6D6-4A8A-8C96-25935D9D40C3}">
      <text>
        <r>
          <rPr>
            <b/>
            <sz val="14"/>
            <color indexed="81"/>
            <rFont val="Tahoma"/>
            <family val="2"/>
          </rPr>
          <t xml:space="preserve">Note:
</t>
        </r>
        <r>
          <rPr>
            <sz val="14"/>
            <color indexed="81"/>
            <rFont val="Tahoma"/>
            <family val="2"/>
          </rPr>
          <t xml:space="preserve">The Project Useful Life is the number of years that the project is expected to be fully operational, reliably delivering electricity to the grid, and generating revenue. This concept is different from the FIT Contract Length, which is administratively determined by policymakers. These two values may be the same if a FIT contract is offered for the project's entire expected useful life. This approach is likely to generate the lowest tariff rate, while successfully attracting investors to renewable energy projects.  
The CREST model is built for a maximum Project Useful Life of 30 years.
Input must be greater than 0 and less than or equal to 30.
</t>
        </r>
      </text>
    </comment>
    <comment ref="S1216" authorId="1" shapeId="0" xr:uid="{B8CB5468-F1AE-4461-9BEB-3C27570D0829}">
      <text>
        <r>
          <rPr>
            <b/>
            <sz val="14"/>
            <color indexed="81"/>
            <rFont val="Tahoma"/>
            <family val="2"/>
          </rPr>
          <t xml:space="preserve">Note:
</t>
        </r>
        <r>
          <rPr>
            <sz val="14"/>
            <color indexed="81"/>
            <rFont val="Tahoma"/>
            <family val="2"/>
          </rPr>
          <t>If the designated "FIT Contract Length" is less than the defined "Project Useful Life", then this grouping of inputs is used to calculate the project's market-based revenue during the period from FIT contract expiration to the end of the project's life.</t>
        </r>
        <r>
          <rPr>
            <b/>
            <sz val="14"/>
            <color indexed="81"/>
            <rFont val="Tahoma"/>
            <family val="2"/>
          </rPr>
          <t xml:space="preserve">
</t>
        </r>
        <r>
          <rPr>
            <sz val="14"/>
            <color indexed="81"/>
            <rFont val="Tahoma"/>
            <family val="2"/>
          </rPr>
          <t xml:space="preserve">
</t>
        </r>
      </text>
    </comment>
    <comment ref="S1217" authorId="1" shapeId="0" xr:uid="{78AC0055-7DB1-408B-BFEE-CA8B515DD50A}">
      <text>
        <r>
          <rPr>
            <b/>
            <sz val="14"/>
            <color indexed="81"/>
            <rFont val="Tahoma"/>
            <family val="2"/>
          </rPr>
          <t xml:space="preserve">Note:
</t>
        </r>
        <r>
          <rPr>
            <sz val="14"/>
            <color indexed="81"/>
            <rFont val="Tahoma"/>
            <family val="2"/>
          </rPr>
          <t>Selecting "Year One" forecasts the total market value of production based on an estimate of that value in the project's first year of commercial operation and a user-defined escalation rate.  
Selecting "Year-by-Year" enables the user to enter unique annual values for the period after the FIT expires and before the end of the project's useful life.</t>
        </r>
        <r>
          <rPr>
            <b/>
            <sz val="14"/>
            <color indexed="81"/>
            <rFont val="Tahoma"/>
            <family val="2"/>
          </rPr>
          <t xml:space="preserve">
</t>
        </r>
        <r>
          <rPr>
            <sz val="14"/>
            <color indexed="81"/>
            <rFont val="Tahoma"/>
            <family val="2"/>
          </rPr>
          <t xml:space="preserve">
</t>
        </r>
      </text>
    </comment>
    <comment ref="F1218" authorId="0" shapeId="0" xr:uid="{F34325C6-80C3-421F-AEE4-629E59D9F84B}">
      <text>
        <r>
          <rPr>
            <b/>
            <sz val="8"/>
            <color indexed="81"/>
            <rFont val="Tahoma"/>
            <family val="2"/>
          </rPr>
          <t>See "unit" definitions at the bottom of this worksheet.</t>
        </r>
        <r>
          <rPr>
            <sz val="8"/>
            <color indexed="81"/>
            <rFont val="Tahoma"/>
            <family val="2"/>
          </rPr>
          <t xml:space="preserve">
</t>
        </r>
      </text>
    </comment>
    <comment ref="S1218" authorId="1" shapeId="0" xr:uid="{2DAD4BEC-D295-4EC3-9088-BDB159014AD1}">
      <text>
        <r>
          <rPr>
            <b/>
            <sz val="14"/>
            <color indexed="81"/>
            <rFont val="Tahoma"/>
            <family val="2"/>
          </rPr>
          <t xml:space="preserve">Note:
</t>
        </r>
        <r>
          <rPr>
            <sz val="14"/>
            <color indexed="81"/>
            <rFont val="Tahoma"/>
            <family val="2"/>
          </rPr>
          <t xml:space="preserve">This is the </t>
        </r>
        <r>
          <rPr>
            <b/>
            <sz val="14"/>
            <color indexed="81"/>
            <rFont val="Tahoma"/>
            <family val="2"/>
          </rPr>
          <t>combined</t>
        </r>
        <r>
          <rPr>
            <sz val="14"/>
            <color indexed="81"/>
            <rFont val="Tahoma"/>
            <family val="2"/>
          </rPr>
          <t xml:space="preserve"> (or "bundled") market value of energy + capacity + Renewable Energy Credtis (RECs) in the same year in which the project's first enters commercial operation.
This input must be greater than zero.
</t>
        </r>
      </text>
    </comment>
    <comment ref="I1219" authorId="1" shapeId="0" xr:uid="{EE0B8C0D-4F7C-42F6-B05D-2EDCC103104C}">
      <text>
        <r>
          <rPr>
            <b/>
            <sz val="14"/>
            <color indexed="81"/>
            <rFont val="Tahoma"/>
            <family val="2"/>
          </rPr>
          <t>Note:</t>
        </r>
        <r>
          <rPr>
            <sz val="14"/>
            <color indexed="81"/>
            <rFont val="Tahoma"/>
            <family val="2"/>
          </rPr>
          <t xml:space="preserve">
This model alllows the user to input system cost at 1 of 3 levels of detail: "simple", "intermediate" or "complex." Simple offers a single input in $/kW, Intermediate offers five cost subcategories in total dollars, and Complex offers line-by-line project costing with user-defined categories and costs per line-item.  
Select your preferred method and use the cells below to enter your cost information. If you choose the "Complex" option, you will need to follow the link below to the "Complex Capital Costs" tab.</t>
        </r>
      </text>
    </comment>
    <comment ref="S1219" authorId="1" shapeId="0" xr:uid="{CB8AF33A-3631-4D10-AF16-6E75605B9C45}">
      <text>
        <r>
          <rPr>
            <b/>
            <sz val="14"/>
            <color indexed="81"/>
            <rFont val="Tahoma"/>
            <family val="2"/>
          </rPr>
          <t xml:space="preserve">Note:
</t>
        </r>
        <r>
          <rPr>
            <sz val="14"/>
            <color indexed="81"/>
            <rFont val="Tahoma"/>
            <family val="2"/>
          </rPr>
          <t xml:space="preserve">When the "Year One" forecast methodology is selected, this is the user-defined escalation rate at which the market value of production is expected to change.
Input must be greater than zero.
</t>
        </r>
      </text>
    </comment>
    <comment ref="I1220" authorId="1" shapeId="0" xr:uid="{5C6D132C-F924-4263-B6FC-4E0DD12C8241}">
      <text>
        <r>
          <rPr>
            <b/>
            <sz val="14"/>
            <color indexed="81"/>
            <rFont val="Tahoma"/>
            <family val="2"/>
          </rPr>
          <t>Note:</t>
        </r>
        <r>
          <rPr>
            <sz val="14"/>
            <color indexed="81"/>
            <rFont val="Tahoma"/>
            <family val="2"/>
          </rPr>
          <t xml:space="preserve">
When "Simple" is selected in the Cost Level of Detail cell, this "Total Installed Cost" row represents the total expected all-in project cost, which should include all hardware, balance of plant, interconnection, design, construction, permitting, development (including developer fee), interest during construction and financing costs. This figure should not account for any tax incentives, grants, or other cash incentives, each of which will be addressed elsewhere in the model. This figure should, however, reflect any applicable sales tax or exemptions thereof.
Input must be greater than zero.
</t>
        </r>
      </text>
    </comment>
    <comment ref="S1220" authorId="1" shapeId="0" xr:uid="{827A0BB7-0188-43DA-80B8-61FFCC38FD9C}">
      <text>
        <r>
          <rPr>
            <b/>
            <sz val="14"/>
            <color indexed="81"/>
            <rFont val="Tahoma"/>
            <family val="2"/>
          </rPr>
          <t xml:space="preserve">Note:
</t>
        </r>
        <r>
          <rPr>
            <sz val="14"/>
            <color indexed="81"/>
            <rFont val="Tahoma"/>
            <family val="2"/>
          </rPr>
          <t xml:space="preserve">When "Year-by-Year" market value of production forecast is selected, this link brings the user to another worksheet on which unique annual values may be entered.
</t>
        </r>
      </text>
    </comment>
    <comment ref="I1221" authorId="1" shapeId="0" xr:uid="{5154E861-3A83-4E89-9CFF-E1C95DE95181}">
      <text>
        <r>
          <rPr>
            <b/>
            <sz val="14"/>
            <color indexed="81"/>
            <rFont val="Tahoma"/>
            <family val="2"/>
          </rPr>
          <t>Note:</t>
        </r>
        <r>
          <rPr>
            <sz val="14"/>
            <color indexed="81"/>
            <rFont val="Tahoma"/>
            <family val="2"/>
          </rPr>
          <t xml:space="preserve">
"Generation Equipment" should include hardware such as the generator, blades and tower.  
Caution: the model assumes that if "Intermediate" is selected as the level of detail section, the "Generation Equipment" row must have a value greater than zero. 
</t>
        </r>
      </text>
    </comment>
    <comment ref="I1222" authorId="1" shapeId="0" xr:uid="{14CBE60A-4E30-4524-AC0C-B71D24B98F24}">
      <text>
        <r>
          <rPr>
            <b/>
            <sz val="14"/>
            <color indexed="81"/>
            <rFont val="Tahoma"/>
            <family val="2"/>
          </rPr>
          <t>Note:</t>
        </r>
        <r>
          <rPr>
            <sz val="14"/>
            <color indexed="81"/>
            <rFont val="Tahoma"/>
            <family val="2"/>
          </rPr>
          <t xml:space="preserve">
Balance of Plant (also known as Balance of System) represents all infrastructure, site prep and labor supporting the installation of the generation equipment. BOP costs include foundations, mounting devices, other hardware, and labor not already accounted for in the "Generation Equipment" row.
Input cannot be less than zero.
</t>
        </r>
      </text>
    </comment>
    <comment ref="P1222" authorId="0" shapeId="0" xr:uid="{375151B1-9350-4A75-96F0-62125F3530DC}">
      <text>
        <r>
          <rPr>
            <b/>
            <sz val="8"/>
            <color indexed="81"/>
            <rFont val="Tahoma"/>
            <family val="2"/>
          </rPr>
          <t>See "unit" definitions at the bottom of this worksheet.</t>
        </r>
        <r>
          <rPr>
            <sz val="8"/>
            <color indexed="81"/>
            <rFont val="Tahoma"/>
            <family val="2"/>
          </rPr>
          <t xml:space="preserve">
</t>
        </r>
      </text>
    </comment>
    <comment ref="I1223" authorId="1" shapeId="0" xr:uid="{2B0CCCE7-5107-4079-9F03-63B4D5053E06}">
      <text>
        <r>
          <rPr>
            <b/>
            <sz val="14"/>
            <color indexed="81"/>
            <rFont val="Tahoma"/>
            <family val="2"/>
          </rPr>
          <t>Note:</t>
        </r>
        <r>
          <rPr>
            <sz val="14"/>
            <color indexed="81"/>
            <rFont val="Tahoma"/>
            <family val="2"/>
          </rPr>
          <t xml:space="preserve">
The "Interconnection" row should account for all project costs relating to connecting to the grid, such as the construction of transmission lines, permitting costs with the utility, and start-up costs. This category will also include the cost of a new substation, if necessary.
Regulators wishing to explore the potential that interconnection costs may be recovered from ratepayers separately can elect to enter zeros in this cost category whenever "Intermediate" or "Complex" is selected.
Input cannot be less than zero.
</t>
        </r>
      </text>
    </comment>
    <comment ref="S1223" authorId="0" shapeId="0" xr:uid="{9CED65F0-5310-4437-9281-5693CCAB53B0}">
      <text>
        <r>
          <rPr>
            <b/>
            <sz val="14"/>
            <color indexed="81"/>
            <rFont val="Tahoma"/>
            <family val="2"/>
          </rPr>
          <t xml:space="preserve">Note:
</t>
        </r>
        <r>
          <rPr>
            <sz val="14"/>
            <color indexed="81"/>
            <rFont val="Tahoma"/>
            <family val="2"/>
          </rPr>
          <t>This drop-down input cell allows the user to specify whether federal incentives are cost-based (e.g. an investment tax credit) or performance-based (e.g. a PTC). The magnitude and terms of these incentives are set in the cells below.
For more information, a useful resource for researching federal and state incentives online is:  
http://dsireusa.org/
*See bottom of introduction page for a list of links</t>
        </r>
      </text>
    </comment>
    <comment ref="E1224" authorId="0" shapeId="0" xr:uid="{A11F7FE9-04EA-421B-A4EC-B4D53DEA8C95}">
      <text>
        <r>
          <rPr>
            <b/>
            <sz val="14"/>
            <color indexed="81"/>
            <rFont val="Tahoma"/>
            <family val="2"/>
          </rPr>
          <t>Jason Gifford:</t>
        </r>
        <r>
          <rPr>
            <sz val="14"/>
            <color indexed="81"/>
            <rFont val="Tahoma"/>
            <family val="2"/>
          </rPr>
          <t xml:space="preserve">
Converted to "admin cost" for community remote DG</t>
        </r>
      </text>
    </comment>
    <comment ref="I1224" authorId="1" shapeId="0" xr:uid="{7DE09997-3B11-429D-B143-F5819159E86D}">
      <text>
        <r>
          <rPr>
            <b/>
            <sz val="14"/>
            <color indexed="81"/>
            <rFont val="Tahoma"/>
            <family val="2"/>
          </rPr>
          <t>Note:</t>
        </r>
        <r>
          <rPr>
            <sz val="8"/>
            <color indexed="81"/>
            <rFont val="Tahoma"/>
            <family val="2"/>
          </rPr>
          <t xml:space="preserve">
</t>
        </r>
        <r>
          <rPr>
            <sz val="14"/>
            <color indexed="81"/>
            <rFont val="Tahoma"/>
            <family val="2"/>
          </rPr>
          <t xml:space="preserve">The "Development Costs" row should include all costs relating to project management, studies, engineering, permitting, contingencies, success fees, and other soft costs not accounted for elsewhere in the "Intermediate" cost breakdown. 
Input cannot be less than zero.
</t>
        </r>
      </text>
    </comment>
    <comment ref="S1224" authorId="1" shapeId="0" xr:uid="{E759AF5D-5D88-4FCA-B16D-0899FAE49311}">
      <text>
        <r>
          <rPr>
            <b/>
            <sz val="14"/>
            <color indexed="81"/>
            <rFont val="Tahoma"/>
            <family val="2"/>
          </rPr>
          <t xml:space="preserve">Note:
</t>
        </r>
        <r>
          <rPr>
            <sz val="14"/>
            <color indexed="81"/>
            <rFont val="Tahoma"/>
            <family val="2"/>
          </rPr>
          <t>Some renewable energy projects may be eligible to take advantagee of Federal incentives such as the Investment Tax Credit or a Treasury Grant. Information on eligibility for funding opportunities such as these is available online at:
http://dsireusa.org/incentives/incentive.cfm?Incentive_Code=US02F&amp;re=1&amp;ee=1
*See bottom of introduction page for a list of links</t>
        </r>
        <r>
          <rPr>
            <b/>
            <sz val="14"/>
            <color indexed="81"/>
            <rFont val="Tahoma"/>
            <family val="2"/>
          </rPr>
          <t xml:space="preserve">
</t>
        </r>
        <r>
          <rPr>
            <sz val="14"/>
            <color indexed="81"/>
            <rFont val="Tahoma"/>
            <family val="2"/>
          </rPr>
          <t xml:space="preserve">
</t>
        </r>
      </text>
    </comment>
    <comment ref="I1225" authorId="1" shapeId="0" xr:uid="{4C72DFA6-6877-446E-8A5B-CCD00F99D609}">
      <text>
        <r>
          <rPr>
            <b/>
            <sz val="14"/>
            <color indexed="81"/>
            <rFont val="Tahoma"/>
            <family val="2"/>
          </rPr>
          <t>Note:</t>
        </r>
        <r>
          <rPr>
            <sz val="14"/>
            <color indexed="81"/>
            <rFont val="Tahoma"/>
            <family val="2"/>
          </rPr>
          <t xml:space="preserve">
The "Reserves &amp; Financing Costs" row accounts for all costs relating to financing, such as lender fees, closing costs, legal fees, interest during construction, due diligence costs, and any other relevant, financing relating costs. The model calculates this field by aggregating G22 through G25, G51, G54, G63, G66, Q57 and Q60.
</t>
        </r>
      </text>
    </comment>
    <comment ref="S1225" authorId="0" shapeId="0" xr:uid="{9D1EA4C2-E8B1-4603-9E38-ED35490E2DEE}">
      <text>
        <r>
          <rPr>
            <b/>
            <sz val="14"/>
            <color indexed="81"/>
            <rFont val="Tahoma"/>
            <family val="2"/>
          </rPr>
          <t xml:space="preserve">NOTE:
</t>
        </r>
        <r>
          <rPr>
            <sz val="14"/>
            <color indexed="81"/>
            <rFont val="Tahoma"/>
            <family val="2"/>
          </rPr>
          <t xml:space="preserve">The maximum potential Investment Tax Credit (ITC) benefit is assumed to be 30% of those project costs which are depreciable on the 5-year MACRS schedule.  This 'eligible costs' assumption is purposefully simplified for this analysis.  Project costs depreciated on other bases may also be eligible for the ITC.  Developers should consult with tax counsel for project-specific depreciation and ITC treatment of each project cost.
</t>
        </r>
        <r>
          <rPr>
            <sz val="8"/>
            <color indexed="81"/>
            <rFont val="Tahoma"/>
            <family val="2"/>
          </rPr>
          <t xml:space="preserve">
</t>
        </r>
      </text>
    </comment>
    <comment ref="I1226" authorId="1" shapeId="0" xr:uid="{E000DB6D-0B2E-440A-AD71-1E658AB6C37F}">
      <text>
        <r>
          <rPr>
            <b/>
            <sz val="14"/>
            <color indexed="81"/>
            <rFont val="Tahoma"/>
            <family val="2"/>
          </rPr>
          <t>Note:</t>
        </r>
        <r>
          <rPr>
            <sz val="14"/>
            <color indexed="81"/>
            <rFont val="Tahoma"/>
            <family val="2"/>
          </rPr>
          <t xml:space="preserve">
If you wish to enter your project costs under the "Complex" format, select Complex from the drop-down menu and use the link to the left to access additional worksheets which provide the opportunitiy to add significant, additional detail on project costs. Once complete, the model will roll up the detailed costs and populate this row with the resultant final project cost. </t>
        </r>
      </text>
    </comment>
    <comment ref="S1226" authorId="0" shapeId="0" xr:uid="{58F60914-7E8A-4D8F-BC4C-C4B17747CE0D}">
      <text>
        <r>
          <rPr>
            <b/>
            <sz val="14"/>
            <color indexed="81"/>
            <rFont val="Tahoma"/>
            <family val="2"/>
          </rPr>
          <t xml:space="preserve">NOTE:
</t>
        </r>
        <r>
          <rPr>
            <sz val="14"/>
            <color indexed="81"/>
            <rFont val="Tahoma"/>
            <family val="2"/>
          </rPr>
          <t xml:space="preserve">As a tax </t>
        </r>
        <r>
          <rPr>
            <u/>
            <sz val="14"/>
            <color indexed="81"/>
            <rFont val="Tahoma"/>
            <family val="2"/>
          </rPr>
          <t>credit</t>
        </r>
        <r>
          <rPr>
            <sz val="14"/>
            <color indexed="81"/>
            <rFont val="Tahoma"/>
            <family val="2"/>
          </rPr>
          <t>, the ITC is only usable by project owners with positive federal income tax liability.  
In cases where the owner's tax liability in the calendar year of the project's first commercial operation exceeds the ITC amount, the user may enter 100% in this field and assume full utilization of the ITC.
If the owner's tax liability is less than the available ITC, the user may either enter a % value less than 100% or select the "carried forward" method in the "Tax Benefits used as generated or carried forward?" cell.  
Input must be between 0% and 100%.</t>
        </r>
        <r>
          <rPr>
            <sz val="8"/>
            <color indexed="81"/>
            <rFont val="Tahoma"/>
            <family val="2"/>
          </rPr>
          <t xml:space="preserve">
</t>
        </r>
      </text>
    </comment>
    <comment ref="I1227" authorId="1" shapeId="0" xr:uid="{504636A0-CD2D-419B-8F8E-4BB29E5472BB}">
      <text>
        <r>
          <rPr>
            <b/>
            <sz val="14"/>
            <color indexed="81"/>
            <rFont val="Tahoma"/>
            <family val="2"/>
          </rPr>
          <t>Note:</t>
        </r>
        <r>
          <rPr>
            <sz val="14"/>
            <color indexed="81"/>
            <rFont val="Tahoma"/>
            <family val="2"/>
          </rPr>
          <t xml:space="preserve">
The total system cost is a calculation, based on the level of detail selected and the assocated inputs.
</t>
        </r>
      </text>
    </comment>
    <comment ref="S1227" authorId="0" shapeId="0" xr:uid="{39157D47-B453-4509-B33E-D01ED9FDE67E}">
      <text>
        <r>
          <rPr>
            <b/>
            <sz val="14"/>
            <color indexed="81"/>
            <rFont val="Tahoma"/>
            <family val="2"/>
          </rPr>
          <t xml:space="preserve">Note:
</t>
        </r>
        <r>
          <rPr>
            <sz val="14"/>
            <color indexed="81"/>
            <rFont val="Tahoma"/>
            <family val="2"/>
          </rPr>
          <t xml:space="preserve">Calculates the dollar value of the Investment Tax Credit or Cash Grant, if applicable.
</t>
        </r>
      </text>
    </comment>
    <comment ref="I1228" authorId="1" shapeId="0" xr:uid="{30E16B18-428C-4ADB-BD30-E2B4D2D28E22}">
      <text>
        <r>
          <rPr>
            <b/>
            <sz val="14"/>
            <color indexed="81"/>
            <rFont val="Tahoma"/>
            <family val="2"/>
          </rPr>
          <t>Note:</t>
        </r>
        <r>
          <rPr>
            <sz val="14"/>
            <color indexed="81"/>
            <rFont val="Tahoma"/>
            <family val="2"/>
          </rPr>
          <t xml:space="preserve">
Calculation based on the total system cost in the cell above and the system size reported. Typical costs (as of 2010) fall between $2,000/kW and $3,000/kW.</t>
        </r>
        <r>
          <rPr>
            <sz val="8"/>
            <color indexed="81"/>
            <rFont val="Tahoma"/>
            <family val="2"/>
          </rPr>
          <t xml:space="preserve">
</t>
        </r>
      </text>
    </comment>
    <comment ref="S1228" authorId="0" shapeId="0" xr:uid="{1FC5737E-39F3-49B3-B8B5-5DD655ADC89C}">
      <text>
        <r>
          <rPr>
            <b/>
            <sz val="14"/>
            <color indexed="81"/>
            <rFont val="Tahoma"/>
            <family val="2"/>
          </rPr>
          <t xml:space="preserve">Note: </t>
        </r>
        <r>
          <rPr>
            <sz val="14"/>
            <color indexed="81"/>
            <rFont val="Tahoma"/>
            <family val="2"/>
          </rPr>
          <t xml:space="preserve">
This input cell, the "Performance Based Incentive" or "PBI" is another potential incentive available to some specific projects. The PBI would be separate from a feed-in-tariff, but acts similarly in that it is per unit of production (typically kWh) income to a project.
Some examples of PBIs include the Federal Production Tax Credit (applicable to private projects with tax appetites) and the Federal Renewable Energy Production Incentive (REPI), historically available to some public projects.
</t>
        </r>
      </text>
    </comment>
    <comment ref="I1229" authorId="1" shapeId="0" xr:uid="{FD98170B-1266-4822-9486-828DBB3A3EB4}">
      <text>
        <r>
          <rPr>
            <b/>
            <sz val="14"/>
            <color indexed="81"/>
            <rFont val="Tahoma"/>
            <family val="2"/>
          </rPr>
          <t xml:space="preserve">Note:
</t>
        </r>
        <r>
          <rPr>
            <sz val="14"/>
            <color indexed="81"/>
            <rFont val="Tahoma"/>
            <family val="2"/>
          </rPr>
          <t xml:space="preserve">This cell calculates the total of all applicable grants, excluding the payment in lieu of the Federal ITC (also known as the ITC Cash Grant, or Cash Grant), if applicable.  The ITC Cash Grant is considered separately because unlike grants issued upfront and used to offset capital costs, the ITC Cash Grant is disbursed approxiamtely 60 days after the start of commercial operations and therefore becomes an integral part of the project's financing.
Where grants are treated as taxable income, this cell calculates the after-tax impact on the total cost of the project.
  </t>
        </r>
        <r>
          <rPr>
            <sz val="8"/>
            <color indexed="81"/>
            <rFont val="Tahoma"/>
            <family val="2"/>
          </rPr>
          <t xml:space="preserve">
</t>
        </r>
      </text>
    </comment>
    <comment ref="S1229" authorId="0" shapeId="0" xr:uid="{5325CB33-CB61-4F7A-852A-1B5B08B403A9}">
      <text>
        <r>
          <rPr>
            <b/>
            <sz val="14"/>
            <color indexed="81"/>
            <rFont val="Tahoma"/>
            <family val="2"/>
          </rPr>
          <t xml:space="preserve">Note: </t>
        </r>
        <r>
          <rPr>
            <sz val="14"/>
            <color indexed="81"/>
            <rFont val="Tahoma"/>
            <family val="2"/>
          </rPr>
          <t xml:space="preserve">
This cell denotes the value of the Performance Based Incentive applicable to the project's first year of commercial operation. In some cases, this value will need to be calculated external to the model if such PBI is derived from a "base year" and specified inflation index. The following cells can be used to account for inflation and the maximum term of eligibility.
Input cannot be less than zero.
</t>
        </r>
      </text>
    </comment>
    <comment ref="I1230" authorId="1" shapeId="0" xr:uid="{B9759E73-2264-4554-AEAF-D14A4506EA91}">
      <text>
        <r>
          <rPr>
            <b/>
            <sz val="14"/>
            <color indexed="81"/>
            <rFont val="Tahoma"/>
            <family val="2"/>
          </rPr>
          <t>Note:</t>
        </r>
        <r>
          <rPr>
            <sz val="14"/>
            <color indexed="81"/>
            <rFont val="Tahoma"/>
            <family val="2"/>
          </rPr>
          <t xml:space="preserve">
Calculation of total project cost net applicable grants. 
</t>
        </r>
      </text>
    </comment>
    <comment ref="S1230" authorId="0" shapeId="0" xr:uid="{6497CBB9-FE78-43A8-9B37-596FA7EA9150}">
      <text>
        <r>
          <rPr>
            <b/>
            <sz val="14"/>
            <color indexed="81"/>
            <rFont val="Tahoma"/>
            <family val="2"/>
          </rPr>
          <t>Note:</t>
        </r>
        <r>
          <rPr>
            <sz val="14"/>
            <color indexed="81"/>
            <rFont val="Tahoma"/>
            <family val="2"/>
          </rPr>
          <t xml:space="preserve">
This is the length of time that a project would be eligible for any Performance Based Incentives outlined in the cell immediately above. For example, the Federal Renewable Energy Production Incentive and Production Tax Credit incentives are available for the first 10 years of project operation.
Input cannot be less than zero.
</t>
        </r>
      </text>
    </comment>
    <comment ref="I1231" authorId="1" shapeId="0" xr:uid="{7FD3379A-AB37-46A5-AB88-1585C1745B65}">
      <text>
        <r>
          <rPr>
            <b/>
            <sz val="14"/>
            <color indexed="81"/>
            <rFont val="Tahoma"/>
            <family val="2"/>
          </rPr>
          <t xml:space="preserve">Note:
</t>
        </r>
        <r>
          <rPr>
            <sz val="14"/>
            <color indexed="81"/>
            <rFont val="Tahoma"/>
            <family val="2"/>
          </rPr>
          <t xml:space="preserve">Calculation, based on net project cost and total installed capacity. 
</t>
        </r>
      </text>
    </comment>
    <comment ref="S1231" authorId="0" shapeId="0" xr:uid="{6C5697F1-794E-44C5-954C-7772319E2AF9}">
      <text>
        <r>
          <rPr>
            <b/>
            <sz val="14"/>
            <color indexed="81"/>
            <rFont val="Tahoma"/>
            <family val="2"/>
          </rPr>
          <t xml:space="preserve">Note:
</t>
        </r>
        <r>
          <rPr>
            <sz val="14"/>
            <color indexed="81"/>
            <rFont val="Tahoma"/>
            <family val="2"/>
          </rPr>
          <t xml:space="preserve">Performance Based Incentives are often adjusted to account for inflation. For example, the Federal Production Tax Credit (PTC) is adjusted each year to account for changes in the GDP IPD index. This cell can be used as a proxy for the inflation that would apply to any PBI incentive entered above.
This input cannot be left blank.
</t>
        </r>
        <r>
          <rPr>
            <sz val="8"/>
            <color indexed="81"/>
            <rFont val="Tahoma"/>
            <family val="2"/>
          </rPr>
          <t xml:space="preserve">
</t>
        </r>
      </text>
    </comment>
    <comment ref="S1232" authorId="0" shapeId="0" xr:uid="{FADFB782-BF20-4E26-B0EC-CD88DF721728}">
      <text>
        <r>
          <rPr>
            <b/>
            <sz val="14"/>
            <color indexed="81"/>
            <rFont val="Tahoma"/>
            <family val="2"/>
          </rPr>
          <t xml:space="preserve">Note:
</t>
        </r>
        <r>
          <rPr>
            <sz val="14"/>
            <color indexed="81"/>
            <rFont val="Tahoma"/>
            <family val="2"/>
          </rPr>
          <t>In some cases, due to the nature of the requirements of some Performance Based Incentive programs, project owners are unable to maximize the full revenue stream of the incentive. For example, in the case of the Federal Production Tax Credit (PTC), the project owner may not have sufficienct tax appetite to fully utilize the tax credits. 
This input cell would allow the modeler to account for the owner's inability to fully utilize the PTC and/or the reduction of the PTC (a "haircut") due to the presence of subsidized (below market interest rate) financing.
Incentive "availability" will likely be a factor if this cell is being used to model the cash-based Renewable Energy Production Incentive (REPI).  The REPI program has historically been underfunded; available monies are allocated pro rata among eligible projects.  In this case, the value entered in this cell should reflect the user's expectation of the fraction of the face value REPI payment that will be available over the applicable incentive term.
Input must be between 0% to 100%.</t>
        </r>
      </text>
    </comment>
    <comment ref="F1233" authorId="0" shapeId="0" xr:uid="{F942A06F-C6B3-43EC-B910-6F06993295C8}">
      <text>
        <r>
          <rPr>
            <b/>
            <sz val="8"/>
            <color indexed="81"/>
            <rFont val="Tahoma"/>
            <family val="2"/>
          </rPr>
          <t>See "unit" definitions at the bottom of this worksheet.</t>
        </r>
        <r>
          <rPr>
            <sz val="8"/>
            <color indexed="81"/>
            <rFont val="Tahoma"/>
            <family val="2"/>
          </rPr>
          <t xml:space="preserve">
</t>
        </r>
      </text>
    </comment>
    <comment ref="S1233" authorId="0" shapeId="0" xr:uid="{90687107-86C6-4A15-9B33-3B0037D7E1CB}">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I1234" authorId="0" shapeId="0" xr:uid="{EEF937EB-C4B2-424E-A898-DCB5E18CFD28}">
      <text>
        <r>
          <rPr>
            <b/>
            <sz val="14"/>
            <color indexed="81"/>
            <rFont val="Tahoma"/>
            <family val="2"/>
          </rPr>
          <t>Note:</t>
        </r>
        <r>
          <rPr>
            <sz val="14"/>
            <color indexed="81"/>
            <rFont val="Tahoma"/>
            <family val="2"/>
          </rPr>
          <t xml:space="preserve">
Select either "Simple" or "Intermediate" O&amp;M expense detail using the drop-down menu to the right.
</t>
        </r>
        <r>
          <rPr>
            <sz val="8"/>
            <color indexed="81"/>
            <rFont val="Tahoma"/>
            <family val="2"/>
          </rPr>
          <t xml:space="preserve">
</t>
        </r>
      </text>
    </comment>
    <comment ref="I1235" authorId="1" shapeId="0" xr:uid="{D158C506-FAE9-4ACB-B9A1-3D951B5EE4EC}">
      <text>
        <r>
          <rPr>
            <b/>
            <sz val="14"/>
            <color indexed="81"/>
            <rFont val="Tahoma"/>
            <family val="2"/>
          </rPr>
          <t>Note:</t>
        </r>
        <r>
          <rPr>
            <sz val="14"/>
            <color indexed="81"/>
            <rFont val="Tahoma"/>
            <family val="2"/>
          </rPr>
          <t xml:space="preserve">
If "Simple" is selected in the cell above, then this input should reflect the </t>
        </r>
        <r>
          <rPr>
            <b/>
            <u/>
            <sz val="14"/>
            <color indexed="81"/>
            <rFont val="Tahoma"/>
            <family val="2"/>
          </rPr>
          <t>total</t>
        </r>
        <r>
          <rPr>
            <sz val="14"/>
            <color indexed="81"/>
            <rFont val="Tahoma"/>
            <family val="2"/>
          </rPr>
          <t xml:space="preserve"> expected </t>
        </r>
        <r>
          <rPr>
            <b/>
            <u/>
            <sz val="14"/>
            <color indexed="81"/>
            <rFont val="Tahoma"/>
            <family val="2"/>
          </rPr>
          <t>fixed</t>
        </r>
        <r>
          <rPr>
            <sz val="14"/>
            <color indexed="81"/>
            <rFont val="Tahoma"/>
            <family val="2"/>
          </rPr>
          <t xml:space="preserve"> cost of project operations and maintenance, in $/kW-yr.  This </t>
        </r>
        <r>
          <rPr>
            <u/>
            <sz val="14"/>
            <color indexed="81"/>
            <rFont val="Tahoma"/>
            <family val="2"/>
          </rPr>
          <t>includes</t>
        </r>
        <r>
          <rPr>
            <sz val="14"/>
            <color indexed="81"/>
            <rFont val="Tahoma"/>
            <family val="2"/>
          </rPr>
          <t xml:space="preserve"> the insurance, project management, property tax (or payment in lieu thereof), land lease, and royalty expenses which would have been broken out separately in the "Intermediate" case.  Other labor and spare parts should also be included in this estimate.
If the user has obtained O&amp;M expense estimates from a third-party, it is critical to understand which costs have been included.  If the user is not certain that all of the above-listed expenses are included in the fixed cost estimate, then the "Intermediate" approach should be used and these expenses should be entered separately.
If "Intermediate" is selected, then this input should reflect  the expected annual fixed O&amp;M cost before taking into account the additional listed expenses, which are entered below. 
In all cases, fixed O&amp;M would include - among others - the ongoing cost of obtaining daily, weekly or monthly production estimates based on weather and other factors.
Input value must be greater than zero. 
</t>
        </r>
      </text>
    </comment>
    <comment ref="S1235" authorId="1" shapeId="0" xr:uid="{32BC5E8B-B87E-4A25-BF58-8506419BB6F6}">
      <text>
        <r>
          <rPr>
            <b/>
            <sz val="14"/>
            <color indexed="81"/>
            <rFont val="Tahoma"/>
            <family val="2"/>
          </rPr>
          <t xml:space="preserve">Note:
</t>
        </r>
        <r>
          <rPr>
            <sz val="14"/>
            <color indexed="81"/>
            <rFont val="Tahoma"/>
            <family val="2"/>
          </rPr>
          <t xml:space="preserve">Some renewable energy projects may be eligible for other federal grants as well, such as funding from the U.S. Department of Agriculture. This input cell can be used to capture those funding opportunities, some of which are outlined online at:
http://dsireusa.org/incentives/index.cfm?state=us&amp;re=1&amp;EE=1
*See bottom of introduction page for a list of links
Input cannot be less than zero.
</t>
        </r>
      </text>
    </comment>
    <comment ref="I1236" authorId="1" shapeId="0" xr:uid="{C65839B0-12C7-49A2-B0EF-37B1FF76CFB9}">
      <text>
        <r>
          <rPr>
            <b/>
            <sz val="14"/>
            <color indexed="81"/>
            <rFont val="Tahoma"/>
            <family val="2"/>
          </rPr>
          <t>Note:</t>
        </r>
        <r>
          <rPr>
            <sz val="14"/>
            <color indexed="81"/>
            <rFont val="Tahoma"/>
            <family val="2"/>
          </rPr>
          <t xml:space="preserve">
This cell provides the user with the option of accounting for O&amp;M expenses (such as labor and spare parts) which are more easily estimated and modeled on a variable, cents per kWh basis.  
If "Simple" is selected above, then this cell should also take into account variable costs, such as royalties, </t>
        </r>
        <r>
          <rPr>
            <b/>
            <u/>
            <sz val="14"/>
            <color indexed="81"/>
            <rFont val="Tahoma"/>
            <family val="2"/>
          </rPr>
          <t>if</t>
        </r>
        <r>
          <rPr>
            <sz val="14"/>
            <color indexed="81"/>
            <rFont val="Tahoma"/>
            <family val="2"/>
          </rPr>
          <t xml:space="preserve"> such annual expenses are not already accounted for in the fixed cost input above.
Input cannot be less than zero.
</t>
        </r>
      </text>
    </comment>
    <comment ref="S1236" authorId="0" shapeId="0" xr:uid="{F062F39F-23F0-48E5-984F-900F48FFBB8B}">
      <text>
        <r>
          <rPr>
            <b/>
            <sz val="14"/>
            <color indexed="81"/>
            <rFont val="Tahoma"/>
            <family val="2"/>
          </rPr>
          <t xml:space="preserve">Note:
</t>
        </r>
        <r>
          <rPr>
            <sz val="14"/>
            <color indexed="81"/>
            <rFont val="Tahoma"/>
            <family val="2"/>
          </rPr>
          <t xml:space="preserve">Select here whether federal grants (other than the section 1603 payment in lieu of the ITC/PTC) are treated as taxable income. If no, depreciation basis is reduced. 
</t>
        </r>
      </text>
    </comment>
    <comment ref="I1237" authorId="0" shapeId="0" xr:uid="{1EEC168E-16B6-48AC-9808-D156B41CAB69}">
      <text>
        <r>
          <rPr>
            <b/>
            <sz val="14"/>
            <color indexed="81"/>
            <rFont val="Tahoma"/>
            <family val="2"/>
          </rPr>
          <t>Note:</t>
        </r>
        <r>
          <rPr>
            <sz val="14"/>
            <color indexed="81"/>
            <rFont val="Tahoma"/>
            <family val="2"/>
          </rPr>
          <t xml:space="preserve">
This inflation rate applies to both fixed and variable O&amp;M expense, insurance, and project management costs entered above, if applicable. 
The model allows the user to specify an inflation assumption for an "initial period" and a second inflation assumption "thereafter." These inputs can be used to account for inflation which might be fixed during an initial O&amp;M service contract, but are unknown thereafter.  The final year of the "initial period" is  user-defined (e.g. final year of an O&amp;M service contract). 
The purpose of this feature is also to recognize that inflationary trends may change over time, or that some projects may not expect inflation of O&amp;M expenses for the first several years, but may expect inflation thereafter.
This inflation rate does not apply to PILOT or Royalty costs. Input cannot be less than zero.
</t>
        </r>
      </text>
    </comment>
    <comment ref="I1238" authorId="0" shapeId="0" xr:uid="{DA1A08AC-31AD-49BD-A4BA-10EF161B1F89}">
      <text>
        <r>
          <rPr>
            <b/>
            <sz val="14"/>
            <color indexed="81"/>
            <rFont val="Tahoma"/>
            <family val="2"/>
          </rPr>
          <t xml:space="preserve">Note:
</t>
        </r>
        <r>
          <rPr>
            <sz val="14"/>
            <color indexed="81"/>
            <rFont val="Tahoma"/>
            <family val="2"/>
          </rPr>
          <t xml:space="preserve">This feature allows the user to assume that the rate at which expenses change over time is not constant. This cell provides the year in which the first inflation period ends.
Input cannot be less than zero.
</t>
        </r>
      </text>
    </comment>
    <comment ref="P1238" authorId="0" shapeId="0" xr:uid="{1DA41845-5D0C-4E0B-8AA8-AA08F394BFE3}">
      <text>
        <r>
          <rPr>
            <b/>
            <sz val="8"/>
            <color indexed="81"/>
            <rFont val="Tahoma"/>
            <family val="2"/>
          </rPr>
          <t>See "unit" definitions at the bottom of this worksheet.</t>
        </r>
        <r>
          <rPr>
            <sz val="8"/>
            <color indexed="81"/>
            <rFont val="Tahoma"/>
            <family val="2"/>
          </rPr>
          <t xml:space="preserve">
</t>
        </r>
      </text>
    </comment>
    <comment ref="I1239" authorId="0" shapeId="0" xr:uid="{B91C29AB-A0F2-4C98-83B6-D7976B1800CF}">
      <text>
        <r>
          <rPr>
            <b/>
            <sz val="14"/>
            <color indexed="81"/>
            <rFont val="Tahoma"/>
            <family val="2"/>
          </rPr>
          <t xml:space="preserve">Note:
</t>
        </r>
        <r>
          <rPr>
            <sz val="14"/>
            <color indexed="81"/>
            <rFont val="Tahoma"/>
            <family val="2"/>
          </rPr>
          <t xml:space="preserve">This cell provides the inflation rate for the remainder of the project's useful life.
Input must be greater than zero.
</t>
        </r>
      </text>
    </comment>
    <comment ref="S1239" authorId="1" shapeId="0" xr:uid="{173CC16F-F6D4-44E6-9B5A-45E89D47BE7B}">
      <text>
        <r>
          <rPr>
            <b/>
            <sz val="14"/>
            <color indexed="81"/>
            <rFont val="Tahoma"/>
            <family val="2"/>
          </rPr>
          <t xml:space="preserve">Note:
</t>
        </r>
        <r>
          <rPr>
            <sz val="14"/>
            <color indexed="81"/>
            <rFont val="Tahoma"/>
            <family val="2"/>
          </rPr>
          <t>This drop-down input cell allows the user to specify whether state incentives are cost-based (e.g. an investment tax credit) or performance-based (e.g. a PTC or cash payment). If no state incentive is available or useable by the modeled project, the user will select "Neither." The magnitude and terms of these incentives are set in the cells below.
For more information, a useful resource for researching federal and state incentives online is:  
http://dsireusa.org/
*See bottom of introduction page for a list of links</t>
        </r>
      </text>
    </comment>
    <comment ref="I1240" authorId="1" shapeId="0" xr:uid="{142A1280-57AF-4684-A801-A54CE9B8E8C7}">
      <text>
        <r>
          <rPr>
            <b/>
            <sz val="14"/>
            <color indexed="81"/>
            <rFont val="Tahoma"/>
            <family val="2"/>
          </rPr>
          <t xml:space="preserve">Note:
</t>
        </r>
        <r>
          <rPr>
            <sz val="14"/>
            <color indexed="81"/>
            <rFont val="Tahoma"/>
            <family val="2"/>
          </rPr>
          <t xml:space="preserve">Project owners, or hosts, are required to carry insurance. This input accounts for the estimated cost of insuring the modeled power generating facility.
Input cannot be less than zero.
</t>
        </r>
      </text>
    </comment>
    <comment ref="S1240" authorId="0" shapeId="0" xr:uid="{325E74A3-075E-4DCA-A358-6FE7701ABDE1}">
      <text>
        <r>
          <rPr>
            <b/>
            <sz val="14"/>
            <color indexed="81"/>
            <rFont val="Tahoma"/>
            <family val="2"/>
          </rPr>
          <t xml:space="preserve">NOTE:
</t>
        </r>
        <r>
          <rPr>
            <sz val="14"/>
            <color indexed="81"/>
            <rFont val="Tahoma"/>
            <family val="2"/>
          </rPr>
          <t xml:space="preserve">The maximum potential Investment Tax Credit (ITC) benefit is assumed to be 30% of those project costs which are depreciable on the 5-year MACRS schedule.
</t>
        </r>
      </text>
    </comment>
    <comment ref="I1241" authorId="0" shapeId="0" xr:uid="{C01E6B2A-25EC-48E6-A065-C8CF25E863A0}">
      <text>
        <r>
          <rPr>
            <b/>
            <sz val="14"/>
            <color indexed="81"/>
            <rFont val="Tahoma"/>
            <family val="2"/>
          </rPr>
          <t xml:space="preserve">Note:
</t>
        </r>
        <r>
          <rPr>
            <sz val="14"/>
            <color indexed="81"/>
            <rFont val="Tahoma"/>
            <family val="2"/>
          </rPr>
          <t xml:space="preserve">This cell calculates the resulting dollar value cost of insurance based on the input above and the project installed cost (net of financing costs).  It is provided simply as a reference for the user.
</t>
        </r>
        <r>
          <rPr>
            <sz val="8"/>
            <color indexed="81"/>
            <rFont val="Tahoma"/>
            <family val="2"/>
          </rPr>
          <t xml:space="preserve">
</t>
        </r>
      </text>
    </comment>
    <comment ref="S1241" authorId="0" shapeId="0" xr:uid="{F0ED0CD1-284E-4311-AB66-DBC6CB1E12F5}">
      <text>
        <r>
          <rPr>
            <b/>
            <sz val="14"/>
            <color indexed="81"/>
            <rFont val="Tahoma"/>
            <family val="2"/>
          </rPr>
          <t xml:space="preserve">NOTE:
</t>
        </r>
        <r>
          <rPr>
            <sz val="14"/>
            <color indexed="81"/>
            <rFont val="Tahoma"/>
            <family val="2"/>
          </rPr>
          <t xml:space="preserve">As a tax </t>
        </r>
        <r>
          <rPr>
            <u/>
            <sz val="14"/>
            <color indexed="81"/>
            <rFont val="Tahoma"/>
            <family val="2"/>
          </rPr>
          <t>credit</t>
        </r>
        <r>
          <rPr>
            <sz val="14"/>
            <color indexed="81"/>
            <rFont val="Tahoma"/>
            <family val="2"/>
          </rPr>
          <t>, the ITC is only usable by project owners with positive federal income tax liability.  
In cases where the owner's tax liability in the calendar year of the project's first commercial operation exceeds the ITC amount, the user may enter 100% in this field and assume full utilization of the ITC.
If the owner's tax liability is less than the available ITC, a % less than 100% must be entered in order to represent a less efficient utilization of this federal tax incentive.
Input must be betwee 0% and 100%.</t>
        </r>
      </text>
    </comment>
    <comment ref="I1242" authorId="1" shapeId="0" xr:uid="{B4E9F4EF-367A-4FC7-8728-1B182CA5D5D1}">
      <text>
        <r>
          <rPr>
            <b/>
            <sz val="14"/>
            <color indexed="81"/>
            <rFont val="Tahoma"/>
            <family val="2"/>
          </rPr>
          <t>Note:</t>
        </r>
        <r>
          <rPr>
            <sz val="14"/>
            <color indexed="81"/>
            <rFont val="Tahoma"/>
            <family val="2"/>
          </rPr>
          <t xml:space="preserve">
"Project Management" accounts for the cost of staff time related to managing the project's Power Purchase Agreements, grid integration, and periodic reporting to the system operator and policymakers.  
Input cannot be less than zero.
</t>
        </r>
      </text>
    </comment>
    <comment ref="S1242" authorId="0" shapeId="0" xr:uid="{3C8DDBB8-B3A9-4ADB-9F2A-620983E1B9C6}">
      <text>
        <r>
          <rPr>
            <b/>
            <sz val="14"/>
            <color indexed="81"/>
            <rFont val="Tahoma"/>
            <family val="2"/>
          </rPr>
          <t xml:space="preserve">Note:
</t>
        </r>
        <r>
          <rPr>
            <sz val="14"/>
            <color indexed="81"/>
            <rFont val="Tahoma"/>
            <family val="2"/>
          </rPr>
          <t>Specifies whether the available ITC is realized in a single year or over multiple years. This input will be specified by state-specific law or regulation.
A good resource on available state incentives is:  
http://dsireusa.org/
*See bottom of introduction page for a list of links
Input must be greater than 1 and less than the Project Useful Life.</t>
        </r>
      </text>
    </comment>
    <comment ref="I1243" authorId="1" shapeId="0" xr:uid="{07C0519B-3304-495C-8BFD-A5A7A6B904FC}">
      <text>
        <r>
          <rPr>
            <b/>
            <sz val="14"/>
            <color indexed="81"/>
            <rFont val="Tahoma"/>
            <family val="2"/>
          </rPr>
          <t xml:space="preserve">Note:
</t>
        </r>
        <r>
          <rPr>
            <sz val="14"/>
            <color indexed="81"/>
            <rFont val="Tahoma"/>
            <family val="2"/>
          </rPr>
          <t xml:space="preserve">"Property Tax or PILOT" accounts for costs associated with any local taxes incurred by the project. Many states offer tax exemptions for renewable energy systems; to check your local applicability, please visit: http://dsireusa.org/ 
This line can also be used to account for any PILOTs or Payment in Leiu of Taxes. Developers often negotiate a PILOT with the local community to secure a fixed, predictable payment that serves both parties appropriately. This model allows the user to input a year-one Property Tax or PILOT value along with an annual property tax adjsutment factor (see next cell down). As a result, taxes can be modeled as flat, increasing, or decreasing annually depending on the value entered in the adjustment factor cell below.
Input cannot be less than zero.
</t>
        </r>
      </text>
    </comment>
    <comment ref="S1243" authorId="0" shapeId="0" xr:uid="{28A28EB6-ABB7-4D6C-817F-4190186A7D71}">
      <text>
        <r>
          <rPr>
            <b/>
            <sz val="14"/>
            <color indexed="81"/>
            <rFont val="Tahoma"/>
            <family val="2"/>
          </rPr>
          <t xml:space="preserve">Note:
</t>
        </r>
        <r>
          <rPr>
            <sz val="14"/>
            <color indexed="81"/>
            <rFont val="Tahoma"/>
            <family val="2"/>
          </rPr>
          <t xml:space="preserve">Calculates the dollar value of the State Investment Tax Credit, if applicable.
</t>
        </r>
      </text>
    </comment>
    <comment ref="I1244" authorId="1" shapeId="0" xr:uid="{C67866B0-BBE8-46F2-98B5-0B02F7A608AE}">
      <text>
        <r>
          <rPr>
            <b/>
            <sz val="14"/>
            <color indexed="81"/>
            <rFont val="Tahoma"/>
            <family val="2"/>
          </rPr>
          <t xml:space="preserve">Note:
</t>
        </r>
        <r>
          <rPr>
            <sz val="14"/>
            <color indexed="81"/>
            <rFont val="Tahoma"/>
            <family val="2"/>
          </rPr>
          <t xml:space="preserve">The Annual Property Tax Adjustment Factor allows the user to specify whether the Year One tax (or PILOT) value will remain fixed and flat, will decrease (a negative percentage value entered in this cell) or increase (a positive percentage value entered in this cell) over time.  </t>
        </r>
        <r>
          <rPr>
            <sz val="8"/>
            <color indexed="81"/>
            <rFont val="Tahoma"/>
            <family val="2"/>
          </rPr>
          <t xml:space="preserve">
</t>
        </r>
      </text>
    </comment>
    <comment ref="S1244" authorId="0" shapeId="0" xr:uid="{0FD227A7-66E8-41DE-B5C0-D4E0BFD04366}">
      <text>
        <r>
          <rPr>
            <b/>
            <sz val="14"/>
            <color indexed="81"/>
            <rFont val="Tahoma"/>
            <family val="2"/>
          </rPr>
          <t xml:space="preserve">Note: </t>
        </r>
        <r>
          <rPr>
            <sz val="14"/>
            <color indexed="81"/>
            <rFont val="Tahoma"/>
            <family val="2"/>
          </rPr>
          <t xml:space="preserve">
This input cell, the "Performance Based Incentive" or "PBI" is another potential incentive available to some specific projects. The PBI would be separate from a feed-in-tariff, but acts similarly in that it is per unit of production (typically kWh) income to a project.
Some examples of PBIs include the Federal Production Tax Credit (applicable to private projects with tax appetites) and the Federal Renewable Energy Production Incentive (REPI), historically available to some public projects.
</t>
        </r>
      </text>
    </comment>
    <comment ref="I1245" authorId="1" shapeId="0" xr:uid="{34BA934F-DD9A-4E26-B217-457DEFEA85C4}">
      <text>
        <r>
          <rPr>
            <b/>
            <sz val="14"/>
            <color indexed="81"/>
            <rFont val="Tahoma"/>
            <family val="2"/>
          </rPr>
          <t xml:space="preserve">Note:
</t>
        </r>
        <r>
          <rPr>
            <sz val="14"/>
            <color indexed="81"/>
            <rFont val="Tahoma"/>
            <family val="2"/>
          </rPr>
          <t xml:space="preserve">The Land Lease input represents </t>
        </r>
        <r>
          <rPr>
            <b/>
            <u/>
            <sz val="14"/>
            <color indexed="81"/>
            <rFont val="Tahoma"/>
            <family val="2"/>
          </rPr>
          <t>fixed payments</t>
        </r>
        <r>
          <rPr>
            <sz val="14"/>
            <color indexed="81"/>
            <rFont val="Tahoma"/>
            <family val="2"/>
          </rPr>
          <t xml:space="preserve"> to the site host (and possibly other affected parties) for the use of the land on which the project is located.  
Variable royalty payments may be applied in addition to, or in lieu of, the land lease payment through the "Royalties" input below, if applicable.  
Input cannot be less than zero.
</t>
        </r>
      </text>
    </comment>
    <comment ref="S1245" authorId="0" shapeId="0" xr:uid="{34AE783C-D358-440A-891B-3DEF077C6EF6}">
      <text>
        <r>
          <rPr>
            <b/>
            <sz val="14"/>
            <color indexed="81"/>
            <rFont val="Tahoma"/>
            <family val="2"/>
          </rPr>
          <t xml:space="preserve">Note:
</t>
        </r>
        <r>
          <rPr>
            <sz val="14"/>
            <color indexed="81"/>
            <rFont val="Tahoma"/>
            <family val="2"/>
          </rPr>
          <t xml:space="preserve">Impacts tax treatment of PBI if owner is a taxable entity.
</t>
        </r>
      </text>
    </comment>
    <comment ref="I1246" authorId="1" shapeId="0" xr:uid="{8DB14B09-28B9-49AD-B234-5980A1E3C34D}">
      <text>
        <r>
          <rPr>
            <b/>
            <sz val="14"/>
            <color indexed="81"/>
            <rFont val="Tahoma"/>
            <family val="2"/>
          </rPr>
          <t xml:space="preserve">Note:
</t>
        </r>
        <r>
          <rPr>
            <sz val="14"/>
            <color indexed="81"/>
            <rFont val="Tahoma"/>
            <family val="2"/>
          </rPr>
          <t xml:space="preserve">The royalties input accounts for </t>
        </r>
        <r>
          <rPr>
            <b/>
            <u/>
            <sz val="14"/>
            <color indexed="81"/>
            <rFont val="Tahoma"/>
            <family val="2"/>
          </rPr>
          <t>variable</t>
        </r>
        <r>
          <rPr>
            <sz val="14"/>
            <color indexed="81"/>
            <rFont val="Tahoma"/>
            <family val="2"/>
          </rPr>
          <t xml:space="preserve"> payments to site hosts, neighbors, partners, or other parties which may have a stake in the project and which are NOT covered by the fixed "Land Lease" payment. 
Fixed payments may be applied in addition to, or in lieu of, the royalty payment through the "Land Lease" input above, if applicable.  
</t>
        </r>
        <r>
          <rPr>
            <b/>
            <sz val="14"/>
            <color indexed="81"/>
            <rFont val="Tahoma"/>
            <family val="2"/>
          </rPr>
          <t>Inflation is NOT applied to this input</t>
        </r>
        <r>
          <rPr>
            <sz val="14"/>
            <color indexed="81"/>
            <rFont val="Tahoma"/>
            <family val="2"/>
          </rPr>
          <t xml:space="preserve">. However, if tariff escalation is selected, then the assumed royalty payment will increase over time since it is calculated as a function of revenue over time.
If the modeled project's royalty payments are not the same over time, then an average annual royalty payment should be calculated externally and entered in this cell. 
This input cannot be less than zero.
</t>
        </r>
        <r>
          <rPr>
            <sz val="8"/>
            <color indexed="81"/>
            <rFont val="Tahoma"/>
            <family val="2"/>
          </rPr>
          <t xml:space="preserve">
</t>
        </r>
      </text>
    </comment>
    <comment ref="S1246" authorId="0" shapeId="0" xr:uid="{AA030A39-F1FC-44F8-963E-2B7948E461B7}">
      <text>
        <r>
          <rPr>
            <b/>
            <sz val="14"/>
            <color indexed="81"/>
            <rFont val="Tahoma"/>
            <family val="2"/>
          </rPr>
          <t xml:space="preserve">Note: </t>
        </r>
        <r>
          <rPr>
            <sz val="14"/>
            <color indexed="81"/>
            <rFont val="Tahoma"/>
            <family val="2"/>
          </rPr>
          <t xml:space="preserve">
This cell denotes the value of the Performance Based Incentive applicable to the project's first year of commercial operation. In some cases, this value will need to be calculated external to the model if such PBI is derived from a "base year" and specified inflation index. The following cells can be used to account for inflation and the maximum term of eligibility.
Input cannot be less than zero.
</t>
        </r>
      </text>
    </comment>
    <comment ref="I1247" authorId="0" shapeId="0" xr:uid="{3E10828C-AD22-431F-8F72-1223882B409A}">
      <text>
        <r>
          <rPr>
            <b/>
            <sz val="14"/>
            <color indexed="81"/>
            <rFont val="Tahoma"/>
            <family val="2"/>
          </rPr>
          <t xml:space="preserve">Note:
</t>
        </r>
        <r>
          <rPr>
            <sz val="14"/>
            <color indexed="81"/>
            <rFont val="Tahoma"/>
            <family val="2"/>
          </rPr>
          <t xml:space="preserve">This cell calculates the resulting dollar value cost of royalties paid to landowners or other stakeholders based on the input above and project revenue.  It is provided simply as a reference for the user.
</t>
        </r>
        <r>
          <rPr>
            <sz val="8"/>
            <color indexed="81"/>
            <rFont val="Tahoma"/>
            <family val="2"/>
          </rPr>
          <t xml:space="preserve">
</t>
        </r>
      </text>
    </comment>
    <comment ref="S1247" authorId="0" shapeId="0" xr:uid="{906B0B9E-380E-49E9-8B14-1049C370710A}">
      <text>
        <r>
          <rPr>
            <b/>
            <sz val="14"/>
            <color indexed="81"/>
            <rFont val="Tahoma"/>
            <family val="2"/>
          </rPr>
          <t>Note:</t>
        </r>
        <r>
          <rPr>
            <sz val="14"/>
            <color indexed="81"/>
            <rFont val="Tahoma"/>
            <family val="2"/>
          </rPr>
          <t xml:space="preserve">
This is the length of time that a project would be eligible for any Performance Based Incentives outlined in the cell immediately above. For example, the Federal Renewable Energy Production Incentive and Production Tax Credit incentives are available for the first 10 years of project operation.
Input cannot be less than zero.
</t>
        </r>
      </text>
    </comment>
    <comment ref="S1248" authorId="0" shapeId="0" xr:uid="{18DBA222-85D4-4C5E-94B6-CE5D9109634F}">
      <text>
        <r>
          <rPr>
            <b/>
            <sz val="14"/>
            <color indexed="81"/>
            <rFont val="Tahoma"/>
            <family val="2"/>
          </rPr>
          <t xml:space="preserve">Note:
</t>
        </r>
        <r>
          <rPr>
            <sz val="14"/>
            <color indexed="81"/>
            <rFont val="Tahoma"/>
            <family val="2"/>
          </rPr>
          <t xml:space="preserve">Performance Based Incentives are often adjusted to account for inflation. For example, the Federal Production Tax Credit (PTC) is adjusted each year to account for changes in the GDP IPD index. This cell can be used as a proxy for the inflation that would apply to any PBI incentive entered above.
This input cannot be left blank.
</t>
        </r>
      </text>
    </comment>
    <comment ref="F1249" authorId="0" shapeId="0" xr:uid="{0076024A-3499-46E3-B42F-8ABA830A16AF}">
      <text>
        <r>
          <rPr>
            <b/>
            <sz val="8"/>
            <color indexed="81"/>
            <rFont val="Tahoma"/>
            <family val="2"/>
          </rPr>
          <t>See "unit" definitions at the bottom of this worksheet.</t>
        </r>
        <r>
          <rPr>
            <sz val="8"/>
            <color indexed="81"/>
            <rFont val="Tahoma"/>
            <family val="2"/>
          </rPr>
          <t xml:space="preserve">
</t>
        </r>
      </text>
    </comment>
    <comment ref="S1249" authorId="0" shapeId="0" xr:uid="{0B898FEC-1DC1-4B48-B913-CBF337A61253}">
      <text>
        <r>
          <rPr>
            <b/>
            <sz val="14"/>
            <color indexed="81"/>
            <rFont val="Tahoma"/>
            <family val="2"/>
          </rPr>
          <t xml:space="preserve">Note:
</t>
        </r>
        <r>
          <rPr>
            <sz val="14"/>
            <color indexed="81"/>
            <rFont val="Tahoma"/>
            <family val="2"/>
          </rPr>
          <t xml:space="preserve">In some cases, due to the nature of the requirements of some Performance Based Incentive programs, project owners are unable to maximize the full revenue stream of the incentive. For example, in the case of the Federal Production Tax Credit (PTC), the project owner may not have sufficienct tax appetite to fully utilize the tax credits. 
This input cell would allow the modeler to account for the owner's inability to fully utilize the PTC and/or the reduction of the PTC (a "haircut") due to the presence of subsidized (below market interest rate) financing.
Input must be between 0% and 100%.
</t>
        </r>
        <r>
          <rPr>
            <sz val="8"/>
            <color indexed="81"/>
            <rFont val="Tahoma"/>
            <family val="2"/>
          </rPr>
          <t xml:space="preserve">
</t>
        </r>
      </text>
    </comment>
    <comment ref="I1250" authorId="0" shapeId="0" xr:uid="{E1B60DDD-17C8-4F77-A6AF-0D6407EE41B2}">
      <text>
        <r>
          <rPr>
            <b/>
            <sz val="14"/>
            <color indexed="81"/>
            <rFont val="Tahoma"/>
            <family val="2"/>
          </rPr>
          <t xml:space="preserve">Note:
</t>
        </r>
        <r>
          <rPr>
            <sz val="14"/>
            <color indexed="81"/>
            <rFont val="Tahoma"/>
            <family val="2"/>
          </rPr>
          <t xml:space="preserve">The # of months from construction start to commercial operation. This input cannot be less than zero.
</t>
        </r>
      </text>
    </comment>
    <comment ref="S1250" authorId="0" shapeId="0" xr:uid="{738F0A43-4D8D-4681-A490-600601BCCE24}">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I1251" authorId="0" shapeId="0" xr:uid="{16266163-0695-4B61-B8F1-23DAFDA02D93}">
      <text>
        <r>
          <rPr>
            <b/>
            <sz val="14"/>
            <color indexed="81"/>
            <rFont val="Tahoma"/>
            <family val="2"/>
          </rPr>
          <t xml:space="preserve">Note:
</t>
        </r>
        <r>
          <rPr>
            <sz val="14"/>
            <color indexed="81"/>
            <rFont val="Tahoma"/>
            <family val="2"/>
          </rPr>
          <t xml:space="preserve">The annual interest rate on construction debt. This input cannot be less than zero.
</t>
        </r>
      </text>
    </comment>
    <comment ref="I1252" authorId="0" shapeId="0" xr:uid="{E1E27992-DE87-4DED-9E18-C3DF0F077790}">
      <text>
        <r>
          <rPr>
            <b/>
            <sz val="14"/>
            <color indexed="81"/>
            <rFont val="Tahoma"/>
            <family val="2"/>
          </rPr>
          <t xml:space="preserve">Note:
</t>
        </r>
        <r>
          <rPr>
            <sz val="14"/>
            <color indexed="81"/>
            <rFont val="Tahoma"/>
            <family val="2"/>
          </rPr>
          <t xml:space="preserve">A calculated value showing the interest accrued during the construction period. Rather than requiring the user to define a detailed construction draw-down schedule, this calculation makes the simplifying assumption that the total project cost is spent in equal parts in each month of the construction period.
IDC is calculated on total project cost, assuming that any grants are collected after construction financing is repaid at time of permanent financing.
This cell is only used with the "Intermediate" and "Complex" capital cost options. The "Simple" capital cost option assumes that all project costs, including IDC, are included in the single input.
</t>
        </r>
      </text>
    </comment>
    <comment ref="S1252" authorId="0" shapeId="0" xr:uid="{242B59A6-5334-47B0-8D70-5EB6BCE1A708}">
      <text>
        <r>
          <rPr>
            <b/>
            <sz val="14"/>
            <color indexed="81"/>
            <rFont val="Tahoma"/>
            <family val="2"/>
          </rPr>
          <t xml:space="preserve">Note:
</t>
        </r>
        <r>
          <rPr>
            <sz val="14"/>
            <color indexed="81"/>
            <rFont val="Tahoma"/>
            <family val="2"/>
          </rPr>
          <t xml:space="preserve">Include here the total dollar value of any state-specific cash grants or rebates.
Input cannot be less than zero.
</t>
        </r>
      </text>
    </comment>
    <comment ref="S1253" authorId="0" shapeId="0" xr:uid="{66B42D4D-D91F-4E85-8429-E7BCA02745C2}">
      <text>
        <r>
          <rPr>
            <b/>
            <sz val="14"/>
            <color indexed="81"/>
            <rFont val="Tahoma"/>
            <family val="2"/>
          </rPr>
          <t xml:space="preserve">Note:
</t>
        </r>
        <r>
          <rPr>
            <sz val="14"/>
            <color indexed="81"/>
            <rFont val="Tahoma"/>
            <family val="2"/>
          </rPr>
          <t xml:space="preserve">Select here whether state grants are treated as taxable income.  If no, depreciation basis is reduced. 
</t>
        </r>
      </text>
    </comment>
    <comment ref="F1254" authorId="0" shapeId="0" xr:uid="{D7A3681D-0D56-430F-9588-A8F42A1ACFEB}">
      <text>
        <r>
          <rPr>
            <b/>
            <sz val="8"/>
            <color indexed="81"/>
            <rFont val="Tahoma"/>
            <family val="2"/>
          </rPr>
          <t>See "unit" definitions at the bottom of this worksheet.</t>
        </r>
        <r>
          <rPr>
            <sz val="8"/>
            <color indexed="81"/>
            <rFont val="Tahoma"/>
            <family val="2"/>
          </rPr>
          <t xml:space="preserve">
</t>
        </r>
      </text>
    </comment>
    <comment ref="I1255" authorId="0" shapeId="0" xr:uid="{E0400765-35BF-4DFA-BC45-B2393D1CE299}">
      <text>
        <r>
          <rPr>
            <b/>
            <sz val="14"/>
            <color indexed="81"/>
            <rFont val="Tahoma"/>
            <family val="2"/>
          </rPr>
          <t xml:space="preserve">Note:
</t>
        </r>
        <r>
          <rPr>
            <sz val="14"/>
            <color indexed="81"/>
            <rFont val="Tahoma"/>
            <family val="2"/>
          </rPr>
          <t xml:space="preserve">For ease of use and comprehension by a wide range of stakeholders, this model allows the user to define the capital structure, and relies on mortgage-style amortization of the project debt. The "% Debt" input specifies the portion of funds borrowed, as a percentage of the total "hard costs." Equity is assumed to fund the remaining hard costs PLUS all "soft costs" (e.g. transaction costs and funding of initial reserve accounts, if applicable).  This input cannot be less than zero.
Where maximum sustainable leverage is desired, the user must manually adjust the "% Debt" entry upward to the highest point </t>
        </r>
        <r>
          <rPr>
            <b/>
            <i/>
            <sz val="14"/>
            <color indexed="81"/>
            <rFont val="Tahoma"/>
            <family val="2"/>
          </rPr>
          <t>before</t>
        </r>
        <r>
          <rPr>
            <sz val="14"/>
            <color indexed="81"/>
            <rFont val="Tahoma"/>
            <family val="2"/>
          </rPr>
          <t xml:space="preserve"> the DSCRs no longer "Pass."
If a specific % Debt is desired, </t>
        </r>
        <r>
          <rPr>
            <u/>
            <sz val="14"/>
            <color indexed="81"/>
            <rFont val="Tahoma"/>
            <family val="2"/>
          </rPr>
          <t>and such % is higher than the maximum sustainable debt</t>
        </r>
        <r>
          <rPr>
            <sz val="14"/>
            <color indexed="81"/>
            <rFont val="Tahoma"/>
            <family val="2"/>
          </rPr>
          <t xml:space="preserve"> (such that it causes the DSCR to "Fail"), then the user must define the % Debt and then manually adjust the "Target After-Tax Equity IRR" upward until the DSCRs are met.  The user should </t>
        </r>
        <r>
          <rPr>
            <b/>
            <sz val="14"/>
            <color indexed="81"/>
            <rFont val="Tahoma"/>
            <family val="2"/>
          </rPr>
          <t>take note</t>
        </r>
        <r>
          <rPr>
            <sz val="14"/>
            <color indexed="81"/>
            <rFont val="Tahoma"/>
            <family val="2"/>
          </rPr>
          <t xml:space="preserve"> that when leverage becomes very high (and the corresponding equity contribution low), the "Target After-Tax Equity IRR" will need to be adjusted to levels exceeding typical commercial returns </t>
        </r>
        <r>
          <rPr>
            <u/>
            <sz val="14"/>
            <color indexed="81"/>
            <rFont val="Tahoma"/>
            <family val="2"/>
          </rPr>
          <t>in order to maintain the DSCR ratio</t>
        </r>
        <r>
          <rPr>
            <sz val="14"/>
            <color indexed="81"/>
            <rFont val="Tahoma"/>
            <family val="2"/>
          </rPr>
          <t xml:space="preserve"> on such high debt levels.  For this reason, it is not recommended that users solve for the COE associated with a % Debt that is beyond the maximum sustainable leverage.
If a project is expected to be funded either by a pool of corporate funds or back-leveraged after commercial operation, the user might elect to enter 0% in the "% Debt" cell and enter a weighted average cost of capital (WACC) in the "Target After-Tax Equity IRR" cell.
</t>
        </r>
      </text>
    </comment>
    <comment ref="I1256" authorId="1" shapeId="0" xr:uid="{A8253D4F-E678-40AF-A250-EA055723DEFC}">
      <text>
        <r>
          <rPr>
            <b/>
            <sz val="14"/>
            <color indexed="81"/>
            <rFont val="Tahoma"/>
            <family val="2"/>
          </rPr>
          <t>Note:</t>
        </r>
        <r>
          <rPr>
            <sz val="14"/>
            <color indexed="81"/>
            <rFont val="Tahoma"/>
            <family val="2"/>
          </rPr>
          <t xml:space="preserve">
Debt "tenor" (also casually referred to as "term"), is the number of years in the debt repayment schedule.   
Caution: If the project will utilize debt, this value must be greater than zero but less than or equal to the total FIT contract duration.
</t>
        </r>
      </text>
    </comment>
    <comment ref="S1256" authorId="0" shapeId="0" xr:uid="{335B4385-79EC-4872-A29A-18AB27101EDC}">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1257" authorId="1" shapeId="0" xr:uid="{42A5C2AC-DB86-4E1C-BC25-557770530108}">
      <text>
        <r>
          <rPr>
            <b/>
            <sz val="14"/>
            <color indexed="81"/>
            <rFont val="Tahoma"/>
            <family val="2"/>
          </rPr>
          <t>Note:</t>
        </r>
        <r>
          <rPr>
            <sz val="14"/>
            <color indexed="81"/>
            <rFont val="Tahoma"/>
            <family val="2"/>
          </rPr>
          <t xml:space="preserve">
The all-in interest rate is the financing rate provided by the bank or other debt investor.
This input cannot be less than zero.
</t>
        </r>
      </text>
    </comment>
    <comment ref="S1257" authorId="0" shapeId="0" xr:uid="{35C8B92A-B3D6-41A1-A7E1-E1A27E5ABDDA}">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1258" authorId="0" shapeId="0" xr:uid="{BB775929-CC72-43C9-98D9-4BB0F0F65AD7}">
      <text>
        <r>
          <rPr>
            <b/>
            <sz val="14"/>
            <color indexed="81"/>
            <rFont val="Tahoma"/>
            <family val="2"/>
          </rPr>
          <t xml:space="preserve">Note:
</t>
        </r>
        <r>
          <rPr>
            <sz val="14"/>
            <color indexed="81"/>
            <rFont val="Tahoma"/>
            <family val="2"/>
          </rPr>
          <t xml:space="preserve">A one-time fee collected by the lender and calculated as a % of the total loan amount. This value is typically between 1% and 4%.
This input cannot be less than zero.
</t>
        </r>
      </text>
    </comment>
    <comment ref="S1258" authorId="0" shapeId="0" xr:uid="{54CE9937-57E4-4806-AFAC-07DCE6BD9CBA}">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1259" authorId="1" shapeId="0" xr:uid="{AA099FD9-95AA-42C3-9A15-37132B2D8E78}">
      <text>
        <r>
          <rPr>
            <b/>
            <sz val="14"/>
            <color indexed="81"/>
            <rFont val="Tahoma"/>
            <family val="2"/>
          </rPr>
          <t>Note:</t>
        </r>
        <r>
          <rPr>
            <sz val="14"/>
            <color indexed="81"/>
            <rFont val="Tahoma"/>
            <family val="2"/>
          </rPr>
          <t xml:space="preserve">
The annual Debt Service Coverage Ratio is calculated by dividing the sum of the annual principal and interest payment into that year's operating cash flow. Lenders will require the DSCR to demonstrate the project's ability to easily meet its annual debt service obligation.
Average DSCRs over the life of the loan typically range from 1.2 to 1.5 for private, commercially financed projects, or from 1.1 to 1.3 for publicly owned, bond-financed projects - depending on the level of reserves, or other surety, provided. 
The annual minimum DSCR will depend on the specific terms of the loan and the probability-weighting of the production estimate, but will likely be in the range of 1.0 to 1.3. This input must be greater than 1.
</t>
        </r>
      </text>
    </comment>
    <comment ref="S1259" authorId="0" shapeId="0" xr:uid="{AC120FF2-DFE3-42A8-BDE1-A4FA18BD3243}">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1260" authorId="0" shapeId="0" xr:uid="{0F81BDE1-04AE-430A-A09A-D7CE0837EA30}">
      <text>
        <r>
          <rPr>
            <b/>
            <sz val="14"/>
            <color indexed="81"/>
            <rFont val="Tahoma"/>
            <family val="2"/>
          </rPr>
          <t>Note:</t>
        </r>
        <r>
          <rPr>
            <sz val="14"/>
            <color indexed="81"/>
            <rFont val="Tahoma"/>
            <family val="2"/>
          </rPr>
          <t xml:space="preserve">
If "#N/A" appears, F9 should be pressed until the calculated COE achieves it's final value.</t>
        </r>
      </text>
    </comment>
    <comment ref="S1260" authorId="0" shapeId="0" xr:uid="{81B3CCA8-D096-4AB0-B7AD-8EF4EA23AB53}">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1261" authorId="1" shapeId="0" xr:uid="{26C31418-2617-4663-8194-418CB3B1ED9C}">
      <text>
        <r>
          <rPr>
            <b/>
            <sz val="14"/>
            <color indexed="81"/>
            <rFont val="Tahoma"/>
            <family val="2"/>
          </rPr>
          <t>Note:</t>
        </r>
        <r>
          <rPr>
            <sz val="14"/>
            <color indexed="81"/>
            <rFont val="Tahoma"/>
            <family val="2"/>
          </rPr>
          <t xml:space="preserve">
This cell checks that the debt service coverage ratio exceeds the user-defined minimum in each operating year (see note in DSCR cell for definition and rationale for DSCR). If the test "fails", the user must choose from one of several options in order to cure this deficiency (the extent to which these options are available will be specific to each project):
1. reduce the amount of project level debt, 
2. increase the feed-in tariff rate in order to generate cash flow sufficient to meet the bank's assumed coverage requirement.  In the CREST model, </t>
        </r>
        <r>
          <rPr>
            <u/>
            <sz val="14"/>
            <color indexed="81"/>
            <rFont val="Tahoma"/>
            <family val="2"/>
          </rPr>
          <t>this is done by manually increasing the "Target After-Tax Equity IRR."</t>
        </r>
        <r>
          <rPr>
            <sz val="14"/>
            <color indexed="81"/>
            <rFont val="Tahoma"/>
            <family val="2"/>
          </rPr>
          <t xml:space="preserve">
Other possible, but less likely, mechanisms include:
3. increase the loan tenor
4. decrease the interest rate</t>
        </r>
      </text>
    </comment>
    <comment ref="S1261" authorId="0" shapeId="0" xr:uid="{E28556CC-056E-404F-BCC1-ADB6216151AE}">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1262" authorId="1" shapeId="0" xr:uid="{361402B6-74C0-4BA7-B3ED-18ABE6CE2692}">
      <text>
        <r>
          <rPr>
            <b/>
            <sz val="14"/>
            <color indexed="81"/>
            <rFont val="Tahoma"/>
            <family val="2"/>
          </rPr>
          <t>Note:</t>
        </r>
        <r>
          <rPr>
            <sz val="14"/>
            <color indexed="81"/>
            <rFont val="Tahoma"/>
            <family val="2"/>
          </rPr>
          <t xml:space="preserve">
The annual Debt Service Coverage Ratio is calculated by dividing the sum of the annual principal and interest payment into that year's operating cash flow. Lenders will require the DSCR to demonstrate the project's ability to easily meet its annual debt service obligation.
</t>
        </r>
        <r>
          <rPr>
            <u/>
            <sz val="14"/>
            <color indexed="81"/>
            <rFont val="Tahoma"/>
            <family val="2"/>
          </rPr>
          <t>Average</t>
        </r>
        <r>
          <rPr>
            <sz val="14"/>
            <color indexed="81"/>
            <rFont val="Tahoma"/>
            <family val="2"/>
          </rPr>
          <t xml:space="preserve"> DSCRs over the life of the loan typically range from 1.2 to 1.5 for private, commercially financed projects, or from 1.1 to 1.3 for publicly owned, bond-financed projects - depending on the level of reserves, or other surety, provided. 
The </t>
        </r>
        <r>
          <rPr>
            <u/>
            <sz val="14"/>
            <color indexed="81"/>
            <rFont val="Tahoma"/>
            <family val="2"/>
          </rPr>
          <t>annual minimum</t>
        </r>
        <r>
          <rPr>
            <sz val="14"/>
            <color indexed="81"/>
            <rFont val="Tahoma"/>
            <family val="2"/>
          </rPr>
          <t xml:space="preserve"> DSCR will depend on the specific terms of the loan and the probability-weighting of the production estimate, but will likely be in the range of 1.0 to 1.3. This input must be greater than 1.
</t>
        </r>
      </text>
    </comment>
    <comment ref="S1262" authorId="0" shapeId="0" xr:uid="{92A99025-9BF7-493D-98A8-790812A5195B}">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1263" authorId="0" shapeId="0" xr:uid="{7FBA543A-6A6F-4DBA-A385-21E8B3B2EA06}">
      <text>
        <r>
          <rPr>
            <b/>
            <sz val="12"/>
            <color indexed="81"/>
            <rFont val="Tahoma"/>
            <family val="2"/>
          </rPr>
          <t>Note:</t>
        </r>
        <r>
          <rPr>
            <sz val="12"/>
            <color indexed="81"/>
            <rFont val="Tahoma"/>
            <family val="2"/>
          </rPr>
          <t xml:space="preserve">
If "#N/A" appears, F9 should be pressed until the calculated COE achieves it's final value.</t>
        </r>
      </text>
    </comment>
    <comment ref="S1263" authorId="0" shapeId="0" xr:uid="{BABB4D28-09F3-4353-BEA1-673FA8D99782}">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1264" authorId="1" shapeId="0" xr:uid="{C66B1D72-A697-421D-80D8-1ED91B5979D2}">
      <text>
        <r>
          <rPr>
            <b/>
            <sz val="14"/>
            <color indexed="81"/>
            <rFont val="Tahoma"/>
            <family val="2"/>
          </rPr>
          <t>Note:</t>
        </r>
        <r>
          <rPr>
            <sz val="14"/>
            <color indexed="81"/>
            <rFont val="Tahoma"/>
            <family val="2"/>
          </rPr>
          <t xml:space="preserve">
This cell checks that the average debt service coverage ratio exceeds the user-defined minimum during the period for which debt is outstanding (see note in DSCR cell for definition and rationale for DSCR). If the test "fails", the user must choose from one of several options in order to cure this deficiency (the extent to which these options are available will be specific to each project):
1. reduce the amount of project level debt, 
2. increase the feed-in tariff rate in order to generate cash flow sufficient to meet the bank's assumed coverage requirement.  In the CREST model, </t>
        </r>
        <r>
          <rPr>
            <u/>
            <sz val="14"/>
            <color indexed="81"/>
            <rFont val="Tahoma"/>
            <family val="2"/>
          </rPr>
          <t>this is done by manually increasing the "Target After-Tax Equity IRR."</t>
        </r>
        <r>
          <rPr>
            <sz val="14"/>
            <color indexed="81"/>
            <rFont val="Tahoma"/>
            <family val="2"/>
          </rPr>
          <t xml:space="preserve">
Other possible, but less likely, mechanisms include:
3. increase the loan tenor
4. decrease the interest rate</t>
        </r>
      </text>
    </comment>
    <comment ref="I1265" authorId="0" shapeId="0" xr:uid="{3921DBDD-5CD0-479B-BCD7-270C6AA2E3DC}">
      <text>
        <r>
          <rPr>
            <b/>
            <sz val="14"/>
            <color indexed="81"/>
            <rFont val="Tahoma"/>
            <family val="2"/>
          </rPr>
          <t xml:space="preserve">Note:
</t>
        </r>
        <r>
          <rPr>
            <sz val="14"/>
            <color indexed="81"/>
            <rFont val="Tahoma"/>
            <family val="2"/>
          </rPr>
          <t xml:space="preserve">The portion of total project cost funded from equity investors. This cell is a calculation and not an input. It is calculated as 100% minus the "% Debt" entered above.
</t>
        </r>
      </text>
    </comment>
    <comment ref="P1265" authorId="0" shapeId="0" xr:uid="{82FB8A7F-6E26-4775-B711-83E237B3D2EC}">
      <text>
        <r>
          <rPr>
            <b/>
            <sz val="8"/>
            <color indexed="81"/>
            <rFont val="Tahoma"/>
            <family val="2"/>
          </rPr>
          <t>See "unit" definitions at the bottom of this worksheet.</t>
        </r>
        <r>
          <rPr>
            <sz val="8"/>
            <color indexed="81"/>
            <rFont val="Tahoma"/>
            <family val="2"/>
          </rPr>
          <t xml:space="preserve">
</t>
        </r>
      </text>
    </comment>
    <comment ref="I1266" authorId="1" shapeId="0" xr:uid="{1867B0C5-6AAB-47C1-B7F7-18EA8B5C70CB}">
      <text>
        <r>
          <rPr>
            <b/>
            <sz val="14"/>
            <color indexed="81"/>
            <rFont val="Tahoma"/>
            <family val="2"/>
          </rPr>
          <t>Note:</t>
        </r>
        <r>
          <rPr>
            <sz val="14"/>
            <color indexed="81"/>
            <rFont val="Tahoma"/>
            <family val="2"/>
          </rPr>
          <t xml:space="preserve">
The target after-tax equity IRR is the equity investor's cost of capital -- or "discount rate" -- and is the minimum rate of return that the project owner will seek to attain in order to justify the project compared to alternative investments.  
The user should be explicit in his or her assumption regarding the term over which the target after-tax IRR is assumed to be realized. For example, the user could elect to align the return requirement with the tariff payment duration. In this case, the project useful life should be set equal to the tariff duration in order to calculate the COE associated with the target IRR over that period of time. 
In a second example, the user could elect to align the return requirement with the project's useful life. In this case, the user can either assume a tariff duration equal to the project life, or assume market-based revenue for the period after the tariff and before the end of the assumed project useful life.
This input cannot be less than zero.
If a project is expected to be funded either by a pool of corporate funds or back-leveraged after commercial operation, the user might elect to enter 0% in the "% Debt" cell and enter a weighted average cost of capital (WACC) in the "Target After-Tax Equity IRR" cell.
</t>
        </r>
      </text>
    </comment>
    <comment ref="I1267" authorId="0" shapeId="0" xr:uid="{3C8905A6-DEB9-456C-A5A9-81BC510B9A1B}">
      <text>
        <r>
          <rPr>
            <b/>
            <sz val="14"/>
            <color indexed="81"/>
            <rFont val="Tahoma"/>
            <family val="2"/>
          </rPr>
          <t xml:space="preserve">Note:
</t>
        </r>
        <r>
          <rPr>
            <sz val="14"/>
            <color indexed="81"/>
            <rFont val="Tahoma"/>
            <family val="2"/>
          </rPr>
          <t xml:space="preserve">The weighted average cost of capital combines the after-tax cost of both equity and debt in proportion to their use, and is calculated here for reference.
</t>
        </r>
      </text>
    </comment>
    <comment ref="S1267" authorId="1" shapeId="0" xr:uid="{283B1792-4F9A-4B04-9EBC-A0734C2B3167}">
      <text>
        <r>
          <rPr>
            <b/>
            <sz val="14"/>
            <color indexed="81"/>
            <rFont val="Tahoma"/>
            <family val="2"/>
          </rPr>
          <t xml:space="preserve">Note:
</t>
        </r>
        <r>
          <rPr>
            <sz val="14"/>
            <color indexed="81"/>
            <rFont val="Tahoma"/>
            <family val="2"/>
          </rPr>
          <t xml:space="preserve">In order to ensure that project owners have sufficient funds to decommission and remove equipment at the end of a project's life, many owners choose to create and fund a reserve account throughout the course of project. 
This input cell allows the modeler to choose whether to pay for project removal by creating and funding a reserve account over the project life by selecting "Operations" or to assume that a project's removal will be funded by selling the equipment, by selecting "Salvage".
</t>
        </r>
      </text>
    </comment>
    <comment ref="I1268" authorId="0" shapeId="0" xr:uid="{F98FB1BD-CEDC-49F3-B00C-FD42CF2EFC34}">
      <text>
        <r>
          <rPr>
            <b/>
            <sz val="14"/>
            <color indexed="81"/>
            <rFont val="Tahoma"/>
            <family val="2"/>
          </rPr>
          <t xml:space="preserve">Note:
</t>
        </r>
        <r>
          <rPr>
            <sz val="14"/>
            <color indexed="81"/>
            <rFont val="Tahoma"/>
            <family val="2"/>
          </rPr>
          <t>This cell represents the costs of both equity and debt due diligence (if applicable) and other transaction costs.
Input cannot be less than zero.</t>
        </r>
      </text>
    </comment>
    <comment ref="S1268" authorId="0" shapeId="0" xr:uid="{DFCA8BF5-A9BC-48D9-94F2-182CF82C1548}">
      <text>
        <r>
          <rPr>
            <b/>
            <sz val="14"/>
            <color indexed="81"/>
            <rFont val="Tahoma"/>
            <family val="2"/>
          </rPr>
          <t>Note:</t>
        </r>
        <r>
          <rPr>
            <sz val="14"/>
            <color indexed="81"/>
            <rFont val="Tahoma"/>
            <family val="2"/>
          </rPr>
          <t xml:space="preserve">
This input cell allows the user to assume the creation of a reserve account. The value entered here will be accounted for in the project's cash flow, and would be funded evenly over the number of years available between the project's commercial operation and the end of its useful life.
Input cannot be less than zero.
</t>
        </r>
      </text>
    </comment>
    <comment ref="P1270" authorId="0" shapeId="0" xr:uid="{D07AE46F-F2AF-4074-86F8-4E1A516D58DD}">
      <text>
        <r>
          <rPr>
            <b/>
            <sz val="8"/>
            <color indexed="81"/>
            <rFont val="Tahoma"/>
            <family val="2"/>
          </rPr>
          <t>See "unit" definitions at the bottom of this worksheet.</t>
        </r>
        <r>
          <rPr>
            <sz val="8"/>
            <color indexed="81"/>
            <rFont val="Tahoma"/>
            <family val="2"/>
          </rPr>
          <t xml:space="preserve">
</t>
        </r>
      </text>
    </comment>
    <comment ref="I1271" authorId="0" shapeId="0" xr:uid="{8ED06832-DB83-4F88-AD6D-BEB97DD632C3}">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at the project's "Total Installed Cost."
</t>
        </r>
      </text>
    </comment>
    <comment ref="I1272" authorId="0" shapeId="0" xr:uid="{58D8B42D-940D-4C22-9BB3-2BDF5A28DAD4}">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t>
        </r>
      </text>
    </comment>
    <comment ref="S1272" authorId="0" shapeId="0" xr:uid="{CB5B35A7-FA08-4546-A1D2-E789D0AB199E}">
      <text>
        <r>
          <rPr>
            <b/>
            <sz val="14"/>
            <color indexed="81"/>
            <rFont val="Tahoma"/>
            <family val="2"/>
          </rPr>
          <t>Note:</t>
        </r>
        <r>
          <rPr>
            <sz val="14"/>
            <color indexed="81"/>
            <rFont val="Tahoma"/>
            <family val="2"/>
          </rPr>
          <t xml:space="preserve">
Lenders typically require the project owner to establish a reserve account prior to the commencement of operations to ensure that loan repayments occur in full and on time even if the project has insufficient operating cash flow in a specific period due to lower than expected production, higher costs, or both. The size of the reserve account is typically equal to 6 months of debt service obligation.
Input cannot be less than zero.
</t>
        </r>
      </text>
    </comment>
    <comment ref="I1273" authorId="0" shapeId="0" xr:uid="{7A5267C1-2F5B-47D5-9035-B876D222C3EE}">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As previously described, this value excludes the ITC Cash Grant, which must be financed prior to commercial operation.  
</t>
        </r>
      </text>
    </comment>
    <comment ref="S1273" authorId="0" shapeId="0" xr:uid="{BB5A637F-F6BD-4D5E-8306-10F20DE67F75}">
      <text>
        <r>
          <rPr>
            <b/>
            <sz val="14"/>
            <color indexed="81"/>
            <rFont val="Tahoma"/>
            <family val="2"/>
          </rPr>
          <t>Note:</t>
        </r>
        <r>
          <rPr>
            <sz val="14"/>
            <color indexed="81"/>
            <rFont val="Tahoma"/>
            <family val="2"/>
          </rPr>
          <t xml:space="preserve">
Calculated value based on the # months of required reserve and the capital structure and associated periodic debt obligation.
</t>
        </r>
      </text>
    </comment>
    <comment ref="I1274" authorId="0" shapeId="0" xr:uid="{CC9BF672-0064-4804-A29C-B9A96AEE229D}">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t>
        </r>
      </text>
    </comment>
    <comment ref="S1275" authorId="0" shapeId="0" xr:uid="{2887AAC0-58BB-4634-B960-65940BF6F31E}">
      <text>
        <r>
          <rPr>
            <b/>
            <sz val="14"/>
            <color indexed="81"/>
            <rFont val="Tahoma"/>
            <family val="2"/>
          </rPr>
          <t>Note:</t>
        </r>
        <r>
          <rPr>
            <sz val="14"/>
            <color indexed="81"/>
            <rFont val="Tahoma"/>
            <family val="2"/>
          </rPr>
          <t xml:space="preserve">
Lenders typically require the project owner to establish a reserve account prior to the commencement of operations to ensure that all O&amp;M expenses can be met even if the project has insufficient operating cash flow in a specific period due to lower than expected production, higher costs, or both. The size of the reserve account is typically 3 to 6 months of O&amp;M expenses, and includes all categories of O&amp;M expenses.
Input cannot be less than zero.
</t>
        </r>
      </text>
    </comment>
    <comment ref="F1276" authorId="0" shapeId="0" xr:uid="{0A604E94-91F8-4B74-9CB8-C2DF0194091E}">
      <text>
        <r>
          <rPr>
            <b/>
            <sz val="8"/>
            <color indexed="81"/>
            <rFont val="Tahoma"/>
            <family val="2"/>
          </rPr>
          <t>See "unit" definitions at the bottom of this worksheet.</t>
        </r>
        <r>
          <rPr>
            <sz val="8"/>
            <color indexed="81"/>
            <rFont val="Tahoma"/>
            <family val="2"/>
          </rPr>
          <t xml:space="preserve">
</t>
        </r>
      </text>
    </comment>
    <comment ref="S1276" authorId="0" shapeId="0" xr:uid="{852D0761-B1AD-455D-8B08-F09BFBD5A300}">
      <text>
        <r>
          <rPr>
            <b/>
            <sz val="14"/>
            <color indexed="81"/>
            <rFont val="Tahoma"/>
            <family val="2"/>
          </rPr>
          <t>Note:</t>
        </r>
        <r>
          <rPr>
            <sz val="14"/>
            <color indexed="81"/>
            <rFont val="Tahoma"/>
            <family val="2"/>
          </rPr>
          <t xml:space="preserve">
Calculated value based on the # months of required reserve and all annual operating expenses.
</t>
        </r>
      </text>
    </comment>
    <comment ref="I1277" authorId="0" shapeId="0" xr:uid="{F9EA53A2-B53A-4E22-B543-B240EFB57B4C}">
      <text>
        <r>
          <rPr>
            <b/>
            <sz val="14"/>
            <color indexed="81"/>
            <rFont val="Tahoma"/>
            <family val="2"/>
          </rPr>
          <t xml:space="preserve">Note:
</t>
        </r>
        <r>
          <rPr>
            <sz val="14"/>
            <color indexed="81"/>
            <rFont val="Tahoma"/>
            <family val="2"/>
          </rPr>
          <t xml:space="preserve">Defines whether the project owner is a taxable or non-taxable entity. This determines the treatment of income taxes and other tax-related items.
</t>
        </r>
      </text>
    </comment>
    <comment ref="S1277" authorId="0" shapeId="0" xr:uid="{8D6B4B39-C3C6-4CF5-82CB-D99BF0E8550D}">
      <text>
        <r>
          <rPr>
            <b/>
            <sz val="14"/>
            <color indexed="81"/>
            <rFont val="Tahoma"/>
            <family val="2"/>
          </rPr>
          <t>Note:</t>
        </r>
        <r>
          <rPr>
            <sz val="14"/>
            <color indexed="81"/>
            <rFont val="Tahoma"/>
            <family val="2"/>
          </rPr>
          <t xml:space="preserve">
Unused reserves earn interest at this rate. Input cannot be less than zero.
</t>
        </r>
      </text>
    </comment>
    <comment ref="I1278" authorId="0" shapeId="0" xr:uid="{D911C4E5-BAEB-4BD7-8C75-27E4E026F5B8}">
      <text>
        <r>
          <rPr>
            <b/>
            <sz val="14"/>
            <color indexed="81"/>
            <rFont val="Tahoma"/>
            <family val="2"/>
          </rPr>
          <t xml:space="preserve">Note:
</t>
        </r>
        <r>
          <rPr>
            <sz val="14"/>
            <color indexed="81"/>
            <rFont val="Tahoma"/>
            <family val="2"/>
          </rPr>
          <t xml:space="preserve">Defines the project's federal income tax rate, if applicable.
Input cannot be less than zero.
</t>
        </r>
      </text>
    </comment>
    <comment ref="I1279" authorId="0" shapeId="0" xr:uid="{26D5DAB8-4028-443F-B715-57F461958505}">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I1280" authorId="0" shapeId="0" xr:uid="{A42D5C57-152A-4C9D-8F15-A0E5EC602F6A}">
      <text>
        <r>
          <rPr>
            <b/>
            <sz val="14"/>
            <color indexed="81"/>
            <rFont val="Tahoma"/>
            <family val="2"/>
          </rPr>
          <t xml:space="preserve">Note:
</t>
        </r>
        <r>
          <rPr>
            <sz val="14"/>
            <color indexed="81"/>
            <rFont val="Tahoma"/>
            <family val="2"/>
          </rPr>
          <t xml:space="preserve">Defines the project's state income tax rate, if applicable.
Input cannot be less than zero.
</t>
        </r>
      </text>
    </comment>
    <comment ref="S1280" authorId="0" shapeId="0" xr:uid="{EECEBF95-691C-40FD-B7CE-4B785CD8D621}">
      <text>
        <r>
          <rPr>
            <b/>
            <sz val="14"/>
            <color indexed="81"/>
            <rFont val="Tahoma"/>
            <family val="2"/>
          </rPr>
          <t>Note:</t>
        </r>
        <r>
          <rPr>
            <sz val="14"/>
            <color indexed="81"/>
            <rFont val="Tahoma"/>
            <family val="2"/>
          </rPr>
          <t xml:space="preserve">
To qualify for Bonus Depreciation the property must have a recovery period of 20 years or less (under normal federal tax depreciation rules), and the project must commence operation in the year in which bonus depreciation is in effect and under the ownership of the entity claiming the deduction. 
For qualifying projects, the owner is entitled to deduct 50% of the adjusted basis of the property during the tax year the property is first placed in service. The remaining 50% of the adjusted basis of the property is depreciated over the ordinary MACRS depreciation schedule. The bonus depreciation rules do not override the depreciation limit applicable to projects qualifying for the federal ITC. Before calculating depreciation for such a project, including any bonus depreciation, the adjusted basis of the project must be reduced by one-half of the amount of the ITC for which the project qualifies. 
</t>
        </r>
      </text>
    </comment>
    <comment ref="I1281" authorId="0" shapeId="0" xr:uid="{A55541ED-B026-461B-826A-475A60F683E2}">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P1281" authorId="0" shapeId="0" xr:uid="{3DA86AEB-C0AB-4297-89F8-8BBD329474D8}">
      <text>
        <r>
          <rPr>
            <b/>
            <sz val="12"/>
            <color indexed="81"/>
            <rFont val="Tahoma"/>
            <family val="2"/>
          </rPr>
          <t>Jason Gifford:</t>
        </r>
        <r>
          <rPr>
            <sz val="12"/>
            <color indexed="81"/>
            <rFont val="Tahoma"/>
            <family val="2"/>
          </rPr>
          <t xml:space="preserve">
The Consolidated Appropriations Act, signed in December 2015, extended the "placed in service" deadline for bonus depreciation. Equipment placed in service before January 1, 2018 can qualify for 50% bonus depreciation. Equipment placed in service during 2018 can qualify for 40% bonus depreciation. And equipment placed in service during 2019 can qualify for 30% bonus depreciation. </t>
        </r>
      </text>
    </comment>
    <comment ref="S1281" authorId="0" shapeId="0" xr:uid="{36B15530-183E-4112-B5A6-0F52F71E53C4}">
      <text>
        <r>
          <rPr>
            <b/>
            <sz val="14"/>
            <color indexed="81"/>
            <rFont val="Tahoma"/>
            <family val="2"/>
          </rPr>
          <t>Note:</t>
        </r>
        <r>
          <rPr>
            <sz val="14"/>
            <color indexed="81"/>
            <rFont val="Tahoma"/>
            <family val="2"/>
          </rPr>
          <t xml:space="preserve">
This input allows the user to define the bonus depreciation % applied in Year 1, if applicable.  Historically, federal bonus depreciation has been 50% of the eligible cost basis (after taking into account reductions in such cost basis for the ITC, if applicable).  
Input cannot be less than zero.
</t>
        </r>
      </text>
    </comment>
    <comment ref="I1282" authorId="0" shapeId="0" xr:uid="{4CC35620-3F3E-4927-A09C-2051C9B4B97E}">
      <text>
        <r>
          <rPr>
            <b/>
            <sz val="14"/>
            <color indexed="81"/>
            <rFont val="Tahoma"/>
            <family val="2"/>
          </rPr>
          <t xml:space="preserve">Note:
</t>
        </r>
        <r>
          <rPr>
            <sz val="14"/>
            <color indexed="81"/>
            <rFont val="Tahoma"/>
            <family val="2"/>
          </rPr>
          <t xml:space="preserve">Takes into account the interaction between federal and state tax rates. This is a calculated value.
</t>
        </r>
      </text>
    </comment>
    <comment ref="I1283" authorId="0" shapeId="0" xr:uid="{0C162579-FC67-49D5-8FC6-8F3E8350B889}">
      <text>
        <r>
          <rPr>
            <b/>
            <sz val="14"/>
            <color indexed="81"/>
            <rFont val="Tahoma"/>
            <family val="2"/>
          </rPr>
          <t xml:space="preserve">Note:
</t>
        </r>
        <r>
          <rPr>
            <sz val="14"/>
            <color indexed="81"/>
            <rFont val="Tahoma"/>
            <family val="2"/>
          </rPr>
          <t>Depreciation accounts for the "use" of equipment for tax purposes. The depreciation inputs are provided in the table to the right and on the Complex Capital Costs tab when this option is selected.</t>
        </r>
      </text>
    </comment>
    <comment ref="AB1284" authorId="0" shapeId="0" xr:uid="{307B2FCE-A9EA-4D19-82C7-8BC3366B35F4}">
      <text>
        <r>
          <rPr>
            <b/>
            <sz val="14"/>
            <color indexed="81"/>
            <rFont val="Tahoma"/>
            <family val="2"/>
          </rPr>
          <t>Note:</t>
        </r>
        <r>
          <rPr>
            <sz val="14"/>
            <color indexed="81"/>
            <rFont val="Tahoma"/>
            <family val="2"/>
          </rPr>
          <t xml:space="preserve">
When the "Simple" capital cost option is selected, the depreciation of total project costs is divided among the classifications using this row. The depreciation options associated with other levels of cost detail will be hidden.
</t>
        </r>
        <r>
          <rPr>
            <b/>
            <sz val="14"/>
            <color indexed="81"/>
            <rFont val="Tahoma"/>
            <family val="2"/>
          </rPr>
          <t xml:space="preserve">This row must sum to 100%.
</t>
        </r>
      </text>
    </comment>
    <comment ref="AB1285" authorId="0" shapeId="0" xr:uid="{E7071CD7-7251-4EE1-BA69-367E5330A3DD}">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1286" authorId="0" shapeId="0" xr:uid="{0064DFCD-B31B-4C83-867E-97F3A0841DC6}">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1287" authorId="0" shapeId="0" xr:uid="{B82A92A8-E1AE-41A5-B161-7879875A8EA9}">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1288" authorId="0" shapeId="0" xr:uid="{A100DBFA-658C-4645-B455-8E115EAB9E95}">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1289" authorId="0" shapeId="0" xr:uid="{0654AAAC-4A5E-4481-B7AE-66F8964B6440}">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1290" authorId="0" shapeId="0" xr:uid="{AAF86771-F109-42E5-9F92-73CD1E21E612}">
      <text>
        <r>
          <rPr>
            <b/>
            <sz val="14"/>
            <color indexed="81"/>
            <rFont val="Tahoma"/>
            <family val="2"/>
          </rPr>
          <t>Note:</t>
        </r>
        <r>
          <rPr>
            <sz val="14"/>
            <color indexed="81"/>
            <rFont val="Tahoma"/>
            <family val="2"/>
          </rPr>
          <t xml:space="preserve">
When the "Complex" capital cost option is selected, each line items is assigned its own depreciation classification using a drop-down menu on the Complex Capital Costs tab.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Jason Gifford</author>
    <author>Tyler Leeds</author>
  </authors>
  <commentList>
    <comment ref="C4" authorId="0" shapeId="0" xr:uid="{00000000-0006-0000-0400-000001000000}">
      <text>
        <r>
          <rPr>
            <sz val="14"/>
            <color indexed="81"/>
            <rFont val="Tahoma"/>
            <family val="2"/>
          </rPr>
          <t xml:space="preserve">The "Check" column evaluates whether or not values have been enterred in all required fields.  Green denotes an accepted entry in a required field or a calculation for which the minimum required precedents have been satisfied.  Red denotes the absence of an entry in a required field, or a calculation for which the minimum required precendents have NOT been satisfied.
</t>
        </r>
        <r>
          <rPr>
            <b/>
            <sz val="14"/>
            <color indexed="81"/>
            <rFont val="Tahoma"/>
            <family val="2"/>
          </rPr>
          <t>Please note</t>
        </r>
        <r>
          <rPr>
            <sz val="14"/>
            <color indexed="81"/>
            <rFont val="Tahoma"/>
            <family val="2"/>
          </rPr>
          <t xml:space="preserve"> that while the "Check" column ensures the population of all required fields, this column does NOT validate the magnitude of such entries.  It is the model user's responsibility to provide inputs which accurately represent the project being modeled.  In some cases, a range of typical values for a specified input are provided in that input's "Notes" cell.</t>
        </r>
      </text>
    </comment>
    <comment ref="I4" authorId="0" shapeId="0" xr:uid="{00000000-0006-0000-0400-000002000000}">
      <text>
        <r>
          <rPr>
            <sz val="14"/>
            <color indexed="81"/>
            <rFont val="Tahoma"/>
            <family val="2"/>
          </rPr>
          <t xml:space="preserve">Each cell in the "Notes" column provides a brief description of the input in the corresponding row, its application within the model, and (in some cases) the range of values that might be expected to populate that  input cell.  It is the model user's responsibility, however, to research and validate the applicability of, and appropriate value for, each input.
</t>
        </r>
        <r>
          <rPr>
            <sz val="8"/>
            <color indexed="81"/>
            <rFont val="Tahoma"/>
            <family val="2"/>
          </rPr>
          <t xml:space="preserve">
</t>
        </r>
      </text>
    </comment>
    <comment ref="M4" authorId="0" shapeId="0" xr:uid="{00000000-0006-0000-0400-000003000000}">
      <text>
        <r>
          <rPr>
            <sz val="14"/>
            <color indexed="81"/>
            <rFont val="Tahoma"/>
            <family val="2"/>
          </rPr>
          <t xml:space="preserve">The "Check" column evaluates whether or not values have been enterred in all required fields.  Green denotes an accepted entry in a required field or a calculation for which the minimum required precedents have been satisfied.  Red denotes the absence of an entry in a required field, or a calculation for which the minimum required precendents have NOT been satisfied.
</t>
        </r>
        <r>
          <rPr>
            <b/>
            <sz val="14"/>
            <color indexed="81"/>
            <rFont val="Tahoma"/>
            <family val="2"/>
          </rPr>
          <t>Please note</t>
        </r>
        <r>
          <rPr>
            <sz val="14"/>
            <color indexed="81"/>
            <rFont val="Tahoma"/>
            <family val="2"/>
          </rPr>
          <t xml:space="preserve"> that while the "Check" column ensures the population of all required fields, this column does NOT validate the magnitude of such entries.  It is the model user's responsibility to provide inputs which accurately represent the project being modeled.  In some cases, a range of typical values for a specified input are provided in that input's "Notes" cell.</t>
        </r>
      </text>
    </comment>
    <comment ref="S4" authorId="0" shapeId="0" xr:uid="{00000000-0006-0000-0400-000004000000}">
      <text>
        <r>
          <rPr>
            <sz val="14"/>
            <color indexed="81"/>
            <rFont val="Tahoma"/>
            <family val="2"/>
          </rPr>
          <t>Each cell in the "Notes" column provides a brief description of the input in the corresponding row, its application within the model, and (in some cases) the range of values that might be expected to populate that  input cell. It is the model user's responsibility, however, to research and validate the applicability of, and appropriate value for, each input.</t>
        </r>
        <r>
          <rPr>
            <sz val="8"/>
            <color indexed="81"/>
            <rFont val="Tahoma"/>
            <family val="2"/>
          </rPr>
          <t xml:space="preserve">
</t>
        </r>
      </text>
    </comment>
    <comment ref="F6" authorId="0" shapeId="0" xr:uid="{00000000-0006-0000-0400-000005000000}">
      <text>
        <r>
          <rPr>
            <b/>
            <sz val="8"/>
            <color indexed="81"/>
            <rFont val="Tahoma"/>
            <family val="2"/>
          </rPr>
          <t>See "unit" definitions at the bottom of this worksheet.</t>
        </r>
        <r>
          <rPr>
            <sz val="8"/>
            <color indexed="81"/>
            <rFont val="Tahoma"/>
            <family val="2"/>
          </rPr>
          <t xml:space="preserve">
</t>
        </r>
      </text>
    </comment>
    <comment ref="P6" authorId="0" shapeId="0" xr:uid="{00000000-0006-0000-0400-000006000000}">
      <text>
        <r>
          <rPr>
            <b/>
            <sz val="8"/>
            <color indexed="81"/>
            <rFont val="Tahoma"/>
            <family val="2"/>
          </rPr>
          <t>See "unit" definitions at the bottom of this worksheet.</t>
        </r>
        <r>
          <rPr>
            <sz val="8"/>
            <color indexed="81"/>
            <rFont val="Tahoma"/>
            <family val="2"/>
          </rPr>
          <t xml:space="preserve">
</t>
        </r>
      </text>
    </comment>
    <comment ref="I7" authorId="1" shapeId="0" xr:uid="{00000000-0006-0000-0400-000007000000}">
      <text>
        <r>
          <rPr>
            <b/>
            <sz val="14"/>
            <color indexed="81"/>
            <rFont val="Tahoma"/>
            <family val="2"/>
          </rPr>
          <t>Note:</t>
        </r>
        <r>
          <rPr>
            <sz val="14"/>
            <color indexed="81"/>
            <rFont val="Tahoma"/>
            <family val="2"/>
          </rPr>
          <t xml:space="preserve">
This is the aggregate nameplate rating for the entire generating facility.
Input must be greater than zero.
</t>
        </r>
      </text>
    </comment>
    <comment ref="S7" authorId="1" shapeId="0" xr:uid="{00000000-0006-0000-0400-000008000000}">
      <text>
        <r>
          <rPr>
            <b/>
            <sz val="14"/>
            <color indexed="81"/>
            <rFont val="Tahoma"/>
            <family val="2"/>
          </rPr>
          <t xml:space="preserve">Note:
</t>
        </r>
        <r>
          <rPr>
            <sz val="14"/>
            <color indexed="81"/>
            <rFont val="Tahoma"/>
            <family val="2"/>
          </rPr>
          <t xml:space="preserve">The FIT contract length is the number of years for which the rate specified by this model is available. This term is established by policymakers and must be less than or equal to the project's useful life.  
The contract duration is also different than the debt tenor (if applicable), which is specified in the Permanent Financing section below.
</t>
        </r>
      </text>
    </comment>
    <comment ref="I8" authorId="1" shapeId="0" xr:uid="{00000000-0006-0000-0400-000009000000}">
      <text>
        <r>
          <rPr>
            <b/>
            <sz val="14"/>
            <color indexed="81"/>
            <rFont val="Tahoma"/>
            <family val="2"/>
          </rPr>
          <t>Note:</t>
        </r>
        <r>
          <rPr>
            <sz val="14"/>
            <color indexed="81"/>
            <rFont val="Tahoma"/>
            <family val="2"/>
          </rPr>
          <t xml:space="preserve">
Capacity Factor is the % representation of the actual production vs. the theoretical maximum annual production of an energy project. This model requires the input of a </t>
        </r>
        <r>
          <rPr>
            <b/>
            <sz val="14"/>
            <color indexed="81"/>
            <rFont val="Tahoma"/>
            <family val="2"/>
          </rPr>
          <t>Net Capacity Factor</t>
        </r>
        <r>
          <rPr>
            <sz val="14"/>
            <color indexed="81"/>
            <rFont val="Tahoma"/>
            <family val="2"/>
          </rPr>
          <t xml:space="preserve">, meaning that the estimate of actual energy production should take into account all electricity losses (including those incurred between the generating facility and the contract delivery point), scheduled and unscheduled maintenance, forced outages, wake effects, icing, and any other factors that could reduce production.
Wind projects typically have a capacity factor between 25% and 40% depending on region and site-specific topography. 
Input must be between 0% and 100%.
</t>
        </r>
      </text>
    </comment>
    <comment ref="S8" authorId="1" shapeId="0" xr:uid="{00000000-0006-0000-0400-00000A000000}">
      <text>
        <r>
          <rPr>
            <b/>
            <sz val="14"/>
            <color indexed="81"/>
            <rFont val="Tahoma"/>
            <family val="2"/>
          </rPr>
          <t xml:space="preserve">Note:
</t>
        </r>
        <r>
          <rPr>
            <sz val="14"/>
            <color indexed="81"/>
            <rFont val="Tahoma"/>
            <family val="2"/>
          </rPr>
          <t xml:space="preserve">This is the portion (%) of the tariff which is subject to annual escalation.  
Program administrators may determine that some or all of the tariff rate should be escalated to reflect the uncertainty associated with the future cost of owning and operating an electricity generating facility. This input is separate from the inflation assumed to apply to certain O&amp;M expenses, which is provided as an input in the O&amp;M section below.
Input must be between 0% and 100%.
</t>
        </r>
      </text>
    </comment>
    <comment ref="I9" authorId="1" shapeId="0" xr:uid="{00000000-0006-0000-0400-00000B000000}">
      <text>
        <r>
          <rPr>
            <b/>
            <sz val="14"/>
            <color indexed="81"/>
            <rFont val="Tahoma"/>
            <family val="2"/>
          </rPr>
          <t>Note:</t>
        </r>
        <r>
          <rPr>
            <sz val="14"/>
            <color indexed="81"/>
            <rFont val="Tahoma"/>
            <family val="2"/>
          </rPr>
          <t xml:space="preserve">
This is a calculation, based on the system size and capacity factor provided above. 
</t>
        </r>
      </text>
    </comment>
    <comment ref="S9" authorId="1" shapeId="0" xr:uid="{00000000-0006-0000-0400-00000C000000}">
      <text>
        <r>
          <rPr>
            <b/>
            <sz val="14"/>
            <color indexed="81"/>
            <rFont val="Tahoma"/>
            <family val="2"/>
          </rPr>
          <t xml:space="preserve">Note:
</t>
        </r>
        <r>
          <rPr>
            <sz val="14"/>
            <color indexed="81"/>
            <rFont val="Tahoma"/>
            <family val="2"/>
          </rPr>
          <t xml:space="preserve">To calculate a </t>
        </r>
        <r>
          <rPr>
            <b/>
            <sz val="14"/>
            <color indexed="81"/>
            <rFont val="Tahoma"/>
            <family val="2"/>
          </rPr>
          <t>nominal levelized tariff rate</t>
        </r>
        <r>
          <rPr>
            <sz val="14"/>
            <color indexed="81"/>
            <rFont val="Tahoma"/>
            <family val="2"/>
          </rPr>
          <t xml:space="preserve">, the "feed-in tariff escalation rate" field should be </t>
        </r>
        <r>
          <rPr>
            <b/>
            <sz val="14"/>
            <color indexed="81"/>
            <rFont val="Tahoma"/>
            <family val="2"/>
          </rPr>
          <t>set to zero</t>
        </r>
        <r>
          <rPr>
            <sz val="14"/>
            <color indexed="81"/>
            <rFont val="Tahoma"/>
            <family val="2"/>
          </rPr>
          <t>.</t>
        </r>
        <r>
          <rPr>
            <b/>
            <sz val="14"/>
            <color indexed="81"/>
            <rFont val="Tahoma"/>
            <family val="2"/>
          </rPr>
          <t xml:space="preserve">
</t>
        </r>
        <r>
          <rPr>
            <sz val="14"/>
            <color indexed="81"/>
            <rFont val="Tahoma"/>
            <family val="2"/>
          </rPr>
          <t xml:space="preserve">Where applied, tariff rate escalation is intended to serve as a risk mitigating tool, at least partially protecting the project investor from the uncertainty associated with the future cost of owning and operating the renewable energy facility. The escalation rate can be used to assume a year over year increase in all, or a portion, of the per unit payment provided to eligible generators. This concept is separate from inflationary adjustments to future operating cost assumptions -- which are input below.
This rate is applied annually.  Note that in this model, calendar years and tariff years are aligned.
</t>
        </r>
        <r>
          <rPr>
            <b/>
            <sz val="14"/>
            <color indexed="81"/>
            <rFont val="Tahoma"/>
            <family val="2"/>
          </rPr>
          <t>Caution:</t>
        </r>
        <r>
          <rPr>
            <sz val="14"/>
            <color indexed="81"/>
            <rFont val="Tahoma"/>
            <family val="2"/>
          </rPr>
          <t xml:space="preserve"> A value must be entered into this cell in order for the model to function properly. The input can be positive or negative (if the FIT value decreases over time), and a typical value may fall between 0% and 5%.  
</t>
        </r>
      </text>
    </comment>
    <comment ref="I10" authorId="1" shapeId="0" xr:uid="{00000000-0006-0000-0400-00000D000000}">
      <text>
        <r>
          <rPr>
            <b/>
            <sz val="14"/>
            <color indexed="81"/>
            <rFont val="Tahoma"/>
            <family val="2"/>
          </rPr>
          <t>Note:</t>
        </r>
        <r>
          <rPr>
            <sz val="14"/>
            <color indexed="81"/>
            <rFont val="Tahoma"/>
            <family val="2"/>
          </rPr>
          <t xml:space="preserve">
The natural aging of the mechanical components of a wind turbine generator may lead to a drop in turbine availability (or efficiency), and therefore production, over time.  
This input allows the user to model the potential for such degradation, which may be between 0% and 2% per year.
</t>
        </r>
        <r>
          <rPr>
            <b/>
            <sz val="14"/>
            <color indexed="81"/>
            <rFont val="Tahoma"/>
            <family val="2"/>
          </rPr>
          <t>If the modeled "Net Capacity Factor" is intented to take long-term average availability into account, then the user may wish to enter 0% in the Annual Production Degradation field.</t>
        </r>
        <r>
          <rPr>
            <sz val="14"/>
            <color indexed="81"/>
            <rFont val="Tahoma"/>
            <family val="2"/>
          </rPr>
          <t xml:space="preserve">
Input must be =&gt; 0%.
</t>
        </r>
      </text>
    </comment>
    <comment ref="I11" authorId="1" shapeId="0" xr:uid="{00000000-0006-0000-0400-00000E000000}">
      <text>
        <r>
          <rPr>
            <b/>
            <sz val="14"/>
            <color indexed="81"/>
            <rFont val="Tahoma"/>
            <family val="2"/>
          </rPr>
          <t xml:space="preserve">Note:
</t>
        </r>
        <r>
          <rPr>
            <sz val="14"/>
            <color indexed="81"/>
            <rFont val="Tahoma"/>
            <family val="2"/>
          </rPr>
          <t xml:space="preserve">The Project Useful Life is the number of years that the project is expected to be fully operational, reliably delivering electricity to the grid, and generating revenue. This concept is different from the FIT Contract Length, which is administratively determined by policymakers. These two values may be the same if a FIT contract is offered for the project's entire expected useful life. This approach is likely to generate the lowest tariff rate, while successfully attracting investors to renewable energy projects.  
The CREST model is built for a maximum Project Useful Life of 30 years.
Input must be greater than 0 and less than or equal to 30.
</t>
        </r>
      </text>
    </comment>
    <comment ref="S11" authorId="1" shapeId="0" xr:uid="{00000000-0006-0000-0400-00000F000000}">
      <text>
        <r>
          <rPr>
            <b/>
            <sz val="14"/>
            <color indexed="81"/>
            <rFont val="Tahoma"/>
            <family val="2"/>
          </rPr>
          <t xml:space="preserve">Note:
</t>
        </r>
        <r>
          <rPr>
            <sz val="14"/>
            <color indexed="81"/>
            <rFont val="Tahoma"/>
            <family val="2"/>
          </rPr>
          <t>If the designated "FIT Contract Length" is less than the defined "Project Useful Life", then this grouping of inputs is used to calculate the project's market-based revenue during the period from FIT contract expiration to the end of the project's life.</t>
        </r>
        <r>
          <rPr>
            <b/>
            <sz val="14"/>
            <color indexed="81"/>
            <rFont val="Tahoma"/>
            <family val="2"/>
          </rPr>
          <t xml:space="preserve">
</t>
        </r>
        <r>
          <rPr>
            <sz val="14"/>
            <color indexed="81"/>
            <rFont val="Tahoma"/>
            <family val="2"/>
          </rPr>
          <t xml:space="preserve">
</t>
        </r>
      </text>
    </comment>
    <comment ref="S12" authorId="1" shapeId="0" xr:uid="{00000000-0006-0000-0400-000010000000}">
      <text>
        <r>
          <rPr>
            <b/>
            <sz val="14"/>
            <color indexed="81"/>
            <rFont val="Tahoma"/>
            <family val="2"/>
          </rPr>
          <t xml:space="preserve">Note:
</t>
        </r>
        <r>
          <rPr>
            <sz val="14"/>
            <color indexed="81"/>
            <rFont val="Tahoma"/>
            <family val="2"/>
          </rPr>
          <t>Selecting "Year One" forecasts the total market value of production based on an estimate of that value in the project's first year of commercial operation and a user-defined escalation rate.  
Selecting "Year-by-Year" enables the user to enter unique annual values for the period after the FIT expires and before the end of the project's useful life.</t>
        </r>
        <r>
          <rPr>
            <b/>
            <sz val="14"/>
            <color indexed="81"/>
            <rFont val="Tahoma"/>
            <family val="2"/>
          </rPr>
          <t xml:space="preserve">
</t>
        </r>
        <r>
          <rPr>
            <sz val="14"/>
            <color indexed="81"/>
            <rFont val="Tahoma"/>
            <family val="2"/>
          </rPr>
          <t xml:space="preserve">
</t>
        </r>
      </text>
    </comment>
    <comment ref="F13" authorId="0" shapeId="0" xr:uid="{00000000-0006-0000-0400-000011000000}">
      <text>
        <r>
          <rPr>
            <b/>
            <sz val="8"/>
            <color indexed="81"/>
            <rFont val="Tahoma"/>
            <family val="2"/>
          </rPr>
          <t>See "unit" definitions at the bottom of this worksheet.</t>
        </r>
        <r>
          <rPr>
            <sz val="8"/>
            <color indexed="81"/>
            <rFont val="Tahoma"/>
            <family val="2"/>
          </rPr>
          <t xml:space="preserve">
</t>
        </r>
      </text>
    </comment>
    <comment ref="S13" authorId="1" shapeId="0" xr:uid="{00000000-0006-0000-0400-000012000000}">
      <text>
        <r>
          <rPr>
            <b/>
            <sz val="14"/>
            <color indexed="81"/>
            <rFont val="Tahoma"/>
            <family val="2"/>
          </rPr>
          <t xml:space="preserve">Note:
</t>
        </r>
        <r>
          <rPr>
            <sz val="14"/>
            <color indexed="81"/>
            <rFont val="Tahoma"/>
            <family val="2"/>
          </rPr>
          <t xml:space="preserve">This is the </t>
        </r>
        <r>
          <rPr>
            <b/>
            <sz val="14"/>
            <color indexed="81"/>
            <rFont val="Tahoma"/>
            <family val="2"/>
          </rPr>
          <t>combined</t>
        </r>
        <r>
          <rPr>
            <sz val="14"/>
            <color indexed="81"/>
            <rFont val="Tahoma"/>
            <family val="2"/>
          </rPr>
          <t xml:space="preserve"> (or "bundled") market value of energy + capacity + Renewable Energy Credtis (RECs) in the same year in which the project's first enters commercial operation.
This input must be greater than zero.
</t>
        </r>
      </text>
    </comment>
    <comment ref="I14" authorId="1" shapeId="0" xr:uid="{00000000-0006-0000-0400-000013000000}">
      <text>
        <r>
          <rPr>
            <b/>
            <sz val="14"/>
            <color indexed="81"/>
            <rFont val="Tahoma"/>
            <family val="2"/>
          </rPr>
          <t>Note:</t>
        </r>
        <r>
          <rPr>
            <sz val="14"/>
            <color indexed="81"/>
            <rFont val="Tahoma"/>
            <family val="2"/>
          </rPr>
          <t xml:space="preserve">
This model alllows the user to input system cost at 1 of 3 levels of detail: "simple", "intermediate" or "complex." Simple offers a single input in $/kW, Intermediate offers five cost subcategories in total dollars, and Complex offers line-by-line project costing with user-defined categories and costs per line-item.  
Select your preferred method and use the cells below to enter your cost information. If you choose the "Complex" option, you will need to follow the link below to the "Complex Capital Costs" tab.</t>
        </r>
      </text>
    </comment>
    <comment ref="S14" authorId="1" shapeId="0" xr:uid="{00000000-0006-0000-0400-000014000000}">
      <text>
        <r>
          <rPr>
            <b/>
            <sz val="14"/>
            <color indexed="81"/>
            <rFont val="Tahoma"/>
            <family val="2"/>
          </rPr>
          <t xml:space="preserve">Note:
</t>
        </r>
        <r>
          <rPr>
            <sz val="14"/>
            <color indexed="81"/>
            <rFont val="Tahoma"/>
            <family val="2"/>
          </rPr>
          <t xml:space="preserve">When the "Year One" forecast methodology is selected, this is the user-defined escalation rate at which the market value of production is expected to change.
Input must be greater than zero.
</t>
        </r>
      </text>
    </comment>
    <comment ref="I15" authorId="1" shapeId="0" xr:uid="{00000000-0006-0000-0400-000015000000}">
      <text>
        <r>
          <rPr>
            <b/>
            <sz val="14"/>
            <color indexed="81"/>
            <rFont val="Tahoma"/>
            <family val="2"/>
          </rPr>
          <t>Note:</t>
        </r>
        <r>
          <rPr>
            <sz val="14"/>
            <color indexed="81"/>
            <rFont val="Tahoma"/>
            <family val="2"/>
          </rPr>
          <t xml:space="preserve">
When "Simple" is selected in the Cost Level of Detail cell, this "Total Installed Cost" row represents the total expected all-in project cost, which should include all hardware, balance of plant, interconnection, design, construction, permitting, development (including developer fee), interest during construction and financing costs. This figure should not account for any tax incentives, grants, or other cash incentives, each of which will be addressed elsewhere in the model. This figure should, however, reflect any applicable sales tax or exemptions thereof.
Input must be greater than zero.
</t>
        </r>
      </text>
    </comment>
    <comment ref="S15" authorId="1" shapeId="0" xr:uid="{00000000-0006-0000-0400-000016000000}">
      <text>
        <r>
          <rPr>
            <b/>
            <sz val="14"/>
            <color indexed="81"/>
            <rFont val="Tahoma"/>
            <family val="2"/>
          </rPr>
          <t xml:space="preserve">Note:
</t>
        </r>
        <r>
          <rPr>
            <sz val="14"/>
            <color indexed="81"/>
            <rFont val="Tahoma"/>
            <family val="2"/>
          </rPr>
          <t xml:space="preserve">When "Year-by-Year" market value of production forecast is selected, this link brings the user to another worksheet on which unique annual values may be entered.
</t>
        </r>
      </text>
    </comment>
    <comment ref="I16" authorId="1" shapeId="0" xr:uid="{00000000-0006-0000-0400-000017000000}">
      <text>
        <r>
          <rPr>
            <b/>
            <sz val="14"/>
            <color indexed="81"/>
            <rFont val="Tahoma"/>
            <family val="2"/>
          </rPr>
          <t>Note:</t>
        </r>
        <r>
          <rPr>
            <sz val="14"/>
            <color indexed="81"/>
            <rFont val="Tahoma"/>
            <family val="2"/>
          </rPr>
          <t xml:space="preserve">
"Generation Equipment" should include hardware such as the generator, blades and tower.  
Caution: the model assumes that if "Intermediate" is selected as the level of detail section, the "Generation Equipment" row must have a value greater than zero. 
</t>
        </r>
      </text>
    </comment>
    <comment ref="I17" authorId="1" shapeId="0" xr:uid="{00000000-0006-0000-0400-000018000000}">
      <text>
        <r>
          <rPr>
            <b/>
            <sz val="14"/>
            <color indexed="81"/>
            <rFont val="Tahoma"/>
            <family val="2"/>
          </rPr>
          <t>Note:</t>
        </r>
        <r>
          <rPr>
            <sz val="14"/>
            <color indexed="81"/>
            <rFont val="Tahoma"/>
            <family val="2"/>
          </rPr>
          <t xml:space="preserve">
Balance of Plant (also known as Balance of System) represents all infrastructure, site prep and labor supporting the installation of the generation equipment. BOP costs include foundations, mounting devices, other hardware, and labor not already accounted for in the "Generation Equipment" row.
Input cannot be less than zero.
</t>
        </r>
      </text>
    </comment>
    <comment ref="P17" authorId="0" shapeId="0" xr:uid="{00000000-0006-0000-0400-000019000000}">
      <text>
        <r>
          <rPr>
            <b/>
            <sz val="8"/>
            <color indexed="81"/>
            <rFont val="Tahoma"/>
            <family val="2"/>
          </rPr>
          <t>See "unit" definitions at the bottom of this worksheet.</t>
        </r>
        <r>
          <rPr>
            <sz val="8"/>
            <color indexed="81"/>
            <rFont val="Tahoma"/>
            <family val="2"/>
          </rPr>
          <t xml:space="preserve">
</t>
        </r>
      </text>
    </comment>
    <comment ref="I18" authorId="1" shapeId="0" xr:uid="{00000000-0006-0000-0400-00001A000000}">
      <text>
        <r>
          <rPr>
            <b/>
            <sz val="14"/>
            <color indexed="81"/>
            <rFont val="Tahoma"/>
            <family val="2"/>
          </rPr>
          <t>Note:</t>
        </r>
        <r>
          <rPr>
            <sz val="14"/>
            <color indexed="81"/>
            <rFont val="Tahoma"/>
            <family val="2"/>
          </rPr>
          <t xml:space="preserve">
The "Interconnection" row should account for all project costs relating to connecting to the grid, such as the construction of transmission lines, permitting costs with the utility, and start-up costs. This category will also include the cost of a new substation, if necessary.
Regulators wishing to explore the potential that interconnection costs may be recovered from ratepayers separately can elect to enter zeros in this cost category whenever "Intermediate" or "Complex" is selected.
Input cannot be less than zero.
</t>
        </r>
      </text>
    </comment>
    <comment ref="S18" authorId="0" shapeId="0" xr:uid="{00000000-0006-0000-0400-00001B000000}">
      <text>
        <r>
          <rPr>
            <b/>
            <sz val="14"/>
            <color indexed="81"/>
            <rFont val="Tahoma"/>
            <family val="2"/>
          </rPr>
          <t xml:space="preserve">Note:
</t>
        </r>
        <r>
          <rPr>
            <sz val="14"/>
            <color indexed="81"/>
            <rFont val="Tahoma"/>
            <family val="2"/>
          </rPr>
          <t>This drop-down input cell allows the user to specify whether federal incentives are cost-based (e.g. an investment tax credit) or performance-based (e.g. a PTC). The magnitude and terms of these incentives are set in the cells below.
For more information, a useful resource for researching federal and state incentives online is:  
http://dsireusa.org/
*See bottom of introduction page for a list of links</t>
        </r>
      </text>
    </comment>
    <comment ref="E19" authorId="0" shapeId="0" xr:uid="{00000000-0006-0000-0400-00001C000000}">
      <text>
        <r>
          <rPr>
            <b/>
            <sz val="14"/>
            <color indexed="81"/>
            <rFont val="Tahoma"/>
            <family val="2"/>
          </rPr>
          <t>Jason Gifford:</t>
        </r>
        <r>
          <rPr>
            <sz val="14"/>
            <color indexed="81"/>
            <rFont val="Tahoma"/>
            <family val="2"/>
          </rPr>
          <t xml:space="preserve">
Converted to "admin cost" for community remote DG</t>
        </r>
      </text>
    </comment>
    <comment ref="I19" authorId="1" shapeId="0" xr:uid="{00000000-0006-0000-0400-00001D000000}">
      <text>
        <r>
          <rPr>
            <b/>
            <sz val="14"/>
            <color indexed="81"/>
            <rFont val="Tahoma"/>
            <family val="2"/>
          </rPr>
          <t>Note:</t>
        </r>
        <r>
          <rPr>
            <sz val="8"/>
            <color indexed="81"/>
            <rFont val="Tahoma"/>
            <family val="2"/>
          </rPr>
          <t xml:space="preserve">
</t>
        </r>
        <r>
          <rPr>
            <sz val="14"/>
            <color indexed="81"/>
            <rFont val="Tahoma"/>
            <family val="2"/>
          </rPr>
          <t xml:space="preserve">The "Development Costs" row should include all costs relating to project management, studies, engineering, permitting, contingencies, success fees, and other soft costs not accounted for elsewhere in the "Intermediate" cost breakdown. 
Input cannot be less than zero.
</t>
        </r>
      </text>
    </comment>
    <comment ref="S19" authorId="1" shapeId="0" xr:uid="{00000000-0006-0000-0400-00001E000000}">
      <text>
        <r>
          <rPr>
            <b/>
            <sz val="14"/>
            <color indexed="81"/>
            <rFont val="Tahoma"/>
            <family val="2"/>
          </rPr>
          <t xml:space="preserve">Note:
</t>
        </r>
        <r>
          <rPr>
            <sz val="14"/>
            <color indexed="81"/>
            <rFont val="Tahoma"/>
            <family val="2"/>
          </rPr>
          <t>Some renewable energy projects may be eligible to take advantagee of Federal incentives such as the Investment Tax Credit or a Treasury Grant. Information on eligibility for funding opportunities such as these is available online at:
http://dsireusa.org/incentives/incentive.cfm?Incentive_Code=US02F&amp;re=1&amp;ee=1
*See bottom of introduction page for a list of links</t>
        </r>
        <r>
          <rPr>
            <b/>
            <sz val="14"/>
            <color indexed="81"/>
            <rFont val="Tahoma"/>
            <family val="2"/>
          </rPr>
          <t xml:space="preserve">
</t>
        </r>
        <r>
          <rPr>
            <sz val="14"/>
            <color indexed="81"/>
            <rFont val="Tahoma"/>
            <family val="2"/>
          </rPr>
          <t xml:space="preserve">
</t>
        </r>
      </text>
    </comment>
    <comment ref="I20" authorId="1" shapeId="0" xr:uid="{00000000-0006-0000-0400-00001F000000}">
      <text>
        <r>
          <rPr>
            <b/>
            <sz val="14"/>
            <color indexed="81"/>
            <rFont val="Tahoma"/>
            <family val="2"/>
          </rPr>
          <t>Note:</t>
        </r>
        <r>
          <rPr>
            <sz val="14"/>
            <color indexed="81"/>
            <rFont val="Tahoma"/>
            <family val="2"/>
          </rPr>
          <t xml:space="preserve">
The "Reserves &amp; Financing Costs" row accounts for all costs relating to financing, such as lender fees, closing costs, legal fees, interest during construction, due diligence costs, and any other relevant, financing relating costs. The model calculates this field by aggregating G22 through G25, G51, G54, G63, G66, Q57 and Q60.
</t>
        </r>
      </text>
    </comment>
    <comment ref="S20" authorId="0" shapeId="0" xr:uid="{00000000-0006-0000-0400-000020000000}">
      <text>
        <r>
          <rPr>
            <b/>
            <sz val="14"/>
            <color indexed="81"/>
            <rFont val="Tahoma"/>
            <family val="2"/>
          </rPr>
          <t xml:space="preserve">NOTE:
</t>
        </r>
        <r>
          <rPr>
            <sz val="14"/>
            <color indexed="81"/>
            <rFont val="Tahoma"/>
            <family val="2"/>
          </rPr>
          <t xml:space="preserve">The maximum potential Investment Tax Credit (ITC) benefit is assumed to be 30% of those project costs which are depreciable on the 5-year MACRS schedule.  This 'eligible costs' assumption is purposefully simplified for this analysis.  Project costs depreciated on other bases may also be eligible for the ITC.  Developers should consult with tax counsel for project-specific depreciation and ITC treatment of each project cost.
</t>
        </r>
        <r>
          <rPr>
            <sz val="8"/>
            <color indexed="81"/>
            <rFont val="Tahoma"/>
            <family val="2"/>
          </rPr>
          <t xml:space="preserve">
</t>
        </r>
      </text>
    </comment>
    <comment ref="I21" authorId="1" shapeId="0" xr:uid="{00000000-0006-0000-0400-000021000000}">
      <text>
        <r>
          <rPr>
            <b/>
            <sz val="14"/>
            <color indexed="81"/>
            <rFont val="Tahoma"/>
            <family val="2"/>
          </rPr>
          <t>Note:</t>
        </r>
        <r>
          <rPr>
            <sz val="14"/>
            <color indexed="81"/>
            <rFont val="Tahoma"/>
            <family val="2"/>
          </rPr>
          <t xml:space="preserve">
If you wish to enter your project costs under the "Complex" format, select Complex from the drop-down menu and use the link to the left to access additional worksheets which provide the opportunitiy to add significant, additional detail on project costs. Once complete, the model will roll up the detailed costs and populate this row with the resultant final project cost. </t>
        </r>
      </text>
    </comment>
    <comment ref="S21" authorId="0" shapeId="0" xr:uid="{00000000-0006-0000-0400-000022000000}">
      <text>
        <r>
          <rPr>
            <b/>
            <sz val="14"/>
            <color indexed="81"/>
            <rFont val="Tahoma"/>
            <family val="2"/>
          </rPr>
          <t xml:space="preserve">NOTE:
</t>
        </r>
        <r>
          <rPr>
            <sz val="14"/>
            <color indexed="81"/>
            <rFont val="Tahoma"/>
            <family val="2"/>
          </rPr>
          <t xml:space="preserve">As a tax </t>
        </r>
        <r>
          <rPr>
            <u/>
            <sz val="14"/>
            <color indexed="81"/>
            <rFont val="Tahoma"/>
            <family val="2"/>
          </rPr>
          <t>credit</t>
        </r>
        <r>
          <rPr>
            <sz val="14"/>
            <color indexed="81"/>
            <rFont val="Tahoma"/>
            <family val="2"/>
          </rPr>
          <t>, the ITC is only usable by project owners with positive federal income tax liability.  
In cases where the owner's tax liability in the calendar year of the project's first commercial operation exceeds the ITC amount, the user may enter 100% in this field and assume full utilization of the ITC.
If the owner's tax liability is less than the available ITC, the user may either enter a % value less than 100% or select the "carried forward" method in the "Tax Benefits used as generated or carried forward?" cell.  
Input must be between 0% and 100%.</t>
        </r>
        <r>
          <rPr>
            <sz val="8"/>
            <color indexed="81"/>
            <rFont val="Tahoma"/>
            <family val="2"/>
          </rPr>
          <t xml:space="preserve">
</t>
        </r>
      </text>
    </comment>
    <comment ref="I22" authorId="1" shapeId="0" xr:uid="{00000000-0006-0000-0400-000023000000}">
      <text>
        <r>
          <rPr>
            <b/>
            <sz val="14"/>
            <color indexed="81"/>
            <rFont val="Tahoma"/>
            <family val="2"/>
          </rPr>
          <t>Note:</t>
        </r>
        <r>
          <rPr>
            <sz val="14"/>
            <color indexed="81"/>
            <rFont val="Tahoma"/>
            <family val="2"/>
          </rPr>
          <t xml:space="preserve">
The total system cost is a calculation, based on the level of detail selected and the assocated inputs.
</t>
        </r>
      </text>
    </comment>
    <comment ref="S22" authorId="0" shapeId="0" xr:uid="{00000000-0006-0000-0400-000024000000}">
      <text>
        <r>
          <rPr>
            <b/>
            <sz val="14"/>
            <color indexed="81"/>
            <rFont val="Tahoma"/>
            <family val="2"/>
          </rPr>
          <t xml:space="preserve">Note:
</t>
        </r>
        <r>
          <rPr>
            <sz val="14"/>
            <color indexed="81"/>
            <rFont val="Tahoma"/>
            <family val="2"/>
          </rPr>
          <t xml:space="preserve">Calculates the dollar value of the Investment Tax Credit or Cash Grant, if applicable.
</t>
        </r>
      </text>
    </comment>
    <comment ref="I23" authorId="1" shapeId="0" xr:uid="{00000000-0006-0000-0400-000025000000}">
      <text>
        <r>
          <rPr>
            <b/>
            <sz val="14"/>
            <color indexed="81"/>
            <rFont val="Tahoma"/>
            <family val="2"/>
          </rPr>
          <t>Note:</t>
        </r>
        <r>
          <rPr>
            <sz val="14"/>
            <color indexed="81"/>
            <rFont val="Tahoma"/>
            <family val="2"/>
          </rPr>
          <t xml:space="preserve">
Calculation based on the total system cost in the cell above and the system size reported. Typical costs (as of 2010) fall between $2,000/kW and $3,000/kW.</t>
        </r>
        <r>
          <rPr>
            <sz val="8"/>
            <color indexed="81"/>
            <rFont val="Tahoma"/>
            <family val="2"/>
          </rPr>
          <t xml:space="preserve">
</t>
        </r>
      </text>
    </comment>
    <comment ref="S23" authorId="0" shapeId="0" xr:uid="{00000000-0006-0000-0400-000026000000}">
      <text>
        <r>
          <rPr>
            <b/>
            <sz val="14"/>
            <color indexed="81"/>
            <rFont val="Tahoma"/>
            <family val="2"/>
          </rPr>
          <t xml:space="preserve">Note: </t>
        </r>
        <r>
          <rPr>
            <sz val="14"/>
            <color indexed="81"/>
            <rFont val="Tahoma"/>
            <family val="2"/>
          </rPr>
          <t xml:space="preserve">
This input cell, the "Performance Based Incentive" or "PBI" is another potential incentive available to some specific projects. The PBI would be separate from a feed-in-tariff, but acts similarly in that it is per unit of production (typically kWh) income to a project.
Some examples of PBIs include the Federal Production Tax Credit (applicable to private projects with tax appetites) and the Federal Renewable Energy Production Incentive (REPI), historically available to some public projects.
</t>
        </r>
      </text>
    </comment>
    <comment ref="I24" authorId="1" shapeId="0" xr:uid="{00000000-0006-0000-0400-000027000000}">
      <text>
        <r>
          <rPr>
            <b/>
            <sz val="14"/>
            <color indexed="81"/>
            <rFont val="Tahoma"/>
            <family val="2"/>
          </rPr>
          <t xml:space="preserve">Note:
</t>
        </r>
        <r>
          <rPr>
            <sz val="14"/>
            <color indexed="81"/>
            <rFont val="Tahoma"/>
            <family val="2"/>
          </rPr>
          <t xml:space="preserve">This cell calculates the total of all applicable grants, excluding the payment in lieu of the Federal ITC (also known as the ITC Cash Grant, or Cash Grant), if applicable.  The ITC Cash Grant is considered separately because unlike grants issued upfront and used to offset capital costs, the ITC Cash Grant is disbursed approxiamtely 60 days after the start of commercial operations and therefore becomes an integral part of the project's financing.
Where grants are treated as taxable income, this cell calculates the after-tax impact on the total cost of the project.
  </t>
        </r>
        <r>
          <rPr>
            <sz val="8"/>
            <color indexed="81"/>
            <rFont val="Tahoma"/>
            <family val="2"/>
          </rPr>
          <t xml:space="preserve">
</t>
        </r>
      </text>
    </comment>
    <comment ref="S24" authorId="0" shapeId="0" xr:uid="{00000000-0006-0000-0400-000028000000}">
      <text>
        <r>
          <rPr>
            <b/>
            <sz val="14"/>
            <color indexed="81"/>
            <rFont val="Tahoma"/>
            <family val="2"/>
          </rPr>
          <t xml:space="preserve">Note: </t>
        </r>
        <r>
          <rPr>
            <sz val="14"/>
            <color indexed="81"/>
            <rFont val="Tahoma"/>
            <family val="2"/>
          </rPr>
          <t xml:space="preserve">
This cell denotes the value of the Performance Based Incentive applicable to the project's first year of commercial operation. In some cases, this value will need to be calculated external to the model if such PBI is derived from a "base year" and specified inflation index. The following cells can be used to account for inflation and the maximum term of eligibility.
Input cannot be less than zero.
</t>
        </r>
      </text>
    </comment>
    <comment ref="I25" authorId="1" shapeId="0" xr:uid="{00000000-0006-0000-0400-000029000000}">
      <text>
        <r>
          <rPr>
            <b/>
            <sz val="14"/>
            <color indexed="81"/>
            <rFont val="Tahoma"/>
            <family val="2"/>
          </rPr>
          <t>Note:</t>
        </r>
        <r>
          <rPr>
            <sz val="14"/>
            <color indexed="81"/>
            <rFont val="Tahoma"/>
            <family val="2"/>
          </rPr>
          <t xml:space="preserve">
Calculation of total project cost net applicable grants. 
</t>
        </r>
      </text>
    </comment>
    <comment ref="S25" authorId="0" shapeId="0" xr:uid="{00000000-0006-0000-0400-00002A000000}">
      <text>
        <r>
          <rPr>
            <b/>
            <sz val="14"/>
            <color indexed="81"/>
            <rFont val="Tahoma"/>
            <family val="2"/>
          </rPr>
          <t>Note:</t>
        </r>
        <r>
          <rPr>
            <sz val="14"/>
            <color indexed="81"/>
            <rFont val="Tahoma"/>
            <family val="2"/>
          </rPr>
          <t xml:space="preserve">
This is the length of time that a project would be eligible for any Performance Based Incentives outlined in the cell immediately above. For example, the Federal Renewable Energy Production Incentive and Production Tax Credit incentives are available for the first 10 years of project operation.
Input cannot be less than zero.
</t>
        </r>
      </text>
    </comment>
    <comment ref="I26" authorId="1" shapeId="0" xr:uid="{00000000-0006-0000-0400-00002B000000}">
      <text>
        <r>
          <rPr>
            <b/>
            <sz val="14"/>
            <color indexed="81"/>
            <rFont val="Tahoma"/>
            <family val="2"/>
          </rPr>
          <t xml:space="preserve">Note:
</t>
        </r>
        <r>
          <rPr>
            <sz val="14"/>
            <color indexed="81"/>
            <rFont val="Tahoma"/>
            <family val="2"/>
          </rPr>
          <t xml:space="preserve">Calculation, based on net project cost and total installed capacity. 
</t>
        </r>
      </text>
    </comment>
    <comment ref="S26" authorId="0" shapeId="0" xr:uid="{00000000-0006-0000-0400-00002C000000}">
      <text>
        <r>
          <rPr>
            <b/>
            <sz val="14"/>
            <color indexed="81"/>
            <rFont val="Tahoma"/>
            <family val="2"/>
          </rPr>
          <t xml:space="preserve">Note:
</t>
        </r>
        <r>
          <rPr>
            <sz val="14"/>
            <color indexed="81"/>
            <rFont val="Tahoma"/>
            <family val="2"/>
          </rPr>
          <t xml:space="preserve">Performance Based Incentives are often adjusted to account for inflation. For example, the Federal Production Tax Credit (PTC) is adjusted each year to account for changes in the GDP IPD index. This cell can be used as a proxy for the inflation that would apply to any PBI incentive entered above.
This input cannot be left blank.
</t>
        </r>
        <r>
          <rPr>
            <sz val="8"/>
            <color indexed="81"/>
            <rFont val="Tahoma"/>
            <family val="2"/>
          </rPr>
          <t xml:space="preserve">
</t>
        </r>
      </text>
    </comment>
    <comment ref="S27" authorId="0" shapeId="0" xr:uid="{00000000-0006-0000-0400-00002D000000}">
      <text>
        <r>
          <rPr>
            <b/>
            <sz val="14"/>
            <color indexed="81"/>
            <rFont val="Tahoma"/>
            <family val="2"/>
          </rPr>
          <t xml:space="preserve">Note:
</t>
        </r>
        <r>
          <rPr>
            <sz val="14"/>
            <color indexed="81"/>
            <rFont val="Tahoma"/>
            <family val="2"/>
          </rPr>
          <t>In some cases, due to the nature of the requirements of some Performance Based Incentive programs, project owners are unable to maximize the full revenue stream of the incentive. For example, in the case of the Federal Production Tax Credit (PTC), the project owner may not have sufficienct tax appetite to fully utilize the tax credits. 
This input cell would allow the modeler to account for the owner's inability to fully utilize the PTC and/or the reduction of the PTC (a "haircut") due to the presence of subsidized (below market interest rate) financing.
Incentive "availability" will likely be a factor if this cell is being used to model the cash-based Renewable Energy Production Incentive (REPI).  The REPI program has historically been underfunded; available monies are allocated pro rata among eligible projects.  In this case, the value entered in this cell should reflect the user's expectation of the fraction of the face value REPI payment that will be available over the applicable incentive term.
Input must be between 0% to 100%.</t>
        </r>
      </text>
    </comment>
    <comment ref="F28" authorId="0" shapeId="0" xr:uid="{00000000-0006-0000-0400-00002E000000}">
      <text>
        <r>
          <rPr>
            <b/>
            <sz val="8"/>
            <color indexed="81"/>
            <rFont val="Tahoma"/>
            <family val="2"/>
          </rPr>
          <t>See "unit" definitions at the bottom of this worksheet.</t>
        </r>
        <r>
          <rPr>
            <sz val="8"/>
            <color indexed="81"/>
            <rFont val="Tahoma"/>
            <family val="2"/>
          </rPr>
          <t xml:space="preserve">
</t>
        </r>
      </text>
    </comment>
    <comment ref="S28" authorId="0" shapeId="0" xr:uid="{00000000-0006-0000-0400-00002F000000}">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I29" authorId="0" shapeId="0" xr:uid="{00000000-0006-0000-0400-000030000000}">
      <text>
        <r>
          <rPr>
            <b/>
            <sz val="14"/>
            <color indexed="81"/>
            <rFont val="Tahoma"/>
            <family val="2"/>
          </rPr>
          <t>Note:</t>
        </r>
        <r>
          <rPr>
            <sz val="14"/>
            <color indexed="81"/>
            <rFont val="Tahoma"/>
            <family val="2"/>
          </rPr>
          <t xml:space="preserve">
Select either "Simple" or "Intermediate" O&amp;M expense detail using the drop-down menu to the right.
</t>
        </r>
        <r>
          <rPr>
            <sz val="8"/>
            <color indexed="81"/>
            <rFont val="Tahoma"/>
            <family val="2"/>
          </rPr>
          <t xml:space="preserve">
</t>
        </r>
      </text>
    </comment>
    <comment ref="I30" authorId="1" shapeId="0" xr:uid="{00000000-0006-0000-0400-000031000000}">
      <text>
        <r>
          <rPr>
            <b/>
            <sz val="14"/>
            <color indexed="81"/>
            <rFont val="Tahoma"/>
            <family val="2"/>
          </rPr>
          <t>Note:</t>
        </r>
        <r>
          <rPr>
            <sz val="14"/>
            <color indexed="81"/>
            <rFont val="Tahoma"/>
            <family val="2"/>
          </rPr>
          <t xml:space="preserve">
If "Simple" is selected in the cell above, then this input should reflect the </t>
        </r>
        <r>
          <rPr>
            <b/>
            <u/>
            <sz val="14"/>
            <color indexed="81"/>
            <rFont val="Tahoma"/>
            <family val="2"/>
          </rPr>
          <t>total</t>
        </r>
        <r>
          <rPr>
            <sz val="14"/>
            <color indexed="81"/>
            <rFont val="Tahoma"/>
            <family val="2"/>
          </rPr>
          <t xml:space="preserve"> expected </t>
        </r>
        <r>
          <rPr>
            <b/>
            <u/>
            <sz val="14"/>
            <color indexed="81"/>
            <rFont val="Tahoma"/>
            <family val="2"/>
          </rPr>
          <t>fixed</t>
        </r>
        <r>
          <rPr>
            <sz val="14"/>
            <color indexed="81"/>
            <rFont val="Tahoma"/>
            <family val="2"/>
          </rPr>
          <t xml:space="preserve"> cost of project operations and maintenance, in $/kW-yr.  This </t>
        </r>
        <r>
          <rPr>
            <u/>
            <sz val="14"/>
            <color indexed="81"/>
            <rFont val="Tahoma"/>
            <family val="2"/>
          </rPr>
          <t>includes</t>
        </r>
        <r>
          <rPr>
            <sz val="14"/>
            <color indexed="81"/>
            <rFont val="Tahoma"/>
            <family val="2"/>
          </rPr>
          <t xml:space="preserve"> the insurance, project management, property tax (or payment in lieu thereof), land lease, and royalty expenses which would have been broken out separately in the "Intermediate" case.  Other labor and spare parts should also be included in this estimate.
If the user has obtained O&amp;M expense estimates from a third-party, it is critical to understand which costs have been included.  If the user is not certain that all of the above-listed expenses are included in the fixed cost estimate, then the "Intermediate" approach should be used and these expenses should be entered separately.
If "Intermediate" is selected, then this input should reflect  the expected annual fixed O&amp;M cost before taking into account the additional listed expenses, which are entered below. 
In all cases, fixed O&amp;M would include - among others - the ongoing cost of obtaining daily, weekly or monthly production estimates based on weather and other factors.
Input value must be greater than zero. 
</t>
        </r>
      </text>
    </comment>
    <comment ref="S30" authorId="1" shapeId="0" xr:uid="{00000000-0006-0000-0400-000032000000}">
      <text>
        <r>
          <rPr>
            <b/>
            <sz val="14"/>
            <color indexed="81"/>
            <rFont val="Tahoma"/>
            <family val="2"/>
          </rPr>
          <t xml:space="preserve">Note:
</t>
        </r>
        <r>
          <rPr>
            <sz val="14"/>
            <color indexed="81"/>
            <rFont val="Tahoma"/>
            <family val="2"/>
          </rPr>
          <t xml:space="preserve">Some renewable energy projects may be eligible for other federal grants as well, such as funding from the U.S. Department of Agriculture. This input cell can be used to capture those funding opportunities, some of which are outlined online at:
http://dsireusa.org/incentives/index.cfm?state=us&amp;re=1&amp;EE=1
*See bottom of introduction page for a list of links
Input cannot be less than zero.
</t>
        </r>
      </text>
    </comment>
    <comment ref="I31" authorId="1" shapeId="0" xr:uid="{00000000-0006-0000-0400-000033000000}">
      <text>
        <r>
          <rPr>
            <b/>
            <sz val="14"/>
            <color indexed="81"/>
            <rFont val="Tahoma"/>
            <family val="2"/>
          </rPr>
          <t>Note:</t>
        </r>
        <r>
          <rPr>
            <sz val="14"/>
            <color indexed="81"/>
            <rFont val="Tahoma"/>
            <family val="2"/>
          </rPr>
          <t xml:space="preserve">
This cell provides the user with the option of accounting for O&amp;M expenses (such as labor and spare parts) which are more easily estimated and modeled on a variable, cents per kWh basis.  
If "Simple" is selected above, then this cell should also take into account variable costs, such as royalties, </t>
        </r>
        <r>
          <rPr>
            <b/>
            <u/>
            <sz val="14"/>
            <color indexed="81"/>
            <rFont val="Tahoma"/>
            <family val="2"/>
          </rPr>
          <t>if</t>
        </r>
        <r>
          <rPr>
            <sz val="14"/>
            <color indexed="81"/>
            <rFont val="Tahoma"/>
            <family val="2"/>
          </rPr>
          <t xml:space="preserve"> such annual expenses are not already accounted for in the fixed cost input above.
Input cannot be less than zero.
</t>
        </r>
      </text>
    </comment>
    <comment ref="S31" authorId="0" shapeId="0" xr:uid="{00000000-0006-0000-0400-000034000000}">
      <text>
        <r>
          <rPr>
            <b/>
            <sz val="14"/>
            <color indexed="81"/>
            <rFont val="Tahoma"/>
            <family val="2"/>
          </rPr>
          <t xml:space="preserve">Note:
</t>
        </r>
        <r>
          <rPr>
            <sz val="14"/>
            <color indexed="81"/>
            <rFont val="Tahoma"/>
            <family val="2"/>
          </rPr>
          <t xml:space="preserve">Select here whether federal grants (other than the section 1603 payment in lieu of the ITC/PTC) are treated as taxable income. If no, depreciation basis is reduced. 
</t>
        </r>
      </text>
    </comment>
    <comment ref="I32" authorId="0" shapeId="0" xr:uid="{00000000-0006-0000-0400-000035000000}">
      <text>
        <r>
          <rPr>
            <b/>
            <sz val="14"/>
            <color indexed="81"/>
            <rFont val="Tahoma"/>
            <family val="2"/>
          </rPr>
          <t>Note:</t>
        </r>
        <r>
          <rPr>
            <sz val="14"/>
            <color indexed="81"/>
            <rFont val="Tahoma"/>
            <family val="2"/>
          </rPr>
          <t xml:space="preserve">
This inflation rate applies to both fixed and variable O&amp;M expense, insurance, and project management costs entered above, if applicable. 
The model allows the user to specify an inflation assumption for an "initial period" and a second inflation assumption "thereafter." These inputs can be used to account for inflation which might be fixed during an initial O&amp;M service contract, but are unknown thereafter.  The final year of the "initial period" is  user-defined (e.g. final year of an O&amp;M service contract). 
The purpose of this feature is also to recognize that inflationary trends may change over time, or that some projects may not expect inflation of O&amp;M expenses for the first several years, but may expect inflation thereafter.
This inflation rate does not apply to PILOT or Royalty costs. Input cannot be less than zero.
</t>
        </r>
      </text>
    </comment>
    <comment ref="I33" authorId="0" shapeId="0" xr:uid="{00000000-0006-0000-0400-000036000000}">
      <text>
        <r>
          <rPr>
            <b/>
            <sz val="14"/>
            <color indexed="81"/>
            <rFont val="Tahoma"/>
            <family val="2"/>
          </rPr>
          <t xml:space="preserve">Note:
</t>
        </r>
        <r>
          <rPr>
            <sz val="14"/>
            <color indexed="81"/>
            <rFont val="Tahoma"/>
            <family val="2"/>
          </rPr>
          <t xml:space="preserve">This feature allows the user to assume that the rate at which expenses change over time is not constant. This cell provides the year in which the first inflation period ends.
Input cannot be less than zero.
</t>
        </r>
      </text>
    </comment>
    <comment ref="P33" authorId="0" shapeId="0" xr:uid="{00000000-0006-0000-0400-000037000000}">
      <text>
        <r>
          <rPr>
            <b/>
            <sz val="8"/>
            <color indexed="81"/>
            <rFont val="Tahoma"/>
            <family val="2"/>
          </rPr>
          <t>See "unit" definitions at the bottom of this worksheet.</t>
        </r>
        <r>
          <rPr>
            <sz val="8"/>
            <color indexed="81"/>
            <rFont val="Tahoma"/>
            <family val="2"/>
          </rPr>
          <t xml:space="preserve">
</t>
        </r>
      </text>
    </comment>
    <comment ref="I34" authorId="0" shapeId="0" xr:uid="{00000000-0006-0000-0400-000038000000}">
      <text>
        <r>
          <rPr>
            <b/>
            <sz val="14"/>
            <color indexed="81"/>
            <rFont val="Tahoma"/>
            <family val="2"/>
          </rPr>
          <t xml:space="preserve">Note:
</t>
        </r>
        <r>
          <rPr>
            <sz val="14"/>
            <color indexed="81"/>
            <rFont val="Tahoma"/>
            <family val="2"/>
          </rPr>
          <t xml:space="preserve">This cell provides the inflation rate for the remainder of the project's useful life.
Input must be greater than zero.
</t>
        </r>
      </text>
    </comment>
    <comment ref="S34" authorId="1" shapeId="0" xr:uid="{00000000-0006-0000-0400-000039000000}">
      <text>
        <r>
          <rPr>
            <b/>
            <sz val="14"/>
            <color indexed="81"/>
            <rFont val="Tahoma"/>
            <family val="2"/>
          </rPr>
          <t xml:space="preserve">Note:
</t>
        </r>
        <r>
          <rPr>
            <sz val="14"/>
            <color indexed="81"/>
            <rFont val="Tahoma"/>
            <family val="2"/>
          </rPr>
          <t>This drop-down input cell allows the user to specify whether state incentives are cost-based (e.g. an investment tax credit) or performance-based (e.g. a PTC or cash payment). If no state incentive is available or useable by the modeled project, the user will select "Neither." The magnitude and terms of these incentives are set in the cells below.
For more information, a useful resource for researching federal and state incentives online is:  
http://dsireusa.org/
*See bottom of introduction page for a list of links</t>
        </r>
      </text>
    </comment>
    <comment ref="I35" authorId="1" shapeId="0" xr:uid="{00000000-0006-0000-0400-00003A000000}">
      <text>
        <r>
          <rPr>
            <b/>
            <sz val="14"/>
            <color indexed="81"/>
            <rFont val="Tahoma"/>
            <family val="2"/>
          </rPr>
          <t xml:space="preserve">Note:
</t>
        </r>
        <r>
          <rPr>
            <sz val="14"/>
            <color indexed="81"/>
            <rFont val="Tahoma"/>
            <family val="2"/>
          </rPr>
          <t xml:space="preserve">Project owners, or hosts, are required to carry insurance. This input accounts for the estimated cost of insuring the modeled power generating facility.
Input cannot be less than zero.
</t>
        </r>
      </text>
    </comment>
    <comment ref="S35" authorId="0" shapeId="0" xr:uid="{00000000-0006-0000-0400-00003B000000}">
      <text>
        <r>
          <rPr>
            <b/>
            <sz val="14"/>
            <color indexed="81"/>
            <rFont val="Tahoma"/>
            <family val="2"/>
          </rPr>
          <t xml:space="preserve">NOTE:
</t>
        </r>
        <r>
          <rPr>
            <sz val="14"/>
            <color indexed="81"/>
            <rFont val="Tahoma"/>
            <family val="2"/>
          </rPr>
          <t xml:space="preserve">The maximum potential Investment Tax Credit (ITC) benefit is assumed to be 30% of those project costs which are depreciable on the 5-year MACRS schedule.
</t>
        </r>
      </text>
    </comment>
    <comment ref="I36" authorId="0" shapeId="0" xr:uid="{00000000-0006-0000-0400-00003C000000}">
      <text>
        <r>
          <rPr>
            <b/>
            <sz val="14"/>
            <color indexed="81"/>
            <rFont val="Tahoma"/>
            <family val="2"/>
          </rPr>
          <t xml:space="preserve">Note:
</t>
        </r>
        <r>
          <rPr>
            <sz val="14"/>
            <color indexed="81"/>
            <rFont val="Tahoma"/>
            <family val="2"/>
          </rPr>
          <t xml:space="preserve">This cell calculates the resulting dollar value cost of insurance based on the input above and the project installed cost (net of financing costs).  It is provided simply as a reference for the user.
</t>
        </r>
        <r>
          <rPr>
            <sz val="8"/>
            <color indexed="81"/>
            <rFont val="Tahoma"/>
            <family val="2"/>
          </rPr>
          <t xml:space="preserve">
</t>
        </r>
      </text>
    </comment>
    <comment ref="S36" authorId="0" shapeId="0" xr:uid="{00000000-0006-0000-0400-00003D000000}">
      <text>
        <r>
          <rPr>
            <b/>
            <sz val="14"/>
            <color indexed="81"/>
            <rFont val="Tahoma"/>
            <family val="2"/>
          </rPr>
          <t xml:space="preserve">NOTE:
</t>
        </r>
        <r>
          <rPr>
            <sz val="14"/>
            <color indexed="81"/>
            <rFont val="Tahoma"/>
            <family val="2"/>
          </rPr>
          <t xml:space="preserve">As a tax </t>
        </r>
        <r>
          <rPr>
            <u/>
            <sz val="14"/>
            <color indexed="81"/>
            <rFont val="Tahoma"/>
            <family val="2"/>
          </rPr>
          <t>credit</t>
        </r>
        <r>
          <rPr>
            <sz val="14"/>
            <color indexed="81"/>
            <rFont val="Tahoma"/>
            <family val="2"/>
          </rPr>
          <t>, the ITC is only usable by project owners with positive federal income tax liability.  
In cases where the owner's tax liability in the calendar year of the project's first commercial operation exceeds the ITC amount, the user may enter 100% in this field and assume full utilization of the ITC.
If the owner's tax liability is less than the available ITC, a % less than 100% must be entered in order to represent a less efficient utilization of this federal tax incentive.
Input must be betwee 0% and 100%.</t>
        </r>
      </text>
    </comment>
    <comment ref="I37" authorId="1" shapeId="0" xr:uid="{00000000-0006-0000-0400-00003E000000}">
      <text>
        <r>
          <rPr>
            <b/>
            <sz val="14"/>
            <color indexed="81"/>
            <rFont val="Tahoma"/>
            <family val="2"/>
          </rPr>
          <t>Note:</t>
        </r>
        <r>
          <rPr>
            <sz val="14"/>
            <color indexed="81"/>
            <rFont val="Tahoma"/>
            <family val="2"/>
          </rPr>
          <t xml:space="preserve">
"Project Management" accounts for the cost of staff time related to managing the project's Power Purchase Agreements, grid integration, and periodic reporting to the system operator and policymakers.  
Input cannot be less than zero.
</t>
        </r>
      </text>
    </comment>
    <comment ref="S37" authorId="0" shapeId="0" xr:uid="{00000000-0006-0000-0400-00003F000000}">
      <text>
        <r>
          <rPr>
            <b/>
            <sz val="14"/>
            <color indexed="81"/>
            <rFont val="Tahoma"/>
            <family val="2"/>
          </rPr>
          <t xml:space="preserve">Note:
</t>
        </r>
        <r>
          <rPr>
            <sz val="14"/>
            <color indexed="81"/>
            <rFont val="Tahoma"/>
            <family val="2"/>
          </rPr>
          <t>Specifies whether the available ITC is realized in a single year or over multiple years. This input will be specified by state-specific law or regulation.
A good resource on available state incentives is:  
http://dsireusa.org/
*See bottom of introduction page for a list of links
Input must be greater than 1 and less than the Project Useful Life.</t>
        </r>
      </text>
    </comment>
    <comment ref="I38" authorId="1" shapeId="0" xr:uid="{00000000-0006-0000-0400-000040000000}">
      <text>
        <r>
          <rPr>
            <b/>
            <sz val="14"/>
            <color indexed="81"/>
            <rFont val="Tahoma"/>
            <family val="2"/>
          </rPr>
          <t xml:space="preserve">Note:
</t>
        </r>
        <r>
          <rPr>
            <sz val="14"/>
            <color indexed="81"/>
            <rFont val="Tahoma"/>
            <family val="2"/>
          </rPr>
          <t xml:space="preserve">"Property Tax or PILOT" accounts for costs associated with any local taxes incurred by the project. Many states offer tax exemptions for renewable energy systems; to check your local applicability, please visit: http://dsireusa.org/ 
This line can also be used to account for any PILOTs or Payment in Leiu of Taxes. Developers often negotiate a PILOT with the local community to secure a fixed, predictable payment that serves both parties appropriately. This model allows the user to input a year-one Property Tax or PILOT value along with an annual property tax adjsutment factor (see next cell down). As a result, taxes can be modeled as flat, increasing, or decreasing annually depending on the value entered in the adjustment factor cell below.
Input cannot be less than zero.
</t>
        </r>
      </text>
    </comment>
    <comment ref="S38" authorId="0" shapeId="0" xr:uid="{00000000-0006-0000-0400-000041000000}">
      <text>
        <r>
          <rPr>
            <b/>
            <sz val="14"/>
            <color indexed="81"/>
            <rFont val="Tahoma"/>
            <family val="2"/>
          </rPr>
          <t xml:space="preserve">Note:
</t>
        </r>
        <r>
          <rPr>
            <sz val="14"/>
            <color indexed="81"/>
            <rFont val="Tahoma"/>
            <family val="2"/>
          </rPr>
          <t xml:space="preserve">Calculates the dollar value of the State Investment Tax Credit, if applicable.
</t>
        </r>
      </text>
    </comment>
    <comment ref="I39" authorId="1" shapeId="0" xr:uid="{00000000-0006-0000-0400-000042000000}">
      <text>
        <r>
          <rPr>
            <b/>
            <sz val="14"/>
            <color indexed="81"/>
            <rFont val="Tahoma"/>
            <family val="2"/>
          </rPr>
          <t xml:space="preserve">Note:
</t>
        </r>
        <r>
          <rPr>
            <sz val="14"/>
            <color indexed="81"/>
            <rFont val="Tahoma"/>
            <family val="2"/>
          </rPr>
          <t xml:space="preserve">The Annual Property Tax Adjustment Factor allows the user to specify whether the Year One tax (or PILOT) value will remain fixed and flat, will decrease (a negative percentage value entered in this cell) or increase (a positive percentage value entered in this cell) over time.  </t>
        </r>
        <r>
          <rPr>
            <sz val="8"/>
            <color indexed="81"/>
            <rFont val="Tahoma"/>
            <family val="2"/>
          </rPr>
          <t xml:space="preserve">
</t>
        </r>
      </text>
    </comment>
    <comment ref="S39" authorId="0" shapeId="0" xr:uid="{00000000-0006-0000-0400-000043000000}">
      <text>
        <r>
          <rPr>
            <b/>
            <sz val="14"/>
            <color indexed="81"/>
            <rFont val="Tahoma"/>
            <family val="2"/>
          </rPr>
          <t xml:space="preserve">Note: </t>
        </r>
        <r>
          <rPr>
            <sz val="14"/>
            <color indexed="81"/>
            <rFont val="Tahoma"/>
            <family val="2"/>
          </rPr>
          <t xml:space="preserve">
This input cell, the "Performance Based Incentive" or "PBI" is another potential incentive available to some specific projects. The PBI would be separate from a feed-in-tariff, but acts similarly in that it is per unit of production (typically kWh) income to a project.
Some examples of PBIs include the Federal Production Tax Credit (applicable to private projects with tax appetites) and the Federal Renewable Energy Production Incentive (REPI), historically available to some public projects.
</t>
        </r>
      </text>
    </comment>
    <comment ref="I40" authorId="1" shapeId="0" xr:uid="{00000000-0006-0000-0400-000044000000}">
      <text>
        <r>
          <rPr>
            <b/>
            <sz val="14"/>
            <color indexed="81"/>
            <rFont val="Tahoma"/>
            <family val="2"/>
          </rPr>
          <t xml:space="preserve">Note:
</t>
        </r>
        <r>
          <rPr>
            <sz val="14"/>
            <color indexed="81"/>
            <rFont val="Tahoma"/>
            <family val="2"/>
          </rPr>
          <t xml:space="preserve">The Land Lease input represents </t>
        </r>
        <r>
          <rPr>
            <b/>
            <u/>
            <sz val="14"/>
            <color indexed="81"/>
            <rFont val="Tahoma"/>
            <family val="2"/>
          </rPr>
          <t>fixed payments</t>
        </r>
        <r>
          <rPr>
            <sz val="14"/>
            <color indexed="81"/>
            <rFont val="Tahoma"/>
            <family val="2"/>
          </rPr>
          <t xml:space="preserve"> to the site host (and possibly other affected parties) for the use of the land on which the project is located.  
Variable royalty payments may be applied in addition to, or in lieu of, the land lease payment through the "Royalties" input below, if applicable.  
Input cannot be less than zero.
</t>
        </r>
      </text>
    </comment>
    <comment ref="S40" authorId="0" shapeId="0" xr:uid="{00000000-0006-0000-0400-000045000000}">
      <text>
        <r>
          <rPr>
            <b/>
            <sz val="14"/>
            <color indexed="81"/>
            <rFont val="Tahoma"/>
            <family val="2"/>
          </rPr>
          <t xml:space="preserve">Note:
</t>
        </r>
        <r>
          <rPr>
            <sz val="14"/>
            <color indexed="81"/>
            <rFont val="Tahoma"/>
            <family val="2"/>
          </rPr>
          <t xml:space="preserve">Impacts tax treatment of PBI if owner is a taxable entity.
</t>
        </r>
      </text>
    </comment>
    <comment ref="I41" authorId="1" shapeId="0" xr:uid="{00000000-0006-0000-0400-000046000000}">
      <text>
        <r>
          <rPr>
            <b/>
            <sz val="14"/>
            <color indexed="81"/>
            <rFont val="Tahoma"/>
            <family val="2"/>
          </rPr>
          <t xml:space="preserve">Note:
</t>
        </r>
        <r>
          <rPr>
            <sz val="14"/>
            <color indexed="81"/>
            <rFont val="Tahoma"/>
            <family val="2"/>
          </rPr>
          <t xml:space="preserve">The royalties input accounts for </t>
        </r>
        <r>
          <rPr>
            <b/>
            <u/>
            <sz val="14"/>
            <color indexed="81"/>
            <rFont val="Tahoma"/>
            <family val="2"/>
          </rPr>
          <t>variable</t>
        </r>
        <r>
          <rPr>
            <sz val="14"/>
            <color indexed="81"/>
            <rFont val="Tahoma"/>
            <family val="2"/>
          </rPr>
          <t xml:space="preserve"> payments to site hosts, neighbors, partners, or other parties which may have a stake in the project and which are NOT covered by the fixed "Land Lease" payment. 
Fixed payments may be applied in addition to, or in lieu of, the royalty payment through the "Land Lease" input above, if applicable.  
</t>
        </r>
        <r>
          <rPr>
            <b/>
            <sz val="14"/>
            <color indexed="81"/>
            <rFont val="Tahoma"/>
            <family val="2"/>
          </rPr>
          <t>Inflation is NOT applied to this input</t>
        </r>
        <r>
          <rPr>
            <sz val="14"/>
            <color indexed="81"/>
            <rFont val="Tahoma"/>
            <family val="2"/>
          </rPr>
          <t xml:space="preserve">. However, if tariff escalation is selected, then the assumed royalty payment will increase over time since it is calculated as a function of revenue over time.
If the modeled project's royalty payments are not the same over time, then an average annual royalty payment should be calculated externally and entered in this cell. 
This input cannot be less than zero.
</t>
        </r>
        <r>
          <rPr>
            <sz val="8"/>
            <color indexed="81"/>
            <rFont val="Tahoma"/>
            <family val="2"/>
          </rPr>
          <t xml:space="preserve">
</t>
        </r>
      </text>
    </comment>
    <comment ref="S41" authorId="0" shapeId="0" xr:uid="{00000000-0006-0000-0400-000047000000}">
      <text>
        <r>
          <rPr>
            <b/>
            <sz val="14"/>
            <color indexed="81"/>
            <rFont val="Tahoma"/>
            <family val="2"/>
          </rPr>
          <t xml:space="preserve">Note: </t>
        </r>
        <r>
          <rPr>
            <sz val="14"/>
            <color indexed="81"/>
            <rFont val="Tahoma"/>
            <family val="2"/>
          </rPr>
          <t xml:space="preserve">
This cell denotes the value of the Performance Based Incentive applicable to the project's first year of commercial operation. In some cases, this value will need to be calculated external to the model if such PBI is derived from a "base year" and specified inflation index. The following cells can be used to account for inflation and the maximum term of eligibility.
Input cannot be less than zero.
</t>
        </r>
      </text>
    </comment>
    <comment ref="I42" authorId="0" shapeId="0" xr:uid="{00000000-0006-0000-0400-000048000000}">
      <text>
        <r>
          <rPr>
            <b/>
            <sz val="14"/>
            <color indexed="81"/>
            <rFont val="Tahoma"/>
            <family val="2"/>
          </rPr>
          <t xml:space="preserve">Note:
</t>
        </r>
        <r>
          <rPr>
            <sz val="14"/>
            <color indexed="81"/>
            <rFont val="Tahoma"/>
            <family val="2"/>
          </rPr>
          <t xml:space="preserve">This cell calculates the resulting dollar value cost of royalties paid to landowners or other stakeholders based on the input above and project revenue.  It is provided simply as a reference for the user.
</t>
        </r>
        <r>
          <rPr>
            <sz val="8"/>
            <color indexed="81"/>
            <rFont val="Tahoma"/>
            <family val="2"/>
          </rPr>
          <t xml:space="preserve">
</t>
        </r>
      </text>
    </comment>
    <comment ref="S42" authorId="0" shapeId="0" xr:uid="{00000000-0006-0000-0400-000049000000}">
      <text>
        <r>
          <rPr>
            <b/>
            <sz val="14"/>
            <color indexed="81"/>
            <rFont val="Tahoma"/>
            <family val="2"/>
          </rPr>
          <t>Note:</t>
        </r>
        <r>
          <rPr>
            <sz val="14"/>
            <color indexed="81"/>
            <rFont val="Tahoma"/>
            <family val="2"/>
          </rPr>
          <t xml:space="preserve">
This is the length of time that a project would be eligible for any Performance Based Incentives outlined in the cell immediately above. For example, the Federal Renewable Energy Production Incentive and Production Tax Credit incentives are available for the first 10 years of project operation.
Input cannot be less than zero.
</t>
        </r>
      </text>
    </comment>
    <comment ref="S43" authorId="0" shapeId="0" xr:uid="{00000000-0006-0000-0400-00004A000000}">
      <text>
        <r>
          <rPr>
            <b/>
            <sz val="14"/>
            <color indexed="81"/>
            <rFont val="Tahoma"/>
            <family val="2"/>
          </rPr>
          <t xml:space="preserve">Note:
</t>
        </r>
        <r>
          <rPr>
            <sz val="14"/>
            <color indexed="81"/>
            <rFont val="Tahoma"/>
            <family val="2"/>
          </rPr>
          <t xml:space="preserve">Performance Based Incentives are often adjusted to account for inflation. For example, the Federal Production Tax Credit (PTC) is adjusted each year to account for changes in the GDP IPD index. This cell can be used as a proxy for the inflation that would apply to any PBI incentive entered above.
This input cannot be left blank.
</t>
        </r>
      </text>
    </comment>
    <comment ref="F44" authorId="0" shapeId="0" xr:uid="{00000000-0006-0000-0400-00004B000000}">
      <text>
        <r>
          <rPr>
            <b/>
            <sz val="8"/>
            <color indexed="81"/>
            <rFont val="Tahoma"/>
            <family val="2"/>
          </rPr>
          <t>See "unit" definitions at the bottom of this worksheet.</t>
        </r>
        <r>
          <rPr>
            <sz val="8"/>
            <color indexed="81"/>
            <rFont val="Tahoma"/>
            <family val="2"/>
          </rPr>
          <t xml:space="preserve">
</t>
        </r>
      </text>
    </comment>
    <comment ref="S44" authorId="0" shapeId="0" xr:uid="{00000000-0006-0000-0400-00004C000000}">
      <text>
        <r>
          <rPr>
            <b/>
            <sz val="14"/>
            <color indexed="81"/>
            <rFont val="Tahoma"/>
            <family val="2"/>
          </rPr>
          <t xml:space="preserve">Note:
</t>
        </r>
        <r>
          <rPr>
            <sz val="14"/>
            <color indexed="81"/>
            <rFont val="Tahoma"/>
            <family val="2"/>
          </rPr>
          <t xml:space="preserve">In some cases, due to the nature of the requirements of some Performance Based Incentive programs, project owners are unable to maximize the full revenue stream of the incentive. For example, in the case of the Federal Production Tax Credit (PTC), the project owner may not have sufficienct tax appetite to fully utilize the tax credits. 
This input cell would allow the modeler to account for the owner's inability to fully utilize the PTC and/or the reduction of the PTC (a "haircut") due to the presence of subsidized (below market interest rate) financing.
Input must be between 0% and 100%.
</t>
        </r>
        <r>
          <rPr>
            <sz val="8"/>
            <color indexed="81"/>
            <rFont val="Tahoma"/>
            <family val="2"/>
          </rPr>
          <t xml:space="preserve">
</t>
        </r>
      </text>
    </comment>
    <comment ref="I45" authorId="0" shapeId="0" xr:uid="{00000000-0006-0000-0400-00004D000000}">
      <text>
        <r>
          <rPr>
            <b/>
            <sz val="14"/>
            <color indexed="81"/>
            <rFont val="Tahoma"/>
            <family val="2"/>
          </rPr>
          <t xml:space="preserve">Note:
</t>
        </r>
        <r>
          <rPr>
            <sz val="14"/>
            <color indexed="81"/>
            <rFont val="Tahoma"/>
            <family val="2"/>
          </rPr>
          <t xml:space="preserve">The # of months from construction start to commercial operation. This input cannot be less than zero.
</t>
        </r>
      </text>
    </comment>
    <comment ref="S45" authorId="0" shapeId="0" xr:uid="{00000000-0006-0000-0400-00004E000000}">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I46" authorId="0" shapeId="0" xr:uid="{00000000-0006-0000-0400-00004F000000}">
      <text>
        <r>
          <rPr>
            <b/>
            <sz val="14"/>
            <color indexed="81"/>
            <rFont val="Tahoma"/>
            <family val="2"/>
          </rPr>
          <t xml:space="preserve">Note:
</t>
        </r>
        <r>
          <rPr>
            <sz val="14"/>
            <color indexed="81"/>
            <rFont val="Tahoma"/>
            <family val="2"/>
          </rPr>
          <t xml:space="preserve">The annual interest rate on construction debt. This input cannot be less than zero.
</t>
        </r>
      </text>
    </comment>
    <comment ref="I47" authorId="0" shapeId="0" xr:uid="{00000000-0006-0000-0400-000050000000}">
      <text>
        <r>
          <rPr>
            <b/>
            <sz val="14"/>
            <color indexed="81"/>
            <rFont val="Tahoma"/>
            <family val="2"/>
          </rPr>
          <t xml:space="preserve">Note:
</t>
        </r>
        <r>
          <rPr>
            <sz val="14"/>
            <color indexed="81"/>
            <rFont val="Tahoma"/>
            <family val="2"/>
          </rPr>
          <t xml:space="preserve">A calculated value showing the interest accrued during the construction period. Rather than requiring the user to define a detailed construction draw-down schedule, this calculation makes the simplifying assumption that the total project cost is spent in equal parts in each month of the construction period.
IDC is calculated on total project cost, assuming that any grants are collected after construction financing is repaid at time of permanent financing.
This cell is only used with the "Intermediate" and "Complex" capital cost options. The "Simple" capital cost option assumes that all project costs, including IDC, are included in the single input.
</t>
        </r>
      </text>
    </comment>
    <comment ref="S47" authorId="0" shapeId="0" xr:uid="{00000000-0006-0000-0400-000051000000}">
      <text>
        <r>
          <rPr>
            <b/>
            <sz val="14"/>
            <color indexed="81"/>
            <rFont val="Tahoma"/>
            <family val="2"/>
          </rPr>
          <t xml:space="preserve">Note:
</t>
        </r>
        <r>
          <rPr>
            <sz val="14"/>
            <color indexed="81"/>
            <rFont val="Tahoma"/>
            <family val="2"/>
          </rPr>
          <t xml:space="preserve">Include here the total dollar value of any state-specific cash grants or rebates.
Input cannot be less than zero.
</t>
        </r>
      </text>
    </comment>
    <comment ref="S48" authorId="0" shapeId="0" xr:uid="{00000000-0006-0000-0400-000052000000}">
      <text>
        <r>
          <rPr>
            <b/>
            <sz val="14"/>
            <color indexed="81"/>
            <rFont val="Tahoma"/>
            <family val="2"/>
          </rPr>
          <t xml:space="preserve">Note:
</t>
        </r>
        <r>
          <rPr>
            <sz val="14"/>
            <color indexed="81"/>
            <rFont val="Tahoma"/>
            <family val="2"/>
          </rPr>
          <t xml:space="preserve">Select here whether state grants are treated as taxable income.  If no, depreciation basis is reduced. 
</t>
        </r>
      </text>
    </comment>
    <comment ref="F49" authorId="0" shapeId="0" xr:uid="{00000000-0006-0000-0400-000053000000}">
      <text>
        <r>
          <rPr>
            <b/>
            <sz val="8"/>
            <color indexed="81"/>
            <rFont val="Tahoma"/>
            <family val="2"/>
          </rPr>
          <t>See "unit" definitions at the bottom of this worksheet.</t>
        </r>
        <r>
          <rPr>
            <sz val="8"/>
            <color indexed="81"/>
            <rFont val="Tahoma"/>
            <family val="2"/>
          </rPr>
          <t xml:space="preserve">
</t>
        </r>
      </text>
    </comment>
    <comment ref="I50" authorId="0" shapeId="0" xr:uid="{00000000-0006-0000-0400-000054000000}">
      <text>
        <r>
          <rPr>
            <b/>
            <sz val="14"/>
            <color indexed="81"/>
            <rFont val="Tahoma"/>
            <family val="2"/>
          </rPr>
          <t xml:space="preserve">Note:
</t>
        </r>
        <r>
          <rPr>
            <sz val="14"/>
            <color indexed="81"/>
            <rFont val="Tahoma"/>
            <family val="2"/>
          </rPr>
          <t xml:space="preserve">For ease of use and comprehension by a wide range of stakeholders, this model allows the user to define the capital structure, and relies on mortgage-style amortization of the project debt. The "% Debt" input specifies the portion of funds borrowed, as a percentage of the total "hard costs." Equity is assumed to fund the remaining hard costs PLUS all "soft costs" (e.g. transaction costs and funding of initial reserve accounts, if applicable).  This input cannot be less than zero.
Where maximum sustainable leverage is desired, the user must manually adjust the "% Debt" entry upward to the highest point </t>
        </r>
        <r>
          <rPr>
            <b/>
            <i/>
            <sz val="14"/>
            <color indexed="81"/>
            <rFont val="Tahoma"/>
            <family val="2"/>
          </rPr>
          <t>before</t>
        </r>
        <r>
          <rPr>
            <sz val="14"/>
            <color indexed="81"/>
            <rFont val="Tahoma"/>
            <family val="2"/>
          </rPr>
          <t xml:space="preserve"> the DSCRs no longer "Pass."
If a specific % Debt is desired, </t>
        </r>
        <r>
          <rPr>
            <u/>
            <sz val="14"/>
            <color indexed="81"/>
            <rFont val="Tahoma"/>
            <family val="2"/>
          </rPr>
          <t>and such % is higher than the maximum sustainable debt</t>
        </r>
        <r>
          <rPr>
            <sz val="14"/>
            <color indexed="81"/>
            <rFont val="Tahoma"/>
            <family val="2"/>
          </rPr>
          <t xml:space="preserve"> (such that it causes the DSCR to "Fail"), then the user must define the % Debt and then manually adjust the "Target After-Tax Equity IRR" upward until the DSCRs are met.  The user should </t>
        </r>
        <r>
          <rPr>
            <b/>
            <sz val="14"/>
            <color indexed="81"/>
            <rFont val="Tahoma"/>
            <family val="2"/>
          </rPr>
          <t>take note</t>
        </r>
        <r>
          <rPr>
            <sz val="14"/>
            <color indexed="81"/>
            <rFont val="Tahoma"/>
            <family val="2"/>
          </rPr>
          <t xml:space="preserve"> that when leverage becomes very high (and the corresponding equity contribution low), the "Target After-Tax Equity IRR" will need to be adjusted to levels exceeding typical commercial returns </t>
        </r>
        <r>
          <rPr>
            <u/>
            <sz val="14"/>
            <color indexed="81"/>
            <rFont val="Tahoma"/>
            <family val="2"/>
          </rPr>
          <t>in order to maintain the DSCR ratio</t>
        </r>
        <r>
          <rPr>
            <sz val="14"/>
            <color indexed="81"/>
            <rFont val="Tahoma"/>
            <family val="2"/>
          </rPr>
          <t xml:space="preserve"> on such high debt levels.  For this reason, it is not recommended that users solve for the COE associated with a % Debt that is beyond the maximum sustainable leverage.
If a project is expected to be funded either by a pool of corporate funds or back-leveraged after commercial operation, the user might elect to enter 0% in the "% Debt" cell and enter a weighted average cost of capital (WACC) in the "Target After-Tax Equity IRR" cell.
</t>
        </r>
      </text>
    </comment>
    <comment ref="I51" authorId="1" shapeId="0" xr:uid="{00000000-0006-0000-0400-000055000000}">
      <text>
        <r>
          <rPr>
            <b/>
            <sz val="14"/>
            <color indexed="81"/>
            <rFont val="Tahoma"/>
            <family val="2"/>
          </rPr>
          <t>Note:</t>
        </r>
        <r>
          <rPr>
            <sz val="14"/>
            <color indexed="81"/>
            <rFont val="Tahoma"/>
            <family val="2"/>
          </rPr>
          <t xml:space="preserve">
Debt "tenor" (also casually referred to as "term"), is the number of years in the debt repayment schedule.   
Caution: If the project will utilize debt, this value must be greater than zero but less than or equal to the total FIT contract duration.
</t>
        </r>
      </text>
    </comment>
    <comment ref="S51" authorId="0" shapeId="0" xr:uid="{00000000-0006-0000-0400-000056000000}">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52" authorId="1" shapeId="0" xr:uid="{00000000-0006-0000-0400-000057000000}">
      <text>
        <r>
          <rPr>
            <b/>
            <sz val="14"/>
            <color indexed="81"/>
            <rFont val="Tahoma"/>
            <family val="2"/>
          </rPr>
          <t>Note:</t>
        </r>
        <r>
          <rPr>
            <sz val="14"/>
            <color indexed="81"/>
            <rFont val="Tahoma"/>
            <family val="2"/>
          </rPr>
          <t xml:space="preserve">
The all-in interest rate is the financing rate provided by the bank or other debt investor.
This input cannot be less than zero.
</t>
        </r>
      </text>
    </comment>
    <comment ref="S52" authorId="0" shapeId="0" xr:uid="{00000000-0006-0000-0400-000058000000}">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53" authorId="0" shapeId="0" xr:uid="{00000000-0006-0000-0400-000059000000}">
      <text>
        <r>
          <rPr>
            <b/>
            <sz val="14"/>
            <color indexed="81"/>
            <rFont val="Tahoma"/>
            <family val="2"/>
          </rPr>
          <t xml:space="preserve">Note:
</t>
        </r>
        <r>
          <rPr>
            <sz val="14"/>
            <color indexed="81"/>
            <rFont val="Tahoma"/>
            <family val="2"/>
          </rPr>
          <t xml:space="preserve">A one-time fee collected by the lender and calculated as a % of the total loan amount. This value is typically between 1% and 4%.
This input cannot be less than zero.
</t>
        </r>
      </text>
    </comment>
    <comment ref="S53" authorId="0" shapeId="0" xr:uid="{00000000-0006-0000-0400-00005A000000}">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54" authorId="1" shapeId="0" xr:uid="{00000000-0006-0000-0400-00005B000000}">
      <text>
        <r>
          <rPr>
            <b/>
            <sz val="14"/>
            <color indexed="81"/>
            <rFont val="Tahoma"/>
            <family val="2"/>
          </rPr>
          <t>Note:</t>
        </r>
        <r>
          <rPr>
            <sz val="14"/>
            <color indexed="81"/>
            <rFont val="Tahoma"/>
            <family val="2"/>
          </rPr>
          <t xml:space="preserve">
The annual Debt Service Coverage Ratio is calculated by dividing the sum of the annual principal and interest payment into that year's operating cash flow. Lenders will require the DSCR to demonstrate the project's ability to easily meet its annual debt service obligation.
Average DSCRs over the life of the loan typically range from 1.2 to 1.5 for private, commercially financed projects, or from 1.1 to 1.3 for publicly owned, bond-financed projects - depending on the level of reserves, or other surety, provided. 
The annual minimum DSCR will depend on the specific terms of the loan and the probability-weighting of the production estimate, but will likely be in the range of 1.0 to 1.3. This input must be greater than 1.
</t>
        </r>
      </text>
    </comment>
    <comment ref="S54" authorId="0" shapeId="0" xr:uid="{00000000-0006-0000-0400-00005C000000}">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55" authorId="0" shapeId="0" xr:uid="{00000000-0006-0000-0400-00005D000000}">
      <text>
        <r>
          <rPr>
            <b/>
            <sz val="14"/>
            <color indexed="81"/>
            <rFont val="Tahoma"/>
            <family val="2"/>
          </rPr>
          <t>Note:</t>
        </r>
        <r>
          <rPr>
            <sz val="14"/>
            <color indexed="81"/>
            <rFont val="Tahoma"/>
            <family val="2"/>
          </rPr>
          <t xml:space="preserve">
If "#N/A" appears, F9 should be pressed until the calculated COE achieves it's final value.</t>
        </r>
      </text>
    </comment>
    <comment ref="S55" authorId="0" shapeId="0" xr:uid="{00000000-0006-0000-0400-00005E000000}">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56" authorId="1" shapeId="0" xr:uid="{00000000-0006-0000-0400-00005F000000}">
      <text>
        <r>
          <rPr>
            <b/>
            <sz val="14"/>
            <color indexed="81"/>
            <rFont val="Tahoma"/>
            <family val="2"/>
          </rPr>
          <t>Note:</t>
        </r>
        <r>
          <rPr>
            <sz val="14"/>
            <color indexed="81"/>
            <rFont val="Tahoma"/>
            <family val="2"/>
          </rPr>
          <t xml:space="preserve">
This cell checks that the debt service coverage ratio exceeds the user-defined minimum in each operating year (see note in DSCR cell for definition and rationale for DSCR). If the test "fails", the user must choose from one of several options in order to cure this deficiency (the extent to which these options are available will be specific to each project):
1. reduce the amount of project level debt, 
2. increase the feed-in tariff rate in order to generate cash flow sufficient to meet the bank's assumed coverage requirement.  In the CREST model, </t>
        </r>
        <r>
          <rPr>
            <u/>
            <sz val="14"/>
            <color indexed="81"/>
            <rFont val="Tahoma"/>
            <family val="2"/>
          </rPr>
          <t>this is done by manually increasing the "Target After-Tax Equity IRR."</t>
        </r>
        <r>
          <rPr>
            <sz val="14"/>
            <color indexed="81"/>
            <rFont val="Tahoma"/>
            <family val="2"/>
          </rPr>
          <t xml:space="preserve">
Other possible, but less likely, mechanisms include:
3. increase the loan tenor
4. decrease the interest rate</t>
        </r>
      </text>
    </comment>
    <comment ref="S56" authorId="0" shapeId="0" xr:uid="{00000000-0006-0000-0400-000060000000}">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57" authorId="1" shapeId="0" xr:uid="{00000000-0006-0000-0400-000061000000}">
      <text>
        <r>
          <rPr>
            <b/>
            <sz val="14"/>
            <color indexed="81"/>
            <rFont val="Tahoma"/>
            <family val="2"/>
          </rPr>
          <t>Note:</t>
        </r>
        <r>
          <rPr>
            <sz val="14"/>
            <color indexed="81"/>
            <rFont val="Tahoma"/>
            <family val="2"/>
          </rPr>
          <t xml:space="preserve">
The annual Debt Service Coverage Ratio is calculated by dividing the sum of the annual principal and interest payment into that year's operating cash flow. Lenders will require the DSCR to demonstrate the project's ability to easily meet its annual debt service obligation.
</t>
        </r>
        <r>
          <rPr>
            <u/>
            <sz val="14"/>
            <color indexed="81"/>
            <rFont val="Tahoma"/>
            <family val="2"/>
          </rPr>
          <t>Average</t>
        </r>
        <r>
          <rPr>
            <sz val="14"/>
            <color indexed="81"/>
            <rFont val="Tahoma"/>
            <family val="2"/>
          </rPr>
          <t xml:space="preserve"> DSCRs over the life of the loan typically range from 1.2 to 1.5 for private, commercially financed projects, or from 1.1 to 1.3 for publicly owned, bond-financed projects - depending on the level of reserves, or other surety, provided. 
The </t>
        </r>
        <r>
          <rPr>
            <u/>
            <sz val="14"/>
            <color indexed="81"/>
            <rFont val="Tahoma"/>
            <family val="2"/>
          </rPr>
          <t>annual minimum</t>
        </r>
        <r>
          <rPr>
            <sz val="14"/>
            <color indexed="81"/>
            <rFont val="Tahoma"/>
            <family val="2"/>
          </rPr>
          <t xml:space="preserve"> DSCR will depend on the specific terms of the loan and the probability-weighting of the production estimate, but will likely be in the range of 1.0 to 1.3. This input must be greater than 1.
</t>
        </r>
      </text>
    </comment>
    <comment ref="S57" authorId="0" shapeId="0" xr:uid="{00000000-0006-0000-0400-000062000000}">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58" authorId="0" shapeId="0" xr:uid="{00000000-0006-0000-0400-000063000000}">
      <text>
        <r>
          <rPr>
            <b/>
            <sz val="12"/>
            <color indexed="81"/>
            <rFont val="Tahoma"/>
            <family val="2"/>
          </rPr>
          <t>Note:</t>
        </r>
        <r>
          <rPr>
            <sz val="12"/>
            <color indexed="81"/>
            <rFont val="Tahoma"/>
            <family val="2"/>
          </rPr>
          <t xml:space="preserve">
If "#N/A" appears, F9 should be pressed until the calculated COE achieves it's final value.</t>
        </r>
      </text>
    </comment>
    <comment ref="S58" authorId="0" shapeId="0" xr:uid="{00000000-0006-0000-0400-000064000000}">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59" authorId="1" shapeId="0" xr:uid="{00000000-0006-0000-0400-000065000000}">
      <text>
        <r>
          <rPr>
            <b/>
            <sz val="14"/>
            <color indexed="81"/>
            <rFont val="Tahoma"/>
            <family val="2"/>
          </rPr>
          <t>Note:</t>
        </r>
        <r>
          <rPr>
            <sz val="14"/>
            <color indexed="81"/>
            <rFont val="Tahoma"/>
            <family val="2"/>
          </rPr>
          <t xml:space="preserve">
This cell checks that the average debt service coverage ratio exceeds the user-defined minimum during the period for which debt is outstanding (see note in DSCR cell for definition and rationale for DSCR). If the test "fails", the user must choose from one of several options in order to cure this deficiency (the extent to which these options are available will be specific to each project):
1. reduce the amount of project level debt, 
2. increase the feed-in tariff rate in order to generate cash flow sufficient to meet the bank's assumed coverage requirement.  In the CREST model, </t>
        </r>
        <r>
          <rPr>
            <u/>
            <sz val="14"/>
            <color indexed="81"/>
            <rFont val="Tahoma"/>
            <family val="2"/>
          </rPr>
          <t>this is done by manually increasing the "Target After-Tax Equity IRR."</t>
        </r>
        <r>
          <rPr>
            <sz val="14"/>
            <color indexed="81"/>
            <rFont val="Tahoma"/>
            <family val="2"/>
          </rPr>
          <t xml:space="preserve">
Other possible, but less likely, mechanisms include:
3. increase the loan tenor
4. decrease the interest rate</t>
        </r>
      </text>
    </comment>
    <comment ref="I60" authorId="0" shapeId="0" xr:uid="{00000000-0006-0000-0400-000066000000}">
      <text>
        <r>
          <rPr>
            <b/>
            <sz val="14"/>
            <color indexed="81"/>
            <rFont val="Tahoma"/>
            <family val="2"/>
          </rPr>
          <t xml:space="preserve">Note:
</t>
        </r>
        <r>
          <rPr>
            <sz val="14"/>
            <color indexed="81"/>
            <rFont val="Tahoma"/>
            <family val="2"/>
          </rPr>
          <t xml:space="preserve">The portion of total project cost funded from equity investors. This cell is a calculation and not an input. It is calculated as 100% minus the "% Debt" entered above.
</t>
        </r>
      </text>
    </comment>
    <comment ref="P60" authorId="0" shapeId="0" xr:uid="{00000000-0006-0000-0400-000067000000}">
      <text>
        <r>
          <rPr>
            <b/>
            <sz val="8"/>
            <color indexed="81"/>
            <rFont val="Tahoma"/>
            <family val="2"/>
          </rPr>
          <t>See "unit" definitions at the bottom of this worksheet.</t>
        </r>
        <r>
          <rPr>
            <sz val="8"/>
            <color indexed="81"/>
            <rFont val="Tahoma"/>
            <family val="2"/>
          </rPr>
          <t xml:space="preserve">
</t>
        </r>
      </text>
    </comment>
    <comment ref="I61" authorId="1" shapeId="0" xr:uid="{00000000-0006-0000-0400-000068000000}">
      <text>
        <r>
          <rPr>
            <b/>
            <sz val="14"/>
            <color indexed="81"/>
            <rFont val="Tahoma"/>
            <family val="2"/>
          </rPr>
          <t>Note:</t>
        </r>
        <r>
          <rPr>
            <sz val="14"/>
            <color indexed="81"/>
            <rFont val="Tahoma"/>
            <family val="2"/>
          </rPr>
          <t xml:space="preserve">
The target after-tax equity IRR is the equity investor's cost of capital -- or "discount rate" -- and is the minimum rate of return that the project owner will seek to attain in order to justify the project compared to alternative investments.  
The user should be explicit in his or her assumption regarding the term over which the target after-tax IRR is assumed to be realized. For example, the user could elect to align the return requirement with the tariff payment duration. In this case, the project useful life should be set equal to the tariff duration in order to calculate the COE associated with the target IRR over that period of time. 
In a second example, the user could elect to align the return requirement with the project's useful life. In this case, the user can either assume a tariff duration equal to the project life, or assume market-based revenue for the period after the tariff and before the end of the assumed project useful life.
This input cannot be less than zero.
If a project is expected to be funded either by a pool of corporate funds or back-leveraged after commercial operation, the user might elect to enter 0% in the "% Debt" cell and enter a weighted average cost of capital (WACC) in the "Target After-Tax Equity IRR" cell.
</t>
        </r>
      </text>
    </comment>
    <comment ref="I62" authorId="0" shapeId="0" xr:uid="{00000000-0006-0000-0400-000069000000}">
      <text>
        <r>
          <rPr>
            <b/>
            <sz val="14"/>
            <color indexed="81"/>
            <rFont val="Tahoma"/>
            <family val="2"/>
          </rPr>
          <t xml:space="preserve">Note:
</t>
        </r>
        <r>
          <rPr>
            <sz val="14"/>
            <color indexed="81"/>
            <rFont val="Tahoma"/>
            <family val="2"/>
          </rPr>
          <t xml:space="preserve">The weighted average cost of capital combines the after-tax cost of both equity and debt in proportion to their use, and is calculated here for reference.
</t>
        </r>
      </text>
    </comment>
    <comment ref="S62" authorId="1" shapeId="0" xr:uid="{00000000-0006-0000-0400-00006A000000}">
      <text>
        <r>
          <rPr>
            <b/>
            <sz val="14"/>
            <color indexed="81"/>
            <rFont val="Tahoma"/>
            <family val="2"/>
          </rPr>
          <t xml:space="preserve">Note:
</t>
        </r>
        <r>
          <rPr>
            <sz val="14"/>
            <color indexed="81"/>
            <rFont val="Tahoma"/>
            <family val="2"/>
          </rPr>
          <t xml:space="preserve">In order to ensure that project owners have sufficient funds to decommission and remove equipment at the end of a project's life, many owners choose to create and fund a reserve account throughout the course of project. 
This input cell allows the modeler to choose whether to pay for project removal by creating and funding a reserve account over the project life by selecting "Operations" or to assume that a project's removal will be funded by selling the equipment, by selecting "Salvage".
</t>
        </r>
      </text>
    </comment>
    <comment ref="I63" authorId="0" shapeId="0" xr:uid="{00000000-0006-0000-0400-00006B000000}">
      <text>
        <r>
          <rPr>
            <b/>
            <sz val="14"/>
            <color indexed="81"/>
            <rFont val="Tahoma"/>
            <family val="2"/>
          </rPr>
          <t xml:space="preserve">Note:
</t>
        </r>
        <r>
          <rPr>
            <sz val="14"/>
            <color indexed="81"/>
            <rFont val="Tahoma"/>
            <family val="2"/>
          </rPr>
          <t>This cell represents the costs of both equity and debt due diligence (if applicable) and other transaction costs.
Input cannot be less than zero.</t>
        </r>
      </text>
    </comment>
    <comment ref="S63" authorId="0" shapeId="0" xr:uid="{00000000-0006-0000-0400-00006C000000}">
      <text>
        <r>
          <rPr>
            <b/>
            <sz val="14"/>
            <color indexed="81"/>
            <rFont val="Tahoma"/>
            <family val="2"/>
          </rPr>
          <t>Note:</t>
        </r>
        <r>
          <rPr>
            <sz val="14"/>
            <color indexed="81"/>
            <rFont val="Tahoma"/>
            <family val="2"/>
          </rPr>
          <t xml:space="preserve">
This input cell allows the user to assume the creation of a reserve account. The value entered here will be accounted for in the project's cash flow, and would be funded evenly over the number of years available between the project's commercial operation and the end of its useful life.
Input cannot be less than zero.
</t>
        </r>
      </text>
    </comment>
    <comment ref="P65" authorId="0" shapeId="0" xr:uid="{00000000-0006-0000-0400-00006D000000}">
      <text>
        <r>
          <rPr>
            <b/>
            <sz val="8"/>
            <color indexed="81"/>
            <rFont val="Tahoma"/>
            <family val="2"/>
          </rPr>
          <t>See "unit" definitions at the bottom of this worksheet.</t>
        </r>
        <r>
          <rPr>
            <sz val="8"/>
            <color indexed="81"/>
            <rFont val="Tahoma"/>
            <family val="2"/>
          </rPr>
          <t xml:space="preserve">
</t>
        </r>
      </text>
    </comment>
    <comment ref="I66" authorId="0" shapeId="0" xr:uid="{00000000-0006-0000-0400-00006E000000}">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at the project's "Total Installed Cost."
</t>
        </r>
      </text>
    </comment>
    <comment ref="I67" authorId="0" shapeId="0" xr:uid="{00000000-0006-0000-0400-00006F000000}">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t>
        </r>
      </text>
    </comment>
    <comment ref="S67" authorId="0" shapeId="0" xr:uid="{00000000-0006-0000-0400-000070000000}">
      <text>
        <r>
          <rPr>
            <b/>
            <sz val="14"/>
            <color indexed="81"/>
            <rFont val="Tahoma"/>
            <family val="2"/>
          </rPr>
          <t>Note:</t>
        </r>
        <r>
          <rPr>
            <sz val="14"/>
            <color indexed="81"/>
            <rFont val="Tahoma"/>
            <family val="2"/>
          </rPr>
          <t xml:space="preserve">
Lenders typically require the project owner to establish a reserve account prior to the commencement of operations to ensure that loan repayments occur in full and on time even if the project has insufficient operating cash flow in a specific period due to lower than expected production, higher costs, or both. The size of the reserve account is typically equal to 6 months of debt service obligation.
Input cannot be less than zero.
</t>
        </r>
      </text>
    </comment>
    <comment ref="I68" authorId="0" shapeId="0" xr:uid="{00000000-0006-0000-0400-000071000000}">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As previously described, this value excludes the ITC Cash Grant, which must be financed prior to commercial operation.  
</t>
        </r>
      </text>
    </comment>
    <comment ref="S68" authorId="0" shapeId="0" xr:uid="{00000000-0006-0000-0400-000072000000}">
      <text>
        <r>
          <rPr>
            <b/>
            <sz val="14"/>
            <color indexed="81"/>
            <rFont val="Tahoma"/>
            <family val="2"/>
          </rPr>
          <t>Note:</t>
        </r>
        <r>
          <rPr>
            <sz val="14"/>
            <color indexed="81"/>
            <rFont val="Tahoma"/>
            <family val="2"/>
          </rPr>
          <t xml:space="preserve">
Calculated value based on the # months of required reserve and the capital structure and associated periodic debt obligation.
</t>
        </r>
      </text>
    </comment>
    <comment ref="I69" authorId="0" shapeId="0" xr:uid="{00000000-0006-0000-0400-000073000000}">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t>
        </r>
      </text>
    </comment>
    <comment ref="S70" authorId="0" shapeId="0" xr:uid="{00000000-0006-0000-0400-000074000000}">
      <text>
        <r>
          <rPr>
            <b/>
            <sz val="14"/>
            <color indexed="81"/>
            <rFont val="Tahoma"/>
            <family val="2"/>
          </rPr>
          <t>Note:</t>
        </r>
        <r>
          <rPr>
            <sz val="14"/>
            <color indexed="81"/>
            <rFont val="Tahoma"/>
            <family val="2"/>
          </rPr>
          <t xml:space="preserve">
Lenders typically require the project owner to establish a reserve account prior to the commencement of operations to ensure that all O&amp;M expenses can be met even if the project has insufficient operating cash flow in a specific period due to lower than expected production, higher costs, or both. The size of the reserve account is typically 3 to 6 months of O&amp;M expenses, and includes all categories of O&amp;M expenses.
Input cannot be less than zero.
</t>
        </r>
      </text>
    </comment>
    <comment ref="F71" authorId="0" shapeId="0" xr:uid="{00000000-0006-0000-0400-000075000000}">
      <text>
        <r>
          <rPr>
            <b/>
            <sz val="8"/>
            <color indexed="81"/>
            <rFont val="Tahoma"/>
            <family val="2"/>
          </rPr>
          <t>See "unit" definitions at the bottom of this worksheet.</t>
        </r>
        <r>
          <rPr>
            <sz val="8"/>
            <color indexed="81"/>
            <rFont val="Tahoma"/>
            <family val="2"/>
          </rPr>
          <t xml:space="preserve">
</t>
        </r>
      </text>
    </comment>
    <comment ref="S71" authorId="0" shapeId="0" xr:uid="{00000000-0006-0000-0400-000076000000}">
      <text>
        <r>
          <rPr>
            <b/>
            <sz val="14"/>
            <color indexed="81"/>
            <rFont val="Tahoma"/>
            <family val="2"/>
          </rPr>
          <t>Note:</t>
        </r>
        <r>
          <rPr>
            <sz val="14"/>
            <color indexed="81"/>
            <rFont val="Tahoma"/>
            <family val="2"/>
          </rPr>
          <t xml:space="preserve">
Calculated value based on the # months of required reserve and all annual operating expenses.
</t>
        </r>
      </text>
    </comment>
    <comment ref="I72" authorId="0" shapeId="0" xr:uid="{00000000-0006-0000-0400-000077000000}">
      <text>
        <r>
          <rPr>
            <b/>
            <sz val="14"/>
            <color indexed="81"/>
            <rFont val="Tahoma"/>
            <family val="2"/>
          </rPr>
          <t xml:space="preserve">Note:
</t>
        </r>
        <r>
          <rPr>
            <sz val="14"/>
            <color indexed="81"/>
            <rFont val="Tahoma"/>
            <family val="2"/>
          </rPr>
          <t xml:space="preserve">Defines whether the project owner is a taxable or non-taxable entity. This determines the treatment of income taxes and other tax-related items.
</t>
        </r>
      </text>
    </comment>
    <comment ref="S72" authorId="0" shapeId="0" xr:uid="{00000000-0006-0000-0400-000078000000}">
      <text>
        <r>
          <rPr>
            <b/>
            <sz val="14"/>
            <color indexed="81"/>
            <rFont val="Tahoma"/>
            <family val="2"/>
          </rPr>
          <t>Note:</t>
        </r>
        <r>
          <rPr>
            <sz val="14"/>
            <color indexed="81"/>
            <rFont val="Tahoma"/>
            <family val="2"/>
          </rPr>
          <t xml:space="preserve">
Unused reserves earn interest at this rate. Input cannot be less than zero.
</t>
        </r>
      </text>
    </comment>
    <comment ref="I73" authorId="0" shapeId="0" xr:uid="{00000000-0006-0000-0400-000079000000}">
      <text>
        <r>
          <rPr>
            <b/>
            <sz val="14"/>
            <color indexed="81"/>
            <rFont val="Tahoma"/>
            <family val="2"/>
          </rPr>
          <t xml:space="preserve">Note:
</t>
        </r>
        <r>
          <rPr>
            <sz val="14"/>
            <color indexed="81"/>
            <rFont val="Tahoma"/>
            <family val="2"/>
          </rPr>
          <t xml:space="preserve">Defines the project's federal income tax rate, if applicable.
Input cannot be less than zero.
</t>
        </r>
      </text>
    </comment>
    <comment ref="I74" authorId="0" shapeId="0" xr:uid="{00000000-0006-0000-0400-00007A000000}">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I75" authorId="0" shapeId="0" xr:uid="{00000000-0006-0000-0400-00007B000000}">
      <text>
        <r>
          <rPr>
            <b/>
            <sz val="14"/>
            <color indexed="81"/>
            <rFont val="Tahoma"/>
            <family val="2"/>
          </rPr>
          <t xml:space="preserve">Note:
</t>
        </r>
        <r>
          <rPr>
            <sz val="14"/>
            <color indexed="81"/>
            <rFont val="Tahoma"/>
            <family val="2"/>
          </rPr>
          <t xml:space="preserve">Defines the project's state income tax rate, if applicable.
Input cannot be less than zero.
</t>
        </r>
      </text>
    </comment>
    <comment ref="S75" authorId="0" shapeId="0" xr:uid="{00000000-0006-0000-0400-00007C000000}">
      <text>
        <r>
          <rPr>
            <b/>
            <sz val="14"/>
            <color indexed="81"/>
            <rFont val="Tahoma"/>
            <family val="2"/>
          </rPr>
          <t>Note:</t>
        </r>
        <r>
          <rPr>
            <sz val="14"/>
            <color indexed="81"/>
            <rFont val="Tahoma"/>
            <family val="2"/>
          </rPr>
          <t xml:space="preserve">
To qualify for Bonus Depreciation the property must have a recovery period of 20 years or less (under normal federal tax depreciation rules), and the project must commence operation in the year in which bonus depreciation is in effect and under the ownership of the entity claiming the deduction. 
For qualifying projects, the owner is entitled to deduct 50% of the adjusted basis of the property during the tax year the property is first placed in service. The remaining 50% of the adjusted basis of the property is depreciated over the ordinary MACRS depreciation schedule. The bonus depreciation rules do not override the depreciation limit applicable to projects qualifying for the federal ITC. Before calculating depreciation for such a project, including any bonus depreciation, the adjusted basis of the project must be reduced by one-half of the amount of the ITC for which the project qualifies. 
</t>
        </r>
      </text>
    </comment>
    <comment ref="I76" authorId="0" shapeId="0" xr:uid="{00000000-0006-0000-0400-00007D000000}">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P76" authorId="0" shapeId="0" xr:uid="{00000000-0006-0000-0400-00007E000000}">
      <text>
        <r>
          <rPr>
            <b/>
            <sz val="12"/>
            <color indexed="81"/>
            <rFont val="Tahoma"/>
            <family val="2"/>
          </rPr>
          <t>Jason Gifford:</t>
        </r>
        <r>
          <rPr>
            <sz val="12"/>
            <color indexed="81"/>
            <rFont val="Tahoma"/>
            <family val="2"/>
          </rPr>
          <t xml:space="preserve">
The Consolidated Appropriations Act, signed in December 2015, extended the "placed in service" deadline for bonus depreciation. Equipment placed in service before January 1, 2018 can qualify for 50% bonus depreciation. Equipment placed in service during 2018 can qualify for 40% bonus depreciation. And equipment placed in service during 2019 can qualify for 30% bonus depreciation. </t>
        </r>
      </text>
    </comment>
    <comment ref="S76" authorId="0" shapeId="0" xr:uid="{00000000-0006-0000-0400-00007F000000}">
      <text>
        <r>
          <rPr>
            <b/>
            <sz val="14"/>
            <color indexed="81"/>
            <rFont val="Tahoma"/>
            <family val="2"/>
          </rPr>
          <t>Note:</t>
        </r>
        <r>
          <rPr>
            <sz val="14"/>
            <color indexed="81"/>
            <rFont val="Tahoma"/>
            <family val="2"/>
          </rPr>
          <t xml:space="preserve">
This input allows the user to define the bonus depreciation % applied in Year 1, if applicable.  Historically, federal bonus depreciation has been 50% of the eligible cost basis (after taking into account reductions in such cost basis for the ITC, if applicable).  
Input cannot be less than zero.
</t>
        </r>
      </text>
    </comment>
    <comment ref="I77" authorId="0" shapeId="0" xr:uid="{00000000-0006-0000-0400-000080000000}">
      <text>
        <r>
          <rPr>
            <b/>
            <sz val="14"/>
            <color indexed="81"/>
            <rFont val="Tahoma"/>
            <family val="2"/>
          </rPr>
          <t xml:space="preserve">Note:
</t>
        </r>
        <r>
          <rPr>
            <sz val="14"/>
            <color indexed="81"/>
            <rFont val="Tahoma"/>
            <family val="2"/>
          </rPr>
          <t xml:space="preserve">Takes into account the interaction between federal and state tax rates. This is a calculated value.
</t>
        </r>
      </text>
    </comment>
    <comment ref="I78" authorId="0" shapeId="0" xr:uid="{00000000-0006-0000-0400-000081000000}">
      <text>
        <r>
          <rPr>
            <b/>
            <sz val="14"/>
            <color indexed="81"/>
            <rFont val="Tahoma"/>
            <family val="2"/>
          </rPr>
          <t xml:space="preserve">Note:
</t>
        </r>
        <r>
          <rPr>
            <sz val="14"/>
            <color indexed="81"/>
            <rFont val="Tahoma"/>
            <family val="2"/>
          </rPr>
          <t>Depreciation accounts for the "use" of equipment for tax purposes. The depreciation inputs are provided in the table to the right and on the Complex Capital Costs tab when this option is selected.</t>
        </r>
      </text>
    </comment>
    <comment ref="AB79" authorId="0" shapeId="0" xr:uid="{00000000-0006-0000-0400-000082000000}">
      <text>
        <r>
          <rPr>
            <b/>
            <sz val="14"/>
            <color indexed="81"/>
            <rFont val="Tahoma"/>
            <family val="2"/>
          </rPr>
          <t>Note:</t>
        </r>
        <r>
          <rPr>
            <sz val="14"/>
            <color indexed="81"/>
            <rFont val="Tahoma"/>
            <family val="2"/>
          </rPr>
          <t xml:space="preserve">
When the "Simple" capital cost option is selected, the depreciation of total project costs is divided among the classifications using this row. The depreciation options associated with other levels of cost detail will be hidden.
</t>
        </r>
        <r>
          <rPr>
            <b/>
            <sz val="14"/>
            <color indexed="81"/>
            <rFont val="Tahoma"/>
            <family val="2"/>
          </rPr>
          <t xml:space="preserve">This row must sum to 100%.
</t>
        </r>
      </text>
    </comment>
    <comment ref="AB80" authorId="0" shapeId="0" xr:uid="{00000000-0006-0000-0400-000083000000}">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81" authorId="0" shapeId="0" xr:uid="{00000000-0006-0000-0400-000084000000}">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82" authorId="0" shapeId="0" xr:uid="{00000000-0006-0000-0400-000085000000}">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83" authorId="0" shapeId="0" xr:uid="{00000000-0006-0000-0400-000086000000}">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84" authorId="0" shapeId="0" xr:uid="{00000000-0006-0000-0400-000087000000}">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85" authorId="0" shapeId="0" xr:uid="{00000000-0006-0000-0400-000088000000}">
      <text>
        <r>
          <rPr>
            <b/>
            <sz val="14"/>
            <color indexed="81"/>
            <rFont val="Tahoma"/>
            <family val="2"/>
          </rPr>
          <t>Note:</t>
        </r>
        <r>
          <rPr>
            <sz val="14"/>
            <color indexed="81"/>
            <rFont val="Tahoma"/>
            <family val="2"/>
          </rPr>
          <t xml:space="preserve">
When the "Complex" capital cost option is selected, each line items is assigned its own depreciation classification using a drop-down menu on the Complex Capital Costs tab.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Jason Gifford</author>
  </authors>
  <commentList>
    <comment ref="B5" authorId="0" shapeId="0" xr:uid="{00000000-0006-0000-0300-000001000000}">
      <text>
        <r>
          <rPr>
            <b/>
            <sz val="12"/>
            <color indexed="81"/>
            <rFont val="Tahoma"/>
            <family val="2"/>
          </rPr>
          <t>Note:</t>
        </r>
        <r>
          <rPr>
            <sz val="12"/>
            <color indexed="81"/>
            <rFont val="Tahoma"/>
            <family val="2"/>
          </rPr>
          <t xml:space="preserve">
One of the CREST model development objectives was to incorporate maximum functionality and flexibility, while maintaining a macro-free file.
As a result, the model calculates using a series of three data tables which converge onto the COE within several one-hundredths of a cent.
Because the three data tables rely on one another to calculate the COE, and the "Automatic" calculation setting only re-calculates the first data table under certain circumstances, it is sometimes necessary to press F9 more than once in order for the calculation to cascade through each of the three data tables.
If "#N/A" appears, F9 should be pressed until the calculated COE achieves it's final value.
</t>
        </r>
      </text>
    </comment>
    <comment ref="B14" authorId="0" shapeId="0" xr:uid="{00000000-0006-0000-0300-000002000000}">
      <text>
        <r>
          <rPr>
            <b/>
            <sz val="14"/>
            <color indexed="81"/>
            <rFont val="Tahoma"/>
            <family val="2"/>
          </rPr>
          <t xml:space="preserve">NOTE:
</t>
        </r>
        <r>
          <rPr>
            <sz val="14"/>
            <color indexed="81"/>
            <rFont val="Tahoma"/>
            <family val="2"/>
          </rPr>
          <t>The "Nominal Levelized Tariff Rate", or Nominal Levelized Cost of Energy (LCOE)
is the single, fixed rate with the same economic impact over the life of the project as the Year-One value escalated over time.  When a 0% escalator is assumed, the "Year-One COE" and "LCOE" are the same.
Both the Year One COE and the LCOE reflect the tariff rate necessary to achieve the project investor's required after tax rate of return, taking into account all applicable incentives and any market value of production assumed after the tariff expires and before the end of the project's useful life.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Jason Gifford</author>
  </authors>
  <commentList>
    <comment ref="C4" authorId="0" shapeId="0" xr:uid="{00000000-0006-0000-0500-000001000000}">
      <text>
        <r>
          <rPr>
            <b/>
            <sz val="14"/>
            <color indexed="81"/>
            <rFont val="Tahoma"/>
            <family val="2"/>
          </rPr>
          <t xml:space="preserve">Note:
</t>
        </r>
        <r>
          <rPr>
            <sz val="14"/>
            <color indexed="81"/>
            <rFont val="Tahoma"/>
            <family val="2"/>
          </rPr>
          <t>During the FIT contract period, this column represents the feed-in tariff rate, including escalation if applicable.  After the FIT contract ends, this column represents the value of energy, capacity, renewable energy credits, or other attributes as defined and enterred by the user, if applicable.</t>
        </r>
      </text>
    </comment>
    <comment ref="D4" authorId="0" shapeId="0" xr:uid="{00000000-0006-0000-0500-000002000000}">
      <text>
        <r>
          <rPr>
            <sz val="8"/>
            <color indexed="81"/>
            <rFont val="Tahoma"/>
            <family val="2"/>
          </rPr>
          <t xml:space="preserve">
</t>
        </r>
        <r>
          <rPr>
            <b/>
            <sz val="14"/>
            <color indexed="81"/>
            <rFont val="Tahoma"/>
            <family val="2"/>
          </rPr>
          <t>Note:</t>
        </r>
        <r>
          <rPr>
            <sz val="8"/>
            <color indexed="81"/>
            <rFont val="Tahoma"/>
            <family val="2"/>
          </rPr>
          <t xml:space="preserve">
</t>
        </r>
        <r>
          <rPr>
            <sz val="14"/>
            <color indexed="81"/>
            <rFont val="Tahoma"/>
            <family val="2"/>
          </rPr>
          <t>includes performance-based incentives.</t>
        </r>
      </text>
    </comment>
    <comment ref="E4" authorId="0" shapeId="0" xr:uid="{00000000-0006-0000-0500-000003000000}">
      <text>
        <r>
          <rPr>
            <b/>
            <sz val="14"/>
            <color indexed="81"/>
            <rFont val="Tahoma"/>
            <family val="2"/>
          </rPr>
          <t>Note:</t>
        </r>
        <r>
          <rPr>
            <sz val="14"/>
            <color indexed="81"/>
            <rFont val="Tahoma"/>
            <family val="2"/>
          </rPr>
          <t xml:space="preserve">
Includes all land lease, royalty and local tax or PILOT.
</t>
        </r>
      </text>
    </comment>
    <comment ref="F4" authorId="0" shapeId="0" xr:uid="{00000000-0006-0000-0500-000004000000}">
      <text>
        <r>
          <rPr>
            <b/>
            <sz val="12"/>
            <color indexed="81"/>
            <rFont val="Tahoma"/>
            <family val="2"/>
          </rPr>
          <t xml:space="preserve">Note:
</t>
        </r>
        <r>
          <rPr>
            <sz val="12"/>
            <color indexed="81"/>
            <rFont val="Tahoma"/>
            <family val="2"/>
          </rPr>
          <t>Includes principle and interest, if debt is used.</t>
        </r>
      </text>
    </comment>
    <comment ref="G4" authorId="0" shapeId="0" xr:uid="{00000000-0006-0000-0500-000005000000}">
      <text>
        <r>
          <rPr>
            <b/>
            <sz val="14"/>
            <color indexed="81"/>
            <rFont val="Tahoma"/>
            <family val="2"/>
          </rPr>
          <t xml:space="preserve">Note:
</t>
        </r>
        <r>
          <rPr>
            <sz val="14"/>
            <color indexed="81"/>
            <rFont val="Tahoma"/>
            <family val="2"/>
          </rPr>
          <t xml:space="preserve">Positive values denote net withdrawal from reserve accounts as reserved capital is returned to project owners.
</t>
        </r>
      </text>
    </comment>
    <comment ref="M4" authorId="0" shapeId="0" xr:uid="{00000000-0006-0000-0500-000006000000}">
      <text>
        <r>
          <rPr>
            <b/>
            <sz val="14"/>
            <color indexed="81"/>
            <rFont val="Tahoma"/>
            <family val="2"/>
          </rPr>
          <t xml:space="preserve">Note:
</t>
        </r>
        <r>
          <rPr>
            <sz val="14"/>
            <color indexed="81"/>
            <rFont val="Tahoma"/>
            <family val="2"/>
          </rPr>
          <t xml:space="preserve">This is the annual cash flow disbursed to the project's equity investors, after tax.
</t>
        </r>
      </text>
    </comment>
    <comment ref="N4" authorId="0" shapeId="0" xr:uid="{00000000-0006-0000-0500-000007000000}">
      <text>
        <r>
          <rPr>
            <b/>
            <sz val="14"/>
            <color indexed="81"/>
            <rFont val="Tahoma"/>
            <family val="2"/>
          </rPr>
          <t xml:space="preserve">Note:
</t>
        </r>
        <r>
          <rPr>
            <sz val="14"/>
            <color indexed="81"/>
            <rFont val="Tahoma"/>
            <family val="2"/>
          </rPr>
          <t xml:space="preserve">This is the cumulative benefit of annual net cash flows.  The year in which the values become positive represents the return "of" the equity investor's original cash contribution.  The equity investor does not earn its return "on" investment until the required rate is met - which in this model will be in the final project year.
</t>
        </r>
      </text>
    </comment>
    <comment ref="O4" authorId="0" shapeId="0" xr:uid="{00000000-0006-0000-0500-000008000000}">
      <text>
        <r>
          <rPr>
            <b/>
            <sz val="14"/>
            <color indexed="81"/>
            <rFont val="Tahoma"/>
            <family val="2"/>
          </rPr>
          <t xml:space="preserve">Note:
</t>
        </r>
        <r>
          <rPr>
            <sz val="14"/>
            <color indexed="81"/>
            <rFont val="Tahoma"/>
            <family val="2"/>
          </rPr>
          <t xml:space="preserve">This is a running tally on the equity investor's after tax internal rate of return.
</t>
        </r>
      </text>
    </comment>
    <comment ref="P4" authorId="0" shapeId="0" xr:uid="{00000000-0006-0000-0500-000009000000}">
      <text>
        <r>
          <rPr>
            <b/>
            <sz val="14"/>
            <color indexed="81"/>
            <rFont val="Tahoma"/>
            <family val="2"/>
          </rPr>
          <t xml:space="preserve">Note:
</t>
        </r>
        <r>
          <rPr>
            <sz val="14"/>
            <color indexed="81"/>
            <rFont val="Tahoma"/>
            <family val="2"/>
          </rPr>
          <t xml:space="preserve">The Debt Service Coverage Ratio is calculated by dividing the sum of the annual principal and interest payment into that year's operating cash flow.  Lenders will require the DSCR to demonstrate the project's ability to easily meet its annual debt service obligation.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Jason Gifford</author>
    <author>Jacob Nichols</author>
    <author>tc={BA52F338-9655-4B6C-B1F7-74A3A23FD6F4}</author>
    <author>tc={71DBFA3E-D441-4ABB-A36F-063B1A9780FD}</author>
  </authors>
  <commentList>
    <comment ref="E65" authorId="0" shapeId="0" xr:uid="{00000000-0006-0000-0600-000001000000}">
      <text>
        <r>
          <rPr>
            <b/>
            <sz val="14"/>
            <color indexed="81"/>
            <rFont val="Tahoma"/>
            <family val="2"/>
          </rPr>
          <t xml:space="preserve">NOTE:
</t>
        </r>
        <r>
          <rPr>
            <sz val="14"/>
            <color indexed="81"/>
            <rFont val="Tahoma"/>
            <family val="2"/>
          </rPr>
          <t>If operating loss carry-forward is NOT applied, the values in the "Taxable Income" lines should be the same.</t>
        </r>
        <r>
          <rPr>
            <sz val="8"/>
            <color indexed="81"/>
            <rFont val="Tahoma"/>
            <family val="2"/>
          </rPr>
          <t xml:space="preserve">
</t>
        </r>
      </text>
    </comment>
    <comment ref="C104" authorId="0" shapeId="0" xr:uid="{00000000-0006-0000-0600-000002000000}">
      <text>
        <r>
          <rPr>
            <b/>
            <sz val="14"/>
            <color indexed="81"/>
            <rFont val="Tahoma"/>
            <family val="2"/>
          </rPr>
          <t>Note:</t>
        </r>
        <r>
          <rPr>
            <sz val="14"/>
            <color indexed="81"/>
            <rFont val="Tahoma"/>
            <family val="2"/>
          </rPr>
          <t xml:space="preserve">
Adjustments include (if applicable): reduction of cost basis by 50% of ITC (or ITC Cash Grant), reduction of cost basis for other non-taxable grants, and allocation of Bonus Depreciation. </t>
        </r>
      </text>
    </comment>
    <comment ref="E104" authorId="0" shapeId="0" xr:uid="{00000000-0006-0000-0600-000003000000}">
      <text>
        <r>
          <rPr>
            <b/>
            <sz val="14"/>
            <color indexed="81"/>
            <rFont val="Tahoma"/>
            <family val="2"/>
          </rPr>
          <t xml:space="preserve">Note:
</t>
        </r>
        <r>
          <rPr>
            <sz val="14"/>
            <color indexed="81"/>
            <rFont val="Tahoma"/>
            <family val="2"/>
          </rPr>
          <t xml:space="preserve">Adjustments include (if applicable): reduction of cost basis by 50% of ITC (or ITC Cash Grant), reduction of cost basis for other non-taxable grants, and allocation of Bonus Depreciation. </t>
        </r>
      </text>
    </comment>
    <comment ref="C117" authorId="1" shapeId="0" xr:uid="{E991B337-E370-4C7E-984E-51F18D157D02}">
      <text>
        <r>
          <rPr>
            <b/>
            <sz val="10"/>
            <color indexed="81"/>
            <rFont val="Tahoma"/>
            <family val="2"/>
          </rPr>
          <t>This will throw an error for Small Solar but the result is unaffected.</t>
        </r>
      </text>
    </comment>
    <comment ref="C118" authorId="2" shapeId="0" xr:uid="{BA52F338-9655-4B6C-B1F7-74A3A23FD6F4}">
      <text>
        <t>[Threaded comment]
Your version of Excel allows you to read this threaded comment; however, any edits to it will get removed if the file is opened in a newer version of Excel. Learn more: https://go.microsoft.com/fwlink/?linkid=870924
Comment:
    Confirm - should include adjustments for both state and federal grants?</t>
      </text>
    </comment>
    <comment ref="C155" authorId="0" shapeId="0" xr:uid="{DC377F07-0202-447D-AB0C-93A70C930C14}">
      <text>
        <r>
          <rPr>
            <b/>
            <sz val="14"/>
            <color indexed="81"/>
            <rFont val="Tahoma"/>
            <family val="2"/>
          </rPr>
          <t>Note:</t>
        </r>
        <r>
          <rPr>
            <sz val="14"/>
            <color indexed="81"/>
            <rFont val="Tahoma"/>
            <family val="2"/>
          </rPr>
          <t xml:space="preserve">
Adjustments include (if applicable): reduction of cost basis by 50% of ITC (or ITC Cash Grant), reduction of cost basis for other non-taxable grants, and allocation of Bonus Depreciation. </t>
        </r>
      </text>
    </comment>
    <comment ref="E155" authorId="0" shapeId="0" xr:uid="{B30E5E61-86AD-4C1D-8446-1EF3DE31FDE3}">
      <text>
        <r>
          <rPr>
            <b/>
            <sz val="14"/>
            <color indexed="81"/>
            <rFont val="Tahoma"/>
            <family val="2"/>
          </rPr>
          <t xml:space="preserve">Note:
</t>
        </r>
        <r>
          <rPr>
            <sz val="14"/>
            <color indexed="81"/>
            <rFont val="Tahoma"/>
            <family val="2"/>
          </rPr>
          <t xml:space="preserve">Adjustments include (if applicable): reduction of cost basis by 50% of ITC (or ITC Cash Grant), reduction of cost basis for other non-taxable grants, and allocation of Bonus Depreciation. </t>
        </r>
      </text>
    </comment>
    <comment ref="C167" authorId="1" shapeId="0" xr:uid="{BF26051A-D6EF-45A5-BD1C-8F9CBE523045}">
      <text>
        <r>
          <rPr>
            <b/>
            <sz val="10"/>
            <color indexed="81"/>
            <rFont val="Tahoma"/>
            <family val="2"/>
          </rPr>
          <t>This will throw an error for Small Solar but the result is unaffected.</t>
        </r>
      </text>
    </comment>
    <comment ref="C168" authorId="3" shapeId="0" xr:uid="{71DBFA3E-D441-4ABB-A36F-063B1A9780FD}">
      <text>
        <t>[Threaded comment]
Your version of Excel allows you to read this threaded comment; however, any edits to it will get removed if the file is opened in a newer version of Excel. Learn more: https://go.microsoft.com/fwlink/?linkid=870924
Comment:
    Confirm - should include adjustments for both state and federal grants?</t>
      </text>
    </comment>
    <comment ref="G235" authorId="0" shapeId="0" xr:uid="{00000000-0006-0000-0600-000004000000}">
      <text>
        <r>
          <rPr>
            <b/>
            <sz val="12"/>
            <color indexed="81"/>
            <rFont val="Tahoma"/>
            <family val="2"/>
          </rPr>
          <t>Note:</t>
        </r>
        <r>
          <rPr>
            <sz val="12"/>
            <color indexed="81"/>
            <rFont val="Tahoma"/>
            <family val="2"/>
          </rPr>
          <t xml:space="preserve">
ITC earned in first quarter of operation assumed eligible to offset tax on state income taxes saved in first operating year, when applicable. Remainder of ITC carried forward.
</t>
        </r>
      </text>
    </comment>
    <comment ref="B262" authorId="0" shapeId="0" xr:uid="{00000000-0006-0000-0600-000005000000}">
      <text>
        <r>
          <rPr>
            <sz val="14"/>
            <color indexed="81"/>
            <rFont val="Tahoma"/>
            <family val="2"/>
          </rPr>
          <t>If decommissioning paid for through operations (e.g. a decommissioning reserve account) then the "Ending Balance" in the project's final operating year should equal the total decommission reserve requirement specified on the inputs tab; if decommissioning is paid for from the salvage value of the equipment, then the "Ending Balance" in the project's final operating year should be zero.</t>
        </r>
      </text>
    </comment>
  </commentList>
</comments>
</file>

<file path=xl/sharedStrings.xml><?xml version="1.0" encoding="utf-8"?>
<sst xmlns="http://schemas.openxmlformats.org/spreadsheetml/2006/main" count="7117" uniqueCount="489">
  <si>
    <t>Small Solar I (PY 2024)</t>
  </si>
  <si>
    <t>Performance, Cost, Operating, Tax &amp; Financing Inputs</t>
  </si>
  <si>
    <t>Check</t>
  </si>
  <si>
    <t>Notes</t>
  </si>
  <si>
    <t>Technology Options</t>
  </si>
  <si>
    <t>Project Size and Performance</t>
  </si>
  <si>
    <t>Units</t>
  </si>
  <si>
    <t>Input Value</t>
  </si>
  <si>
    <t>Cost-Based Tariff Rate Structure</t>
  </si>
  <si>
    <t>RI REG-specific additions and adjustments</t>
  </si>
  <si>
    <t>Generator Nameplate Capacity</t>
  </si>
  <si>
    <t>kW</t>
  </si>
  <si>
    <t>?</t>
  </si>
  <si>
    <t>Payment Duration for Cost-Based Incentive</t>
  </si>
  <si>
    <t>years</t>
  </si>
  <si>
    <t>Category</t>
  </si>
  <si>
    <t>Unit</t>
  </si>
  <si>
    <t>Value</t>
  </si>
  <si>
    <t>Net Capacity Factor, Yr 1</t>
  </si>
  <si>
    <t>%</t>
  </si>
  <si>
    <t>% of Year-One Tariff Rate Escalated</t>
  </si>
  <si>
    <t>Tech</t>
  </si>
  <si>
    <t>N/A</t>
  </si>
  <si>
    <t>Solar</t>
  </si>
  <si>
    <t>Production, Yr 1</t>
  </si>
  <si>
    <t>kWh</t>
  </si>
  <si>
    <t>Cost-Based Tariff Escalation Rate</t>
  </si>
  <si>
    <t>Ownership Structure</t>
  </si>
  <si>
    <t>Host-Owned</t>
  </si>
  <si>
    <t>Annual Production Degradation</t>
  </si>
  <si>
    <t>Project Useful Life</t>
  </si>
  <si>
    <r>
      <t xml:space="preserve">Forecasted Market Value of Production; applies </t>
    </r>
    <r>
      <rPr>
        <b/>
        <u/>
        <sz val="12"/>
        <rFont val="Arial"/>
        <family val="2"/>
      </rPr>
      <t>after</t>
    </r>
    <r>
      <rPr>
        <b/>
        <sz val="12"/>
        <rFont val="Arial"/>
        <family val="2"/>
      </rPr>
      <t xml:space="preserve"> Incentive Expiration</t>
    </r>
  </si>
  <si>
    <t>Decommissioning Cost</t>
  </si>
  <si>
    <t>$/kW</t>
  </si>
  <si>
    <t>Select Market Value Forecast Methodology</t>
  </si>
  <si>
    <t>Year-by-Year</t>
  </si>
  <si>
    <t>Bond Exp. for Decomm. (% of decomm. cost)</t>
  </si>
  <si>
    <t>Capital Costs</t>
  </si>
  <si>
    <t>Value of energy, capacity &amp; RECs, Yr 1</t>
  </si>
  <si>
    <t>¢/kWh</t>
  </si>
  <si>
    <t>Select Cost Level of Detail</t>
  </si>
  <si>
    <t>Intermediate</t>
  </si>
  <si>
    <t>Market Value Escalation Rate</t>
  </si>
  <si>
    <t>Annual Property Tax Adjustment Factor</t>
  </si>
  <si>
    <t>Total Installed Cost</t>
  </si>
  <si>
    <t>Land Lease Escalation Factor</t>
  </si>
  <si>
    <t>Generation Equipment</t>
  </si>
  <si>
    <t>$</t>
  </si>
  <si>
    <t>Balance of Plant</t>
  </si>
  <si>
    <t>Federal Incentives</t>
  </si>
  <si>
    <t>Total State ITC, over realization period</t>
  </si>
  <si>
    <t>Interconnection</t>
  </si>
  <si>
    <t>Select Cost-Based (ITC/Grant) or Performance-Based (PTC/REPI)</t>
  </si>
  <si>
    <t>Cost-Based</t>
  </si>
  <si>
    <t>CRDG-Related O&amp;M Expense</t>
  </si>
  <si>
    <t>$/kW/yr</t>
  </si>
  <si>
    <t>Development Costs &amp; Fee</t>
  </si>
  <si>
    <t>Investment Tax Credit (ITC) or Cash Grant?</t>
  </si>
  <si>
    <t>ITC</t>
  </si>
  <si>
    <t>Reserves &amp; Financing Costs</t>
  </si>
  <si>
    <t xml:space="preserve">ITC or Cash Grant Amount </t>
  </si>
  <si>
    <t>Click Here for Complex Input Worksheet</t>
  </si>
  <si>
    <t/>
  </si>
  <si>
    <t>ITC utilization factor, if applicable</t>
  </si>
  <si>
    <t xml:space="preserve">ITC or Cash Grant  </t>
  </si>
  <si>
    <t>Is PBI Tax-Based (PTC) or Cash-Based (REPI)?</t>
  </si>
  <si>
    <t>Tax Credit</t>
  </si>
  <si>
    <r>
      <t>Total Value of Grants</t>
    </r>
    <r>
      <rPr>
        <sz val="10"/>
        <rFont val="Arial"/>
        <family val="2"/>
      </rPr>
      <t xml:space="preserve"> (excl. pmt in lieu of ITC, if applicable)</t>
    </r>
  </si>
  <si>
    <t>PBI Rate</t>
  </si>
  <si>
    <t>Net Project Cost</t>
  </si>
  <si>
    <t>PBI Duration</t>
  </si>
  <si>
    <t>yrs</t>
  </si>
  <si>
    <t>PBI Escalation Rate</t>
  </si>
  <si>
    <t>PBI Utilization or Availability Factor, if applicable</t>
  </si>
  <si>
    <t>Operations &amp; Maintenance</t>
  </si>
  <si>
    <t>Federal Tax Benefits used as generated or carried forward?</t>
  </si>
  <si>
    <t>As Generated</t>
  </si>
  <si>
    <t>Fixed O&amp;M Expense, Yr 1</t>
  </si>
  <si>
    <t>$/kW-yr</t>
  </si>
  <si>
    <t>Federal Grants (Other than Section 1603)</t>
  </si>
  <si>
    <t>Variable O&amp;M Expense, Yr 1</t>
  </si>
  <si>
    <t xml:space="preserve">¢/kWh </t>
  </si>
  <si>
    <t>Federal Grants Treated as Taxable Income?</t>
  </si>
  <si>
    <t>Yes</t>
  </si>
  <si>
    <t>O&amp;M Cost Inflation, initial period</t>
  </si>
  <si>
    <t>Initial Period ends last day of:</t>
  </si>
  <si>
    <t>year</t>
  </si>
  <si>
    <t>State Incentives</t>
  </si>
  <si>
    <t>O&amp;M Cost Inflation, thereafter</t>
  </si>
  <si>
    <t>Select Cost-Based (ITC) or Performance-Based (PTC/Cash Pmt)</t>
  </si>
  <si>
    <t>Neither</t>
  </si>
  <si>
    <t>Insurance, Yr 1 (% of Total Cost)</t>
  </si>
  <si>
    <t xml:space="preserve">ITC Amount </t>
  </si>
  <si>
    <t>Insurance, Yr 1 ($) (Provided for reference)</t>
  </si>
  <si>
    <t>Utilization Factor, if applicable</t>
  </si>
  <si>
    <t>Project Management Yr 1</t>
  </si>
  <si>
    <t>$/yr</t>
  </si>
  <si>
    <t>State ITC realization period</t>
  </si>
  <si>
    <t>Property Tax or PILOT</t>
  </si>
  <si>
    <t>Is Performance-Based Incentive Tax Credit or Cash Pmt?</t>
  </si>
  <si>
    <t>Land Lease</t>
  </si>
  <si>
    <t>If cash, is state PBI taxable?</t>
  </si>
  <si>
    <t>No</t>
  </si>
  <si>
    <t>Non-O&amp;M OpEx Escalation</t>
  </si>
  <si>
    <t>Construction Financing</t>
  </si>
  <si>
    <t>PBI Utilization Factor, if applicable</t>
  </si>
  <si>
    <t>Construction Period</t>
  </si>
  <si>
    <t>months</t>
  </si>
  <si>
    <t>Benefits used as generated or carried forward?</t>
  </si>
  <si>
    <t>Interest Rate (Annual)</t>
  </si>
  <si>
    <t>Interest During Construction</t>
  </si>
  <si>
    <t>Total State Grants (or Rebates)</t>
  </si>
  <si>
    <t>State Grants Treated as Taxable Income?</t>
  </si>
  <si>
    <t>Permanent Financing</t>
  </si>
  <si>
    <t>% Debt (% of hard costs) (mortgage-style amort.)</t>
  </si>
  <si>
    <t>Capital Expenditures During Operations: E.g. Gearbox or Blade Replacements</t>
  </si>
  <si>
    <t>Debt Term</t>
  </si>
  <si>
    <t>1st Equipment Replacement</t>
  </si>
  <si>
    <t>Interest Rate on Term Debt</t>
  </si>
  <si>
    <t>1st Replacement Cost  ($ in year replaced)</t>
  </si>
  <si>
    <t>Lender's Fee (% of total borrowing)</t>
  </si>
  <si>
    <t xml:space="preserve">2nd Equipment Replacement </t>
  </si>
  <si>
    <t>Required Minimum Annual DSCR</t>
  </si>
  <si>
    <t>2nd Replacement Cost ($ in year replaced)</t>
  </si>
  <si>
    <t>Actual Minimum DSCR, occurs in →</t>
  </si>
  <si>
    <t xml:space="preserve">3rd Equipment Replacement </t>
  </si>
  <si>
    <t>Minimum DSCR Check Cell (If "Fail," read note ==&gt;)</t>
  </si>
  <si>
    <t>Pass/Fail</t>
  </si>
  <si>
    <t>3rd Replacement Cost ($ in year replaced)</t>
  </si>
  <si>
    <t>Required Average DSCR</t>
  </si>
  <si>
    <t xml:space="preserve">4th Equipment Replacement </t>
  </si>
  <si>
    <t>Actual Average DSCR</t>
  </si>
  <si>
    <t>4th Replacement Cost ($ in year replaced)</t>
  </si>
  <si>
    <t>Average DSCR Check Cell (If "Fail," read note ==&gt;)</t>
  </si>
  <si>
    <r>
      <t xml:space="preserve">% Equity (% hard costs) </t>
    </r>
    <r>
      <rPr>
        <sz val="11"/>
        <rFont val="Arial"/>
        <family val="2"/>
      </rPr>
      <t>(soft costs also equity funded)</t>
    </r>
  </si>
  <si>
    <t>Reserves Funded from Operations</t>
  </si>
  <si>
    <t>Target After-Tax Equity IRR</t>
  </si>
  <si>
    <t>Decommissioning Reserve</t>
  </si>
  <si>
    <t>Weighted Average Cost of Capital (WACC)</t>
  </si>
  <si>
    <t>Fund from Operations or Salvage Value?</t>
  </si>
  <si>
    <t>Operations</t>
  </si>
  <si>
    <t>Other Closing Costs</t>
  </si>
  <si>
    <t>Reserve Requirement</t>
  </si>
  <si>
    <t>Summary of Sources of Funding for Total Installed Cost</t>
  </si>
  <si>
    <t>Initial Funding of Reserve Accounts</t>
  </si>
  <si>
    <t>Senior Debt (funds portion of hard costs)</t>
  </si>
  <si>
    <t>Debt Service Reserve</t>
  </si>
  <si>
    <t>Equity (funds balance of hard costs + all soft costs)</t>
  </si>
  <si>
    <t># of months of Debt Service</t>
  </si>
  <si>
    <t>Total Value of Grants</t>
  </si>
  <si>
    <t>Initial Debt Service Reserve</t>
  </si>
  <si>
    <t>O&amp;M Reserve/Working Capital</t>
  </si>
  <si>
    <t># of months of O&amp;M Expense</t>
  </si>
  <si>
    <t>Tax</t>
  </si>
  <si>
    <t>Initial O&amp;M and WC Reserve</t>
  </si>
  <si>
    <t>Is owner a taxable entity?</t>
  </si>
  <si>
    <t>Interest on All Reserves</t>
  </si>
  <si>
    <t>Federal Income Tax Rate</t>
  </si>
  <si>
    <t>Depreciation Allocation</t>
  </si>
  <si>
    <t>Input Values</t>
  </si>
  <si>
    <t>State Income Tax Rate</t>
  </si>
  <si>
    <t>Federal Bonus Depreciation</t>
  </si>
  <si>
    <t>State Tax Benefits used as generated or carried forward?</t>
  </si>
  <si>
    <t>% of Bonus Depreciation applied in Year 1</t>
  </si>
  <si>
    <t>Effective Income Tax Rate</t>
  </si>
  <si>
    <t>see table ==&gt;</t>
  </si>
  <si>
    <t>Allocation of Costs</t>
  </si>
  <si>
    <t>5-year MACRS</t>
  </si>
  <si>
    <t>7-year MACRS</t>
  </si>
  <si>
    <t>15-year MACRS</t>
  </si>
  <si>
    <t>20-year MACRS</t>
  </si>
  <si>
    <t>5-year SL</t>
  </si>
  <si>
    <t>15-year SL</t>
  </si>
  <si>
    <t>20-year SL</t>
  </si>
  <si>
    <t>39-year SL</t>
  </si>
  <si>
    <t>Non-Depreciable</t>
  </si>
  <si>
    <t>Click Here for Complex Input Worksheets</t>
  </si>
  <si>
    <t>Small Solar II (PY 2024)</t>
  </si>
  <si>
    <t>third-party-owned</t>
  </si>
  <si>
    <t>Medium Solar (PY 2024)</t>
  </si>
  <si>
    <t>Commercial Solar I CRDG (PY 2024)</t>
  </si>
  <si>
    <t>Commercial Solar II (PY 2024)</t>
  </si>
  <si>
    <t>Commercial Solar II CRDG (PY 2024)</t>
  </si>
  <si>
    <t>Large Solar (PY 2024)</t>
  </si>
  <si>
    <t>n</t>
  </si>
  <si>
    <t>Large Solar CRDG (PY 2024)</t>
  </si>
  <si>
    <t>Large Solar II (PY 2024)</t>
  </si>
  <si>
    <t>Large Solar III (PY 2024)</t>
  </si>
  <si>
    <t>Large Solar IV (PY 2024)</t>
  </si>
  <si>
    <t>Large Wind (PY 2024)</t>
  </si>
  <si>
    <t>Wind</t>
  </si>
  <si>
    <t>Large Wind CRDG (PY 2024)</t>
  </si>
  <si>
    <t>Hydro (PY 2024)</t>
  </si>
  <si>
    <t>Hydro</t>
  </si>
  <si>
    <t>CAPEX</t>
  </si>
  <si>
    <t>Additional Capital Costs and Upfront Permitting Costs ($)</t>
  </si>
  <si>
    <t>Landfill</t>
  </si>
  <si>
    <t>Brownfield</t>
  </si>
  <si>
    <t>Large Solar</t>
  </si>
  <si>
    <t>Large Solar CRDG</t>
  </si>
  <si>
    <t>Large Solar II</t>
  </si>
  <si>
    <t>Large Solar III</t>
  </si>
  <si>
    <t>Large Solar IV</t>
  </si>
  <si>
    <t>OPEX</t>
  </si>
  <si>
    <t>O&amp;M</t>
  </si>
  <si>
    <t>Insurance</t>
  </si>
  <si>
    <t>Project Management</t>
  </si>
  <si>
    <t>CAPACITY FACTOR (DC)</t>
  </si>
  <si>
    <t>Debt</t>
  </si>
  <si>
    <r>
      <t xml:space="preserve">Installed Cost Inputs ($/kW) </t>
    </r>
    <r>
      <rPr>
        <sz val="16"/>
        <color rgb="FF000000"/>
        <rFont val="Calibri"/>
        <family val="2"/>
      </rPr>
      <t>(change 'Generation Equipment' input under '</t>
    </r>
    <r>
      <rPr>
        <b/>
        <sz val="16"/>
        <color rgb="FF000000"/>
        <rFont val="Calibri"/>
        <family val="2"/>
      </rPr>
      <t>Capital Costs')</t>
    </r>
  </si>
  <si>
    <t>Applicable NREL YoY Change</t>
  </si>
  <si>
    <t>Resource Class</t>
  </si>
  <si>
    <t>Resi</t>
  </si>
  <si>
    <t>Small I</t>
  </si>
  <si>
    <t>Small II</t>
  </si>
  <si>
    <t>Commercial</t>
  </si>
  <si>
    <t>Medium</t>
  </si>
  <si>
    <t>Commercial I</t>
  </si>
  <si>
    <t>Commercial I CRDG</t>
  </si>
  <si>
    <t>Commercial II</t>
  </si>
  <si>
    <t>Commercial II CRDG</t>
  </si>
  <si>
    <t>Utility Scale</t>
  </si>
  <si>
    <r>
      <t xml:space="preserve">% Debt </t>
    </r>
    <r>
      <rPr>
        <sz val="16"/>
        <color rgb="FF000000"/>
        <rFont val="Calibri"/>
        <family val="2"/>
      </rPr>
      <t>(under 'Permanent Financing')</t>
    </r>
  </si>
  <si>
    <t>Commercial I (CRDG)</t>
  </si>
  <si>
    <t>Commercial II (CRDG)</t>
  </si>
  <si>
    <t>Large Solar (CRDG)</t>
  </si>
  <si>
    <t>Wind (CRDG)</t>
  </si>
  <si>
    <r>
      <t xml:space="preserve">Interest Rate on Term Debt </t>
    </r>
    <r>
      <rPr>
        <sz val="16"/>
        <color rgb="FF000000"/>
        <rFont val="Calibri"/>
        <family val="2"/>
      </rPr>
      <t>(under 'Permanent Financing')</t>
    </r>
  </si>
  <si>
    <t>See 'Adder Inputs' Sheet for Adder specific Debt %</t>
  </si>
  <si>
    <t>Program Year</t>
  </si>
  <si>
    <t>Year</t>
  </si>
  <si>
    <t>Unit Definitions</t>
  </si>
  <si>
    <t>(kW) kilowatt – a standard measure of electrical capacity, equal to 1000 Watts.</t>
  </si>
  <si>
    <t>(kWh) kilowatt hour – a standard measure of electrical output. A 1 kW generator operating at rated capacity for one hour will produce 1 kWh of electricity.</t>
  </si>
  <si>
    <t>($/kW-yr) – an annual expense (or revenue) based on generator capacity</t>
  </si>
  <si>
    <t>($) – All CREST model values are in nominal dollars</t>
  </si>
  <si>
    <t>(¢/kWh) –cents per kilowatt hour</t>
  </si>
  <si>
    <t>(%) – an input with units expressed as a percentage</t>
  </si>
  <si>
    <t>(years or year) – an input applicable to a specified duration or project year</t>
  </si>
  <si>
    <t>($/yr) – inputs measured in dollars and applied annually</t>
  </si>
  <si>
    <t>(months) –designates the number of months to which an input applies</t>
  </si>
  <si>
    <t>Pass/Fail – denotes whether the two debt service coverage ratio tests have passed or failed.</t>
  </si>
  <si>
    <t>Summary Results</t>
  </si>
  <si>
    <t>Results of multiple scenarios may be compared here by using the "copy" and "paste special - values" feature to transfer values from column D to columns F through O</t>
  </si>
  <si>
    <t>Press F9 each time inputs are changed to ensure completion of the COE calculation.  
When "#N/A" appears,  press "F9" in the upper row on your keyboard to complete the calculation.  It may be necessary to press F9 more than once. See note for details.</t>
  </si>
  <si>
    <t>Paste Results of Multiple Model Runs Below</t>
  </si>
  <si>
    <t>Outputs Summary</t>
  </si>
  <si>
    <t>units</t>
  </si>
  <si>
    <t>Current Model Run</t>
  </si>
  <si>
    <t>[Insert Scenario Name]</t>
  </si>
  <si>
    <t>Year-One Cost of Energy (COE)</t>
  </si>
  <si>
    <t>Annual Escalation of Year-One COE</t>
  </si>
  <si>
    <t>Percentage of Tariff Escalated</t>
  </si>
  <si>
    <r>
      <t xml:space="preserve">Does modeled project meet </t>
    </r>
    <r>
      <rPr>
        <b/>
        <i/>
        <sz val="11"/>
        <color theme="1"/>
        <rFont val="Arial"/>
        <family val="2"/>
      </rPr>
      <t>minimum</t>
    </r>
    <r>
      <rPr>
        <b/>
        <sz val="11"/>
        <color theme="1"/>
        <rFont val="Arial"/>
        <family val="2"/>
      </rPr>
      <t xml:space="preserve"> DSCR requirements?</t>
    </r>
  </si>
  <si>
    <r>
      <t xml:space="preserve">Does modeled project meet </t>
    </r>
    <r>
      <rPr>
        <b/>
        <i/>
        <sz val="11"/>
        <color theme="1"/>
        <rFont val="Arial"/>
        <family val="2"/>
      </rPr>
      <t>average</t>
    </r>
    <r>
      <rPr>
        <b/>
        <sz val="11"/>
        <color theme="1"/>
        <rFont val="Arial"/>
        <family val="2"/>
      </rPr>
      <t xml:space="preserve"> DSCR requirements?</t>
    </r>
  </si>
  <si>
    <t>Did you confirm that all minimum required inputs have green check cells?</t>
  </si>
  <si>
    <t>Equivalent Nominal Levelized Tariff Rate</t>
  </si>
  <si>
    <t>Inputs Summary</t>
  </si>
  <si>
    <t>Years</t>
  </si>
  <si>
    <t>Type of Federal Incentive Assumed</t>
  </si>
  <si>
    <t>Tax Credit Based or Cash Based?</t>
  </si>
  <si>
    <t>Other Grants or Rebates</t>
  </si>
  <si>
    <t>Notes: (Users may enter descriptive text about their model run)</t>
  </si>
  <si>
    <t>Annual Project Cash Flows, Returns &amp; Other Metrics</t>
  </si>
  <si>
    <t>Graph Data</t>
  </si>
  <si>
    <t>Project</t>
  </si>
  <si>
    <t>Tariff or Market Value</t>
  </si>
  <si>
    <t>Revenue</t>
  </si>
  <si>
    <t>Operating Expenses</t>
  </si>
  <si>
    <t>Debt Service</t>
  </si>
  <si>
    <t>Reserves</t>
  </si>
  <si>
    <t>Pre-Tax Cash Flow</t>
  </si>
  <si>
    <t>Federal Taxable Income</t>
  </si>
  <si>
    <t>State Taxable Income</t>
  </si>
  <si>
    <t>Federal Tax 
Benefit/ (Liability)</t>
  </si>
  <si>
    <t>State Tax 
Benefit/ (Liability)</t>
  </si>
  <si>
    <t>After Tax Cash Flow</t>
  </si>
  <si>
    <t>Cumulative Cash Flow</t>
  </si>
  <si>
    <t>After Tax IRR</t>
  </si>
  <si>
    <t>Revenue + Tax Benefit/(Liability)</t>
  </si>
  <si>
    <t>Expenses + Cash Obligations</t>
  </si>
  <si>
    <t>Coverage</t>
  </si>
  <si>
    <t>COD</t>
  </si>
  <si>
    <t>Project/Contract Year</t>
  </si>
  <si>
    <t>Production Degradation Factor</t>
  </si>
  <si>
    <t>Production</t>
  </si>
  <si>
    <t>Tariff Rate &amp; Cash Incentives</t>
  </si>
  <si>
    <t>Tariff Rate Escalator, if applicable</t>
  </si>
  <si>
    <t>Federal PBI Escalator, if applicable</t>
  </si>
  <si>
    <t>State PBI Escalator, if applicable</t>
  </si>
  <si>
    <t>Tariff Rate (Fixed Portion)</t>
  </si>
  <si>
    <t>Tariff Rate (Escalating Portion)</t>
  </si>
  <si>
    <t>Tariff Rate (Total)</t>
  </si>
  <si>
    <t>Revenue from Tariff</t>
  </si>
  <si>
    <t>Post-Tariff Market Value of Production</t>
  </si>
  <si>
    <t>Market Revenue</t>
  </si>
  <si>
    <t>Federal Cash Incentive Rate</t>
  </si>
  <si>
    <t xml:space="preserve">Federal Cash Incentive  </t>
  </si>
  <si>
    <t>State Cash Incentive Rate</t>
  </si>
  <si>
    <t xml:space="preserve">State Cash Incentive  </t>
  </si>
  <si>
    <t>Interest Earned on Reserve Accounts</t>
  </si>
  <si>
    <t>Project Revenue, All Sources</t>
  </si>
  <si>
    <t>Project Expenses</t>
  </si>
  <si>
    <t>O&amp;M Inflation Factor</t>
  </si>
  <si>
    <t>Non-O&amp;M Inflation Factor</t>
  </si>
  <si>
    <t>Property Tax or PILOT Base Adjustment</t>
  </si>
  <si>
    <t>Fixed O&amp;M Expense</t>
  </si>
  <si>
    <t>Variable O&amp;M Expense</t>
  </si>
  <si>
    <t>Project Administration</t>
  </si>
  <si>
    <t>Property Tax or Payment in Lieu of Taxes (PILOT)</t>
  </si>
  <si>
    <t>Bond Expense for Decommissioning</t>
  </si>
  <si>
    <t xml:space="preserve">Total Operating Expenses </t>
  </si>
  <si>
    <t>Total Operating Expenses ($/kWh)</t>
  </si>
  <si>
    <t>EBITDA (Operating Income)</t>
  </si>
  <si>
    <t>Avg. DSCR</t>
  </si>
  <si>
    <t>Min DSCR</t>
  </si>
  <si>
    <t>Annual Debt Service Coverage Ratio</t>
  </si>
  <si>
    <t>Minimum DSSCR Year</t>
  </si>
  <si>
    <t>Loan Interest Expense</t>
  </si>
  <si>
    <t>Operating Income After Interest Expense</t>
  </si>
  <si>
    <t>Repayment of Loan Principal</t>
  </si>
  <si>
    <t>(Contributions to), and Liquidation of, Reserve Accounts</t>
  </si>
  <si>
    <t>Adjustment(s) for Major Equipment Replacement(s)</t>
  </si>
  <si>
    <t>Pre-Tax Cash Flow to Equity</t>
  </si>
  <si>
    <t>Project Cash Flows</t>
  </si>
  <si>
    <t>Equity Investment</t>
  </si>
  <si>
    <t>Net Pre-Tax Cash Flow to Equity</t>
  </si>
  <si>
    <t>Running IRR (Cash Only)</t>
  </si>
  <si>
    <t>Depreciation Expense (Federal)</t>
  </si>
  <si>
    <t>Depreciation Expense (State)</t>
  </si>
  <si>
    <r>
      <t xml:space="preserve">Taxable Income (Federal), </t>
    </r>
    <r>
      <rPr>
        <sz val="12"/>
        <rFont val="Arial"/>
        <family val="2"/>
      </rPr>
      <t>operating loss used as generated</t>
    </r>
  </si>
  <si>
    <r>
      <t xml:space="preserve">Taxable Income (State), </t>
    </r>
    <r>
      <rPr>
        <sz val="12"/>
        <rFont val="Arial"/>
        <family val="2"/>
      </rPr>
      <t>operating loss used as generated</t>
    </r>
  </si>
  <si>
    <r>
      <t>Taxable Income (Federal)</t>
    </r>
    <r>
      <rPr>
        <sz val="12"/>
        <rFont val="Arial"/>
        <family val="2"/>
      </rPr>
      <t>,           operating loss treatment ==&gt;&gt;</t>
    </r>
  </si>
  <si>
    <r>
      <t>Taxable Income (State),</t>
    </r>
    <r>
      <rPr>
        <sz val="12"/>
        <rFont val="Arial"/>
        <family val="2"/>
      </rPr>
      <t xml:space="preserve">               operating loss treatment ==&gt;&gt;</t>
    </r>
  </si>
  <si>
    <t>Federal Income Taxes Saved / (Paid), before ITC/PTC</t>
  </si>
  <si>
    <t>State Income Taxes Saved / (Paid), before ITC/PTC</t>
  </si>
  <si>
    <t>Cash Benefit of Federal ITC, Cash Grant, or PTC</t>
  </si>
  <si>
    <t>Cash Benefit of State ITC and/or PTC</t>
  </si>
  <si>
    <t>After-Tax Cash Flow to Equity</t>
  </si>
  <si>
    <t>Running IRR (After Tax)</t>
  </si>
  <si>
    <t>Simple Payback</t>
  </si>
  <si>
    <t>Simple Payback Year</t>
  </si>
  <si>
    <t>Pre-Tax (Cash-only) Equity IRR (over defined Useful Life)</t>
  </si>
  <si>
    <t>Yr 1 COE</t>
  </si>
  <si>
    <t>After Tax Equity IRR (over defined Useful Life)</t>
  </si>
  <si>
    <t>(cents/kWh)</t>
  </si>
  <si>
    <t>Supporting Calculations</t>
  </si>
  <si>
    <t xml:space="preserve">Debt Service:            </t>
  </si>
  <si>
    <t>Debt Sizing (Defined Capital Structure Method)</t>
  </si>
  <si>
    <t>Installed Cost (excluding cost of financing)</t>
  </si>
  <si>
    <t>Defined Debt-to-Total-Capital</t>
  </si>
  <si>
    <t>Size of Debt (including lenders fee)</t>
  </si>
  <si>
    <t xml:space="preserve">Loan Repayment </t>
  </si>
  <si>
    <t>Structured Debt Service Payment</t>
  </si>
  <si>
    <t>Interest</t>
  </si>
  <si>
    <t>Principal</t>
  </si>
  <si>
    <t>Loan Amortization</t>
  </si>
  <si>
    <t>Beginning Balance</t>
  </si>
  <si>
    <t>Drawdowns</t>
  </si>
  <si>
    <t>Principal Repayments</t>
  </si>
  <si>
    <t>Ending Balance</t>
  </si>
  <si>
    <t>Federal Depreciation:</t>
  </si>
  <si>
    <t>Project Cost Allocation</t>
  </si>
  <si>
    <t>Before</t>
  </si>
  <si>
    <t xml:space="preserve">% </t>
  </si>
  <si>
    <t xml:space="preserve">After </t>
  </si>
  <si>
    <t>Depreciation Schedules, Half-Year Convention</t>
  </si>
  <si>
    <t>Adjustments</t>
  </si>
  <si>
    <t>Allocation</t>
  </si>
  <si>
    <t>5 Year MACRS</t>
  </si>
  <si>
    <t>7 Year MACRS</t>
  </si>
  <si>
    <t>15 Year MACRS</t>
  </si>
  <si>
    <t>20 Year MACRS</t>
  </si>
  <si>
    <t>5 Year SL</t>
  </si>
  <si>
    <t>15 Year SL</t>
  </si>
  <si>
    <t>20 Year SL</t>
  </si>
  <si>
    <t>39 Year SL</t>
  </si>
  <si>
    <t>Bonus Depreciation</t>
  </si>
  <si>
    <t>Unadjusted</t>
  </si>
  <si>
    <t>Adjusted</t>
  </si>
  <si>
    <t>Project Cost Basis</t>
  </si>
  <si>
    <t>Adjustment to Cost Basis for ITC &amp; Non-taxable Grants</t>
  </si>
  <si>
    <t>Annual Depreciation Expense, Initial Installation</t>
  </si>
  <si>
    <t>Total Project Cost, adj for ITC/Grant if applicable</t>
  </si>
  <si>
    <t>check</t>
  </si>
  <si>
    <t xml:space="preserve">Total  </t>
  </si>
  <si>
    <t>Annual Depreciation Expense, Repairs &amp; Replacements</t>
  </si>
  <si>
    <t>1st Replacement</t>
  </si>
  <si>
    <t>Depreciation Timing</t>
  </si>
  <si>
    <t>Depreciation Expense</t>
  </si>
  <si>
    <t>2nd Replacement</t>
  </si>
  <si>
    <t>3rd Replacement</t>
  </si>
  <si>
    <t>4th Replacement</t>
  </si>
  <si>
    <t>Annual Depreciation Expense (Federal)</t>
  </si>
  <si>
    <t>Annual Depreciation Benefit (Federal)</t>
  </si>
  <si>
    <t>State Depreciation:</t>
  </si>
  <si>
    <t>Annual Depreciation Expense (State)</t>
  </si>
  <si>
    <t>Annual Depreciation Benefit (State)</t>
  </si>
  <si>
    <t>Operating Loss Carry-Forward, if applicable:</t>
  </si>
  <si>
    <t>Federal Carry-Forward</t>
  </si>
  <si>
    <t>Federal Taxable Income / (Operating Loss)</t>
  </si>
  <si>
    <t>Operating Loss Carry-Forward, Beginning Balance</t>
  </si>
  <si>
    <t>Additional Operating Loss Carried-Forward</t>
  </si>
  <si>
    <t>Utilization of Operating Loss Carry-Forward</t>
  </si>
  <si>
    <t>Operating Loss Carry-Forward, Ending Balance</t>
  </si>
  <si>
    <t>Taxable Income with Operating Loss Carry-Forward (Federal)</t>
  </si>
  <si>
    <t>State Carry-Forward</t>
  </si>
  <si>
    <t>State Taxable Income / (Operating Loss)</t>
  </si>
  <si>
    <t>Taxable Income with Operating Loss Carry-Forward (State)</t>
  </si>
  <si>
    <t>Federal Tax Credit Benefits, if applicable:</t>
  </si>
  <si>
    <t>Federal ITC (as generated)</t>
  </si>
  <si>
    <t>Federal PTC (as generated)</t>
  </si>
  <si>
    <t>Applicable Tax Credits, as generated</t>
  </si>
  <si>
    <t>Carry-Forward Scenario:</t>
  </si>
  <si>
    <t>Tax Benefit Carry-Forward, Beginning Balance</t>
  </si>
  <si>
    <t>Additional Tax Benefit Carry-Forward</t>
  </si>
  <si>
    <t>Utilization of Tax Benefit Carry-Forward</t>
  </si>
  <si>
    <t>Tax Benefit Carry-Forward, Ending Balance</t>
  </si>
  <si>
    <t>State Tax Credit Benefits, if applicable:</t>
  </si>
  <si>
    <t>State ITC (as generated)</t>
  </si>
  <si>
    <t>State PTC (as generated)</t>
  </si>
  <si>
    <t>Reserve Accounts:</t>
  </si>
  <si>
    <t>O&amp;M/Working Capital Reserve</t>
  </si>
  <si>
    <t>Major Equipment Replacement Reserves #1</t>
  </si>
  <si>
    <t>(max funding period, yrs)</t>
  </si>
  <si>
    <t>Major Equipment Replacement Reserves #2</t>
  </si>
  <si>
    <t>Major Equipment Replacement Reserves #3</t>
  </si>
  <si>
    <t>Major Equipment Replacement Reserves #4</t>
  </si>
  <si>
    <t>Interest on Reserves</t>
  </si>
  <si>
    <t>Annual Contributions to/(Liquidations of) Reserves</t>
  </si>
  <si>
    <t>COE Data Tables</t>
  </si>
  <si>
    <t>NPV</t>
  </si>
  <si>
    <t>Range Min</t>
  </si>
  <si>
    <t>Range Max</t>
  </si>
  <si>
    <t>Calculation of COE when tax benefits are "Carried Forward"</t>
  </si>
  <si>
    <t>Complex Inputs for Deriving Total Project Capital Cost, if applicable</t>
  </si>
  <si>
    <t>Sample inputs provided on this tab are illustrative only, all inputs must be provided and validated by the user.</t>
  </si>
  <si>
    <t>% Eligible for ITC</t>
  </si>
  <si>
    <t>Depreciation Classification</t>
  </si>
  <si>
    <t>Wind Turbine Generator and Blades</t>
  </si>
  <si>
    <t>Tower</t>
  </si>
  <si>
    <t>SCADA</t>
  </si>
  <si>
    <t>Cold Weather Package</t>
  </si>
  <si>
    <t>FAA Lighting</t>
  </si>
  <si>
    <t>Man-Lift</t>
  </si>
  <si>
    <t>Transportation to Site</t>
  </si>
  <si>
    <t>Sales Tax</t>
  </si>
  <si>
    <t>Commissioning</t>
  </si>
  <si>
    <t>placeholder</t>
  </si>
  <si>
    <t>Total Generation Equipment Cost</t>
  </si>
  <si>
    <t>Click Here to Return to Inputs Worksheet</t>
  </si>
  <si>
    <t>Mobilization</t>
  </si>
  <si>
    <t>Site Survey</t>
  </si>
  <si>
    <t>Clear &amp; Grub</t>
  </si>
  <si>
    <t>Site Preparation</t>
  </si>
  <si>
    <t>Access Roads</t>
  </si>
  <si>
    <t>Foundations</t>
  </si>
  <si>
    <t>Wind Turbine Generator Installation</t>
  </si>
  <si>
    <t>Engineering</t>
  </si>
  <si>
    <t>O&amp;M Building</t>
  </si>
  <si>
    <t>Total Balance of Plant Cost</t>
  </si>
  <si>
    <t>Substation</t>
  </si>
  <si>
    <t>Transformer</t>
  </si>
  <si>
    <t>Metering</t>
  </si>
  <si>
    <t>Utility System Improvements</t>
  </si>
  <si>
    <t>Total Interconnection Cost</t>
  </si>
  <si>
    <t>Site Selection &amp; Evaluation</t>
  </si>
  <si>
    <t>Site Acquisition Cost</t>
  </si>
  <si>
    <t>Permitting</t>
  </si>
  <si>
    <t>Engineering/Design</t>
  </si>
  <si>
    <t>Resource Analysis</t>
  </si>
  <si>
    <t>Other Development Costs</t>
  </si>
  <si>
    <t>Total Development Costs &amp; Fees</t>
  </si>
  <si>
    <t>Lender Fee</t>
  </si>
  <si>
    <t>Other Equity &amp; Debt Closing Costs</t>
  </si>
  <si>
    <t>Initial Funding of Debt Service &amp; Working Capital/O&amp;M Reserves</t>
  </si>
  <si>
    <t>Total Project Costs</t>
  </si>
  <si>
    <t>Cost Category</t>
  </si>
  <si>
    <t>$ Eligible for ITC</t>
  </si>
  <si>
    <t>Taxable Entity? (turns on/off ITC and depreciation input cells)</t>
  </si>
  <si>
    <t>Year-by-Year Inputs for Market Value of Production, if applicable</t>
  </si>
  <si>
    <t>contract start year:</t>
  </si>
  <si>
    <t>Project Year</t>
  </si>
  <si>
    <t>Bundled* Market Value of Production (¢/kWh)</t>
  </si>
  <si>
    <t>(¢/kWh)</t>
  </si>
  <si>
    <t>host-owned</t>
  </si>
  <si>
    <t>Residual REC Price Assumption (¢/kWh)</t>
  </si>
  <si>
    <t>* Includes energy, capacity &amp; RECs</t>
  </si>
  <si>
    <t>Commercial Solar I (PY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</si>
</sst>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quot;Project&quot;\ #"/>
    <numFmt numFmtId="167" formatCode="0\ &quot;kW&quot;"/>
    <numFmt numFmtId="168" formatCode="#\ &quot;Years&quot;"/>
    <numFmt numFmtId="169" formatCode="&quot;$&quot;#,##0"/>
    <numFmt numFmtId="170" formatCode="&quot;$&quot;#.##&quot;/ Watt&quot;"/>
    <numFmt numFmtId="171" formatCode="&quot;$&quot;#,##0.00"/>
    <numFmt numFmtId="172" formatCode="0.0000"/>
    <numFmt numFmtId="173" formatCode="0.000"/>
    <numFmt numFmtId="174" formatCode="_(* #,##0_);_(* \(#,##0\);_(* &quot;-&quot;??_);_(@_)"/>
    <numFmt numFmtId="175" formatCode="0.000000"/>
    <numFmt numFmtId="176" formatCode="&quot;Year&quot;\ #"/>
    <numFmt numFmtId="177" formatCode="0.0"/>
    <numFmt numFmtId="178" formatCode="&quot;Net Present Value @&quot;\ ##.00%\ &quot;(over defined Useful Life)&quot;"/>
    <numFmt numFmtId="179" formatCode="_(* #,##0.0_);_(* \(#,##0.0\);_(* &quot;-&quot;??_);_(@_)"/>
    <numFmt numFmtId="180" formatCode="0.000000%"/>
    <numFmt numFmtId="181" formatCode="_(&quot;$&quot;* #,##0.0_);_(&quot;$&quot;* \(#,##0.0\);_(&quot;$&quot;* &quot;-&quot;??_);_(@_)"/>
    <numFmt numFmtId="182" formatCode="0.000%"/>
  </numFmts>
  <fonts count="99">
    <font>
      <sz val="11"/>
      <color theme="1"/>
      <name val="Calibri"/>
      <family val="2"/>
      <scheme val="minor"/>
    </font>
    <font>
      <sz val="11"/>
      <color theme="1"/>
      <name val="Calibri"/>
      <family val="2"/>
      <scheme val="minor"/>
    </font>
    <font>
      <b/>
      <sz val="12"/>
      <name val="Arial"/>
      <family val="2"/>
    </font>
    <font>
      <i/>
      <sz val="12"/>
      <name val="Arial"/>
      <family val="2"/>
    </font>
    <font>
      <b/>
      <sz val="12"/>
      <color indexed="62"/>
      <name val="Arial"/>
      <family val="2"/>
    </font>
    <font>
      <sz val="12"/>
      <name val="Arial"/>
      <family val="2"/>
    </font>
    <font>
      <sz val="12"/>
      <color rgb="FFFF0000"/>
      <name val="Arial"/>
      <family val="2"/>
    </font>
    <font>
      <b/>
      <sz val="14"/>
      <name val="Arial"/>
      <family val="2"/>
    </font>
    <font>
      <b/>
      <sz val="12"/>
      <color theme="3"/>
      <name val="Arial"/>
      <family val="2"/>
    </font>
    <font>
      <b/>
      <i/>
      <sz val="10"/>
      <name val="Arial"/>
      <family val="2"/>
    </font>
    <font>
      <i/>
      <sz val="11"/>
      <name val="Arial"/>
      <family val="2"/>
    </font>
    <font>
      <b/>
      <sz val="12"/>
      <color indexed="56"/>
      <name val="Arial"/>
      <family val="2"/>
    </font>
    <font>
      <b/>
      <sz val="8"/>
      <color indexed="81"/>
      <name val="Tahoma"/>
      <family val="2"/>
    </font>
    <font>
      <sz val="8"/>
      <color indexed="81"/>
      <name val="Tahoma"/>
      <family val="2"/>
    </font>
    <font>
      <b/>
      <sz val="12"/>
      <color rgb="FFFF0000"/>
      <name val="Arial"/>
      <family val="2"/>
    </font>
    <font>
      <b/>
      <sz val="12"/>
      <color theme="0" tint="-0.14999847407452621"/>
      <name val="Arial"/>
      <family val="2"/>
    </font>
    <font>
      <u/>
      <sz val="8.8000000000000007"/>
      <color theme="10"/>
      <name val="Calibri"/>
      <family val="2"/>
    </font>
    <font>
      <b/>
      <sz val="14"/>
      <color indexed="81"/>
      <name val="Tahoma"/>
      <family val="2"/>
    </font>
    <font>
      <sz val="14"/>
      <color indexed="81"/>
      <name val="Tahoma"/>
      <family val="2"/>
    </font>
    <font>
      <sz val="10"/>
      <name val="Arial"/>
      <family val="2"/>
    </font>
    <font>
      <b/>
      <i/>
      <sz val="12"/>
      <name val="Arial"/>
      <family val="2"/>
    </font>
    <font>
      <u/>
      <sz val="12"/>
      <name val="Arial"/>
      <family val="2"/>
    </font>
    <font>
      <b/>
      <sz val="12"/>
      <color indexed="81"/>
      <name val="Tahoma"/>
      <family val="2"/>
    </font>
    <font>
      <b/>
      <sz val="12"/>
      <color theme="4"/>
      <name val="Arial"/>
      <family val="2"/>
    </font>
    <font>
      <b/>
      <sz val="11"/>
      <color rgb="FFFF0000"/>
      <name val="Calibri"/>
      <family val="2"/>
      <scheme val="minor"/>
    </font>
    <font>
      <u/>
      <sz val="14"/>
      <color indexed="81"/>
      <name val="Tahoma"/>
      <family val="2"/>
    </font>
    <font>
      <b/>
      <u/>
      <sz val="12"/>
      <color theme="0" tint="-0.249977111117893"/>
      <name val="Arial"/>
      <family val="2"/>
    </font>
    <font>
      <sz val="12"/>
      <color theme="1"/>
      <name val="Arial"/>
      <family val="2"/>
    </font>
    <font>
      <b/>
      <sz val="12"/>
      <color indexed="12"/>
      <name val="Arial"/>
      <family val="2"/>
    </font>
    <font>
      <sz val="12"/>
      <color indexed="8"/>
      <name val="Arial"/>
      <family val="2"/>
    </font>
    <font>
      <i/>
      <sz val="12"/>
      <color rgb="FFFF0000"/>
      <name val="Arial"/>
      <family val="2"/>
    </font>
    <font>
      <u/>
      <sz val="18"/>
      <color theme="10"/>
      <name val="Calibri"/>
      <family val="2"/>
    </font>
    <font>
      <b/>
      <sz val="12"/>
      <color indexed="56"/>
      <name val="Times New Roman"/>
      <family val="1"/>
    </font>
    <font>
      <i/>
      <u/>
      <sz val="12"/>
      <name val="Arial"/>
      <family val="2"/>
    </font>
    <font>
      <b/>
      <u/>
      <sz val="12"/>
      <name val="Arial"/>
      <family val="2"/>
    </font>
    <font>
      <b/>
      <sz val="14"/>
      <name val="Tahoma"/>
      <family val="2"/>
    </font>
    <font>
      <b/>
      <i/>
      <sz val="14"/>
      <color rgb="FFC00000"/>
      <name val="Tahoma"/>
      <family val="2"/>
    </font>
    <font>
      <i/>
      <sz val="11"/>
      <color rgb="FFC00000"/>
      <name val="Calibri"/>
      <family val="2"/>
      <scheme val="minor"/>
    </font>
    <font>
      <b/>
      <i/>
      <sz val="11"/>
      <color rgb="FFC00000"/>
      <name val="Calibri"/>
      <family val="2"/>
      <scheme val="minor"/>
    </font>
    <font>
      <b/>
      <i/>
      <sz val="12"/>
      <color theme="4"/>
      <name val="Arial"/>
      <family val="2"/>
    </font>
    <font>
      <sz val="12"/>
      <color rgb="FFC00000"/>
      <name val="Arial"/>
      <family val="2"/>
    </font>
    <font>
      <b/>
      <sz val="12"/>
      <color theme="1"/>
      <name val="Arial"/>
      <family val="2"/>
    </font>
    <font>
      <sz val="11"/>
      <color theme="1"/>
      <name val="Arial"/>
      <family val="2"/>
    </font>
    <font>
      <b/>
      <sz val="14"/>
      <color theme="1"/>
      <name val="Arial"/>
      <family val="2"/>
    </font>
    <font>
      <b/>
      <sz val="11"/>
      <color theme="1"/>
      <name val="Arial"/>
      <family val="2"/>
    </font>
    <font>
      <b/>
      <sz val="11"/>
      <name val="Arial"/>
      <family val="2"/>
    </font>
    <font>
      <sz val="11"/>
      <name val="Arial"/>
      <family val="2"/>
    </font>
    <font>
      <b/>
      <i/>
      <sz val="11"/>
      <name val="Arial"/>
      <family val="2"/>
    </font>
    <font>
      <i/>
      <sz val="11"/>
      <color theme="1"/>
      <name val="Arial"/>
      <family val="2"/>
    </font>
    <font>
      <b/>
      <i/>
      <sz val="11"/>
      <color rgb="FFC00000"/>
      <name val="Arial"/>
      <family val="2"/>
    </font>
    <font>
      <b/>
      <sz val="11"/>
      <color theme="4"/>
      <name val="Arial"/>
      <family val="2"/>
    </font>
    <font>
      <i/>
      <sz val="12"/>
      <color theme="0" tint="-0.499984740745262"/>
      <name val="Arial"/>
      <family val="2"/>
    </font>
    <font>
      <b/>
      <sz val="12"/>
      <color theme="0"/>
      <name val="Arial"/>
      <family val="2"/>
    </font>
    <font>
      <b/>
      <i/>
      <u/>
      <sz val="12"/>
      <name val="Arial"/>
      <family val="2"/>
    </font>
    <font>
      <b/>
      <sz val="12"/>
      <name val="Tahoma"/>
      <family val="2"/>
    </font>
    <font>
      <sz val="14"/>
      <name val="Arial"/>
      <family val="2"/>
    </font>
    <font>
      <b/>
      <i/>
      <sz val="12"/>
      <color theme="0" tint="-0.249977111117893"/>
      <name val="Arial"/>
      <family val="2"/>
    </font>
    <font>
      <i/>
      <sz val="10"/>
      <color theme="0" tint="-0.499984740745262"/>
      <name val="Arial"/>
      <family val="2"/>
    </font>
    <font>
      <b/>
      <u/>
      <sz val="12"/>
      <color theme="0"/>
      <name val="Arial"/>
      <family val="2"/>
    </font>
    <font>
      <i/>
      <sz val="11"/>
      <color theme="0" tint="-0.34998626667073579"/>
      <name val="Arial"/>
      <family val="2"/>
    </font>
    <font>
      <sz val="12"/>
      <color theme="0" tint="-0.14999847407452621"/>
      <name val="Arial"/>
      <family val="2"/>
    </font>
    <font>
      <i/>
      <sz val="12"/>
      <color theme="0" tint="-0.14999847407452621"/>
      <name val="Arial"/>
      <family val="2"/>
    </font>
    <font>
      <sz val="12"/>
      <color theme="0"/>
      <name val="Arial"/>
      <family val="2"/>
    </font>
    <font>
      <i/>
      <sz val="12"/>
      <color theme="1"/>
      <name val="Arial"/>
      <family val="2"/>
    </font>
    <font>
      <b/>
      <i/>
      <sz val="11"/>
      <color theme="1"/>
      <name val="Arial"/>
      <family val="2"/>
    </font>
    <font>
      <b/>
      <u/>
      <sz val="12"/>
      <color theme="0" tint="-0.14999847407452621"/>
      <name val="Arial"/>
      <family val="2"/>
    </font>
    <font>
      <u/>
      <sz val="12"/>
      <color theme="10"/>
      <name val="Arial"/>
      <family val="2"/>
    </font>
    <font>
      <b/>
      <u/>
      <sz val="12"/>
      <color theme="10"/>
      <name val="Arial"/>
      <family val="2"/>
    </font>
    <font>
      <sz val="12"/>
      <color indexed="81"/>
      <name val="Tahoma"/>
      <family val="2"/>
    </font>
    <font>
      <b/>
      <i/>
      <sz val="11"/>
      <color rgb="FF00B050"/>
      <name val="Arial"/>
      <family val="2"/>
    </font>
    <font>
      <b/>
      <i/>
      <sz val="14"/>
      <color indexed="81"/>
      <name val="Tahoma"/>
      <family val="2"/>
    </font>
    <font>
      <b/>
      <sz val="12"/>
      <color theme="0" tint="-0.249977111117893"/>
      <name val="Arial"/>
      <family val="2"/>
    </font>
    <font>
      <sz val="12"/>
      <color theme="0" tint="-0.249977111117893"/>
      <name val="Arial"/>
      <family val="2"/>
    </font>
    <font>
      <b/>
      <sz val="11"/>
      <color rgb="FFFFFF00"/>
      <name val="Arial"/>
      <family val="2"/>
    </font>
    <font>
      <b/>
      <u/>
      <sz val="14"/>
      <color indexed="81"/>
      <name val="Tahoma"/>
      <family val="2"/>
    </font>
    <font>
      <b/>
      <i/>
      <u/>
      <sz val="12"/>
      <color theme="1"/>
      <name val="Arial"/>
      <family val="2"/>
    </font>
    <font>
      <b/>
      <sz val="11"/>
      <color theme="1"/>
      <name val="Calibri"/>
      <family val="2"/>
      <scheme val="minor"/>
    </font>
    <font>
      <sz val="11"/>
      <color theme="5"/>
      <name val="Calibri"/>
      <family val="2"/>
      <scheme val="minor"/>
    </font>
    <font>
      <sz val="11"/>
      <color theme="3"/>
      <name val="Calibri"/>
      <family val="2"/>
      <scheme val="minor"/>
    </font>
    <font>
      <sz val="12"/>
      <color rgb="FF0070C0"/>
      <name val="Arial"/>
      <family val="2"/>
    </font>
    <font>
      <b/>
      <sz val="16"/>
      <color theme="1"/>
      <name val="Arial"/>
      <family val="2"/>
    </font>
    <font>
      <sz val="12"/>
      <name val="Arial"/>
      <family val="2"/>
    </font>
    <font>
      <sz val="11"/>
      <color rgb="FF0070C0"/>
      <name val="Calibri"/>
      <family val="2"/>
      <scheme val="minor"/>
    </font>
    <font>
      <b/>
      <sz val="16"/>
      <color rgb="FF000000"/>
      <name val="Calibri"/>
      <family val="2"/>
    </font>
    <font>
      <sz val="11"/>
      <color theme="1"/>
      <name val="Calibri"/>
      <family val="2"/>
    </font>
    <font>
      <b/>
      <sz val="11"/>
      <color rgb="FF000000"/>
      <name val="Calibri"/>
      <family val="2"/>
    </font>
    <font>
      <b/>
      <sz val="11"/>
      <color rgb="FF0070C0"/>
      <name val="Calibri"/>
      <family val="2"/>
    </font>
    <font>
      <i/>
      <sz val="11"/>
      <color rgb="FF000000"/>
      <name val="Calibri"/>
      <family val="2"/>
    </font>
    <font>
      <sz val="11"/>
      <color theme="4"/>
      <name val="Calibri"/>
      <family val="2"/>
      <scheme val="minor"/>
    </font>
    <font>
      <sz val="16"/>
      <color rgb="FF000000"/>
      <name val="Calibri"/>
      <family val="2"/>
    </font>
    <font>
      <b/>
      <sz val="20"/>
      <color theme="1"/>
      <name val="Calibri"/>
      <family val="2"/>
      <scheme val="minor"/>
    </font>
    <font>
      <b/>
      <i/>
      <sz val="14"/>
      <color theme="1"/>
      <name val="Calibri"/>
      <family val="2"/>
      <scheme val="minor"/>
    </font>
    <font>
      <sz val="11"/>
      <color theme="0" tint="-0.249977111117893"/>
      <name val="Calibri"/>
      <family val="2"/>
      <scheme val="minor"/>
    </font>
    <font>
      <sz val="11"/>
      <name val="Calibri"/>
      <family val="2"/>
      <scheme val="minor"/>
    </font>
    <font>
      <b/>
      <sz val="28"/>
      <color theme="1"/>
      <name val="Calibri"/>
      <family val="2"/>
      <scheme val="minor"/>
    </font>
    <font>
      <b/>
      <sz val="11"/>
      <color theme="4"/>
      <name val="Calibri"/>
      <family val="2"/>
    </font>
    <font>
      <b/>
      <sz val="11"/>
      <name val="Calibri"/>
      <family val="2"/>
      <scheme val="minor"/>
    </font>
    <font>
      <i/>
      <sz val="11"/>
      <color theme="1"/>
      <name val="Calibri"/>
      <family val="2"/>
      <scheme val="minor"/>
    </font>
    <font>
      <b/>
      <sz val="10"/>
      <color indexed="81"/>
      <name val="Tahoma"/>
      <family val="2"/>
    </font>
  </fonts>
  <fills count="20">
    <fill>
      <patternFill patternType="none"/>
    </fill>
    <fill>
      <patternFill patternType="gray125"/>
    </fill>
    <fill>
      <patternFill patternType="solid">
        <fgColor indexed="9"/>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99"/>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indexed="2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rgb="FF00B050"/>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rgb="FFFDE9D9"/>
        <bgColor rgb="FF000000"/>
      </patternFill>
    </fill>
    <fill>
      <patternFill patternType="solid">
        <fgColor rgb="FFFCD5B4"/>
        <bgColor rgb="FF000000"/>
      </patternFill>
    </fill>
    <fill>
      <patternFill patternType="solid">
        <fgColor theme="7" tint="0.59999389629810485"/>
        <bgColor indexed="64"/>
      </patternFill>
    </fill>
  </fills>
  <borders count="7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thin">
        <color indexed="64"/>
      </bottom>
      <diagonal/>
    </border>
    <border>
      <left/>
      <right/>
      <top style="medium">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0">
    <xf numFmtId="0" fontId="0" fillId="0" borderId="0"/>
    <xf numFmtId="44" fontId="1"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alignment vertical="top"/>
      <protection locked="0"/>
    </xf>
    <xf numFmtId="9" fontId="19"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4" fontId="19" fillId="0" borderId="0" applyFont="0" applyFill="0" applyBorder="0" applyAlignment="0" applyProtection="0"/>
  </cellStyleXfs>
  <cellXfs count="820">
    <xf numFmtId="0" fontId="0" fillId="0" borderId="0" xfId="0"/>
    <xf numFmtId="0" fontId="5" fillId="0" borderId="0" xfId="0" applyFont="1"/>
    <xf numFmtId="0" fontId="2" fillId="5" borderId="1" xfId="0" applyFont="1" applyFill="1" applyBorder="1" applyAlignment="1">
      <alignment horizontal="left"/>
    </xf>
    <xf numFmtId="0" fontId="9" fillId="5" borderId="2" xfId="0" applyFont="1" applyFill="1" applyBorder="1" applyAlignment="1">
      <alignment horizontal="center"/>
    </xf>
    <xf numFmtId="166" fontId="10" fillId="5" borderId="3" xfId="0" applyNumberFormat="1" applyFont="1" applyFill="1" applyBorder="1" applyAlignment="1">
      <alignment horizontal="center"/>
    </xf>
    <xf numFmtId="0" fontId="2" fillId="5" borderId="1" xfId="0" applyFont="1" applyFill="1" applyBorder="1"/>
    <xf numFmtId="0" fontId="3" fillId="2" borderId="5" xfId="0" applyFont="1" applyFill="1" applyBorder="1" applyAlignment="1">
      <alignment horizontal="center"/>
    </xf>
    <xf numFmtId="0" fontId="3" fillId="2" borderId="4" xfId="0" applyFont="1" applyFill="1" applyBorder="1" applyAlignment="1">
      <alignment horizontal="center"/>
    </xf>
    <xf numFmtId="0" fontId="3" fillId="0" borderId="4" xfId="0" applyFont="1" applyBorder="1" applyAlignment="1">
      <alignment horizontal="center"/>
    </xf>
    <xf numFmtId="0" fontId="5" fillId="2" borderId="4" xfId="0" applyFont="1" applyFill="1" applyBorder="1"/>
    <xf numFmtId="3" fontId="2" fillId="5" borderId="1" xfId="0" applyNumberFormat="1" applyFont="1" applyFill="1" applyBorder="1" applyAlignment="1">
      <alignment horizontal="left"/>
    </xf>
    <xf numFmtId="0" fontId="5" fillId="0" borderId="8" xfId="0" applyFont="1" applyBorder="1"/>
    <xf numFmtId="0" fontId="14" fillId="0" borderId="4" xfId="0" applyFont="1" applyBorder="1" applyAlignment="1">
      <alignment horizontal="center"/>
    </xf>
    <xf numFmtId="0" fontId="14" fillId="0" borderId="0" xfId="0" applyFont="1" applyAlignment="1">
      <alignment horizontal="center"/>
    </xf>
    <xf numFmtId="0" fontId="7" fillId="0" borderId="0" xfId="0" applyFont="1" applyAlignment="1">
      <alignment horizontal="center"/>
    </xf>
    <xf numFmtId="0" fontId="2" fillId="0" borderId="0" xfId="0" applyFont="1" applyAlignment="1">
      <alignment horizontal="center"/>
    </xf>
    <xf numFmtId="0" fontId="5" fillId="0" borderId="2" xfId="0" applyFont="1" applyBorder="1"/>
    <xf numFmtId="0" fontId="5" fillId="0" borderId="0" xfId="0" applyFont="1" applyAlignment="1">
      <alignment horizontal="center"/>
    </xf>
    <xf numFmtId="0" fontId="5" fillId="2" borderId="0" xfId="0" applyFont="1" applyFill="1"/>
    <xf numFmtId="0" fontId="23" fillId="0" borderId="2" xfId="0" applyFont="1" applyBorder="1" applyAlignment="1">
      <alignment horizontal="center" vertical="center"/>
    </xf>
    <xf numFmtId="0" fontId="7" fillId="0" borderId="2" xfId="0" applyFont="1" applyBorder="1" applyAlignment="1">
      <alignment horizontal="left"/>
    </xf>
    <xf numFmtId="9" fontId="8" fillId="0" borderId="0" xfId="0" applyNumberFormat="1" applyFont="1" applyAlignment="1">
      <alignment horizontal="center"/>
    </xf>
    <xf numFmtId="0" fontId="5" fillId="5" borderId="2" xfId="0" applyFont="1" applyFill="1" applyBorder="1"/>
    <xf numFmtId="0" fontId="2" fillId="0" borderId="14" xfId="0" applyFont="1" applyBorder="1" applyAlignment="1">
      <alignment horizontal="center"/>
    </xf>
    <xf numFmtId="0" fontId="3" fillId="0" borderId="5" xfId="0" applyFont="1" applyBorder="1" applyAlignment="1">
      <alignment horizontal="center"/>
    </xf>
    <xf numFmtId="173" fontId="5" fillId="0" borderId="0" xfId="0" applyNumberFormat="1" applyFont="1"/>
    <xf numFmtId="0" fontId="2" fillId="0" borderId="0" xfId="0" applyFont="1"/>
    <xf numFmtId="3" fontId="5" fillId="0" borderId="0" xfId="0" applyNumberFormat="1" applyFont="1"/>
    <xf numFmtId="169" fontId="5" fillId="0" borderId="0" xfId="0" applyNumberFormat="1" applyFont="1"/>
    <xf numFmtId="0" fontId="5" fillId="0" borderId="9" xfId="0" applyFont="1" applyBorder="1"/>
    <xf numFmtId="169" fontId="2" fillId="0" borderId="0" xfId="0" applyNumberFormat="1" applyFont="1"/>
    <xf numFmtId="6" fontId="5" fillId="0" borderId="0" xfId="0" applyNumberFormat="1" applyFont="1"/>
    <xf numFmtId="6" fontId="5" fillId="0" borderId="9" xfId="0" applyNumberFormat="1" applyFont="1" applyBorder="1"/>
    <xf numFmtId="6" fontId="2" fillId="0" borderId="0" xfId="0" applyNumberFormat="1" applyFont="1"/>
    <xf numFmtId="0" fontId="3" fillId="0" borderId="0" xfId="0" applyFont="1"/>
    <xf numFmtId="40" fontId="3" fillId="0" borderId="0" xfId="0" applyNumberFormat="1" applyFont="1" applyAlignment="1">
      <alignment horizontal="center"/>
    </xf>
    <xf numFmtId="0" fontId="2" fillId="0" borderId="0" xfId="0" applyFont="1" applyAlignment="1">
      <alignment wrapText="1"/>
    </xf>
    <xf numFmtId="0" fontId="20" fillId="0" borderId="0" xfId="0" applyFont="1" applyAlignment="1">
      <alignment wrapText="1"/>
    </xf>
    <xf numFmtId="164" fontId="3" fillId="0" borderId="0" xfId="2" applyNumberFormat="1" applyFont="1"/>
    <xf numFmtId="0" fontId="2" fillId="0" borderId="22" xfId="0" applyFont="1" applyBorder="1"/>
    <xf numFmtId="0" fontId="5" fillId="0" borderId="22" xfId="0" applyFont="1" applyBorder="1"/>
    <xf numFmtId="0" fontId="2" fillId="9" borderId="0" xfId="0" applyFont="1" applyFill="1"/>
    <xf numFmtId="0" fontId="5" fillId="9" borderId="0" xfId="0" applyFont="1" applyFill="1"/>
    <xf numFmtId="6" fontId="5" fillId="9" borderId="0" xfId="0" applyNumberFormat="1" applyFont="1" applyFill="1"/>
    <xf numFmtId="0" fontId="20" fillId="9" borderId="0" xfId="0" applyFont="1" applyFill="1" applyAlignment="1">
      <alignment horizontal="center"/>
    </xf>
    <xf numFmtId="0" fontId="24" fillId="0" borderId="0" xfId="0" applyFont="1" applyAlignment="1">
      <alignment horizontal="center"/>
    </xf>
    <xf numFmtId="3" fontId="2" fillId="9" borderId="1" xfId="0" applyNumberFormat="1" applyFont="1" applyFill="1" applyBorder="1" applyAlignment="1">
      <alignment horizontal="left" vertical="center"/>
    </xf>
    <xf numFmtId="3" fontId="3" fillId="9" borderId="2" xfId="0" applyNumberFormat="1" applyFont="1" applyFill="1" applyBorder="1" applyAlignment="1">
      <alignment horizontal="center" vertical="center"/>
    </xf>
    <xf numFmtId="0" fontId="0" fillId="4" borderId="2" xfId="0" applyFill="1" applyBorder="1"/>
    <xf numFmtId="0" fontId="0" fillId="4" borderId="3" xfId="0" applyFill="1" applyBorder="1"/>
    <xf numFmtId="0" fontId="5" fillId="2" borderId="4" xfId="0" applyFont="1" applyFill="1" applyBorder="1" applyAlignment="1">
      <alignment vertical="center"/>
    </xf>
    <xf numFmtId="0" fontId="5" fillId="0" borderId="4" xfId="0" applyFont="1" applyBorder="1" applyAlignment="1">
      <alignment vertical="center"/>
    </xf>
    <xf numFmtId="9" fontId="2" fillId="2" borderId="5" xfId="2" applyFont="1" applyFill="1" applyBorder="1" applyAlignment="1">
      <alignment horizontal="center"/>
    </xf>
    <xf numFmtId="0" fontId="31" fillId="0" borderId="0" xfId="3" applyFont="1" applyAlignment="1" applyProtection="1">
      <alignment vertical="center"/>
    </xf>
    <xf numFmtId="9" fontId="32" fillId="2" borderId="5" xfId="2" applyFont="1" applyFill="1" applyBorder="1" applyAlignment="1">
      <alignment horizontal="center"/>
    </xf>
    <xf numFmtId="0" fontId="3" fillId="0" borderId="0" xfId="0" applyFont="1" applyAlignment="1">
      <alignment horizontal="center"/>
    </xf>
    <xf numFmtId="9" fontId="5" fillId="2" borderId="5" xfId="2" applyFont="1" applyFill="1" applyBorder="1" applyAlignment="1">
      <alignment horizontal="center" vertical="center"/>
    </xf>
    <xf numFmtId="166" fontId="10" fillId="0" borderId="0" xfId="0" applyNumberFormat="1" applyFont="1" applyAlignment="1">
      <alignment horizontal="center"/>
    </xf>
    <xf numFmtId="0" fontId="3" fillId="0" borderId="9" xfId="0" applyFont="1" applyBorder="1" applyAlignment="1">
      <alignment horizontal="center"/>
    </xf>
    <xf numFmtId="0" fontId="20" fillId="0" borderId="0" xfId="0" applyFont="1" applyAlignment="1">
      <alignment horizontal="center"/>
    </xf>
    <xf numFmtId="172" fontId="5" fillId="0" borderId="0" xfId="0" applyNumberFormat="1" applyFont="1" applyAlignment="1">
      <alignment horizontal="center"/>
    </xf>
    <xf numFmtId="8" fontId="3" fillId="0" borderId="0" xfId="0" applyNumberFormat="1" applyFont="1" applyAlignment="1">
      <alignment horizontal="center"/>
    </xf>
    <xf numFmtId="10" fontId="5" fillId="0" borderId="0" xfId="2" applyNumberFormat="1" applyFont="1"/>
    <xf numFmtId="9" fontId="5" fillId="0" borderId="0" xfId="0" applyNumberFormat="1" applyFont="1"/>
    <xf numFmtId="41" fontId="5" fillId="0" borderId="0" xfId="0" applyNumberFormat="1" applyFont="1"/>
    <xf numFmtId="2" fontId="28" fillId="0" borderId="0" xfId="0" applyNumberFormat="1" applyFont="1" applyAlignment="1">
      <alignment horizontal="center"/>
    </xf>
    <xf numFmtId="0" fontId="5" fillId="9" borderId="22" xfId="0" applyFont="1" applyFill="1" applyBorder="1"/>
    <xf numFmtId="2" fontId="3" fillId="0" borderId="0" xfId="0" applyNumberFormat="1" applyFont="1"/>
    <xf numFmtId="0" fontId="35" fillId="4" borderId="1" xfId="0" applyFont="1" applyFill="1" applyBorder="1" applyAlignment="1">
      <alignment horizontal="left" vertical="center"/>
    </xf>
    <xf numFmtId="0" fontId="24" fillId="4" borderId="2" xfId="0" applyFont="1" applyFill="1" applyBorder="1" applyAlignment="1">
      <alignment horizontal="center"/>
    </xf>
    <xf numFmtId="0" fontId="36" fillId="6" borderId="1" xfId="0" applyFont="1" applyFill="1" applyBorder="1"/>
    <xf numFmtId="0" fontId="37" fillId="6" borderId="2" xfId="0" applyFont="1" applyFill="1" applyBorder="1"/>
    <xf numFmtId="0" fontId="38" fillId="6" borderId="2" xfId="0" applyFont="1" applyFill="1" applyBorder="1" applyAlignment="1">
      <alignment horizontal="center"/>
    </xf>
    <xf numFmtId="9" fontId="23" fillId="0" borderId="4" xfId="0" applyNumberFormat="1" applyFont="1" applyBorder="1" applyAlignment="1">
      <alignment horizontal="center"/>
    </xf>
    <xf numFmtId="0" fontId="3" fillId="4" borderId="3" xfId="0" applyFont="1" applyFill="1" applyBorder="1" applyAlignment="1">
      <alignment horizontal="center" vertical="center"/>
    </xf>
    <xf numFmtId="9" fontId="5" fillId="0" borderId="0" xfId="2" applyFont="1" applyAlignment="1">
      <alignment horizontal="center" vertical="center"/>
    </xf>
    <xf numFmtId="0" fontId="20" fillId="4" borderId="1" xfId="0" applyFont="1" applyFill="1" applyBorder="1"/>
    <xf numFmtId="0" fontId="5" fillId="4" borderId="2" xfId="0" applyFont="1" applyFill="1" applyBorder="1"/>
    <xf numFmtId="0" fontId="5" fillId="4" borderId="3" xfId="0" applyFont="1" applyFill="1" applyBorder="1"/>
    <xf numFmtId="0" fontId="37" fillId="6" borderId="3" xfId="0" applyFont="1" applyFill="1" applyBorder="1"/>
    <xf numFmtId="0" fontId="5" fillId="2" borderId="5" xfId="0" applyFont="1" applyFill="1" applyBorder="1" applyAlignment="1">
      <alignment vertical="center"/>
    </xf>
    <xf numFmtId="169" fontId="5" fillId="0" borderId="5" xfId="1" applyNumberFormat="1" applyFont="1" applyBorder="1" applyAlignment="1">
      <alignment horizontal="center" vertical="center"/>
    </xf>
    <xf numFmtId="0" fontId="0" fillId="0" borderId="4" xfId="0" applyBorder="1"/>
    <xf numFmtId="0" fontId="3" fillId="9" borderId="29" xfId="0" applyFont="1" applyFill="1" applyBorder="1" applyAlignment="1">
      <alignment horizontal="center" vertical="center"/>
    </xf>
    <xf numFmtId="0" fontId="3" fillId="9" borderId="29" xfId="0" applyFont="1" applyFill="1" applyBorder="1" applyAlignment="1">
      <alignment horizontal="center" vertical="center" wrapText="1"/>
    </xf>
    <xf numFmtId="0" fontId="30" fillId="2" borderId="0" xfId="0" applyFont="1" applyFill="1" applyAlignment="1">
      <alignment vertical="center"/>
    </xf>
    <xf numFmtId="9" fontId="6" fillId="2" borderId="0" xfId="2" applyFont="1" applyFill="1" applyAlignment="1">
      <alignment horizontal="center" vertical="center"/>
    </xf>
    <xf numFmtId="9" fontId="23" fillId="0" borderId="0" xfId="0" applyNumberFormat="1" applyFont="1" applyAlignment="1">
      <alignment horizontal="center"/>
    </xf>
    <xf numFmtId="0" fontId="5" fillId="0" borderId="0" xfId="0" applyFont="1" applyAlignment="1">
      <alignment vertical="center"/>
    </xf>
    <xf numFmtId="169" fontId="5" fillId="0" borderId="0" xfId="1" applyNumberFormat="1" applyFont="1" applyAlignment="1">
      <alignment horizontal="center" vertical="center"/>
    </xf>
    <xf numFmtId="0" fontId="30" fillId="0" borderId="0" xfId="0" applyFont="1" applyAlignment="1">
      <alignment vertical="center"/>
    </xf>
    <xf numFmtId="169" fontId="6" fillId="0" borderId="0" xfId="1" applyNumberFormat="1" applyFont="1" applyAlignment="1">
      <alignment horizontal="center" vertical="center"/>
    </xf>
    <xf numFmtId="9" fontId="6" fillId="0" borderId="0" xfId="2" applyFont="1" applyAlignment="1">
      <alignment horizontal="center" vertical="center"/>
    </xf>
    <xf numFmtId="0" fontId="2" fillId="9" borderId="30" xfId="0" applyFont="1" applyFill="1" applyBorder="1" applyAlignment="1">
      <alignment vertical="center"/>
    </xf>
    <xf numFmtId="169" fontId="5" fillId="0" borderId="4" xfId="0" applyNumberFormat="1" applyFont="1" applyBorder="1" applyAlignment="1">
      <alignment vertical="center"/>
    </xf>
    <xf numFmtId="0" fontId="2" fillId="0" borderId="5" xfId="0" applyFont="1" applyBorder="1" applyAlignment="1">
      <alignment vertical="center"/>
    </xf>
    <xf numFmtId="0" fontId="5" fillId="0" borderId="5" xfId="0" applyFont="1" applyBorder="1" applyAlignment="1">
      <alignment vertical="center"/>
    </xf>
    <xf numFmtId="0" fontId="5" fillId="0" borderId="28" xfId="0" applyFont="1" applyBorder="1" applyAlignment="1">
      <alignment vertical="center"/>
    </xf>
    <xf numFmtId="6" fontId="5" fillId="0" borderId="28" xfId="0" applyNumberFormat="1" applyFont="1" applyBorder="1" applyAlignment="1">
      <alignment vertical="center"/>
    </xf>
    <xf numFmtId="169" fontId="5" fillId="0" borderId="5" xfId="0" applyNumberFormat="1" applyFont="1" applyBorder="1" applyAlignment="1">
      <alignment vertical="center"/>
    </xf>
    <xf numFmtId="169" fontId="2" fillId="0" borderId="5" xfId="0" applyNumberFormat="1" applyFont="1" applyBorder="1" applyAlignment="1">
      <alignment vertical="center"/>
    </xf>
    <xf numFmtId="169" fontId="5" fillId="0" borderId="4" xfId="2" applyNumberFormat="1" applyFont="1" applyBorder="1" applyAlignment="1">
      <alignment vertical="center"/>
    </xf>
    <xf numFmtId="9" fontId="32" fillId="0" borderId="0" xfId="2" applyFont="1" applyAlignment="1">
      <alignment horizontal="center"/>
    </xf>
    <xf numFmtId="165" fontId="6" fillId="0" borderId="0" xfId="1" applyNumberFormat="1" applyFont="1" applyAlignment="1">
      <alignment horizontal="center" vertical="center"/>
    </xf>
    <xf numFmtId="169" fontId="5" fillId="0" borderId="4" xfId="1" applyNumberFormat="1" applyFont="1" applyBorder="1" applyAlignment="1">
      <alignment horizontal="center" vertical="center"/>
    </xf>
    <xf numFmtId="0" fontId="5" fillId="2" borderId="28" xfId="0" applyFont="1" applyFill="1" applyBorder="1" applyAlignment="1">
      <alignment vertical="center"/>
    </xf>
    <xf numFmtId="169" fontId="5" fillId="0" borderId="28" xfId="1" applyNumberFormat="1" applyFont="1" applyBorder="1" applyAlignment="1">
      <alignment horizontal="center" vertical="center"/>
    </xf>
    <xf numFmtId="169" fontId="5" fillId="0" borderId="28" xfId="0" applyNumberFormat="1" applyFont="1" applyBorder="1" applyAlignment="1">
      <alignment vertical="center"/>
    </xf>
    <xf numFmtId="0" fontId="5" fillId="0" borderId="4" xfId="0" applyFont="1" applyBorder="1" applyAlignment="1">
      <alignment horizontal="right" vertical="center"/>
    </xf>
    <xf numFmtId="0" fontId="5" fillId="0" borderId="28" xfId="0" applyFont="1" applyBorder="1" applyAlignment="1">
      <alignment horizontal="right" vertical="center"/>
    </xf>
    <xf numFmtId="169" fontId="5" fillId="0" borderId="5" xfId="2" applyNumberFormat="1" applyFont="1" applyBorder="1" applyAlignment="1">
      <alignment vertical="center"/>
    </xf>
    <xf numFmtId="0" fontId="5" fillId="0" borderId="5" xfId="0" applyFont="1" applyBorder="1" applyAlignment="1">
      <alignment horizontal="right" vertical="center"/>
    </xf>
    <xf numFmtId="0" fontId="3" fillId="9" borderId="31" xfId="0" applyFont="1" applyFill="1" applyBorder="1" applyAlignment="1">
      <alignment horizontal="center" vertical="center" wrapText="1"/>
    </xf>
    <xf numFmtId="0" fontId="39" fillId="2" borderId="5" xfId="0" applyFont="1" applyFill="1" applyBorder="1" applyAlignment="1">
      <alignment vertical="center"/>
    </xf>
    <xf numFmtId="9" fontId="23" fillId="2" borderId="5" xfId="2" applyFont="1" applyFill="1" applyBorder="1" applyAlignment="1">
      <alignment horizontal="center" vertical="center"/>
    </xf>
    <xf numFmtId="0" fontId="39" fillId="2" borderId="4" xfId="0" applyFont="1" applyFill="1" applyBorder="1" applyAlignment="1">
      <alignment vertical="center"/>
    </xf>
    <xf numFmtId="169" fontId="23" fillId="0" borderId="4" xfId="1" applyNumberFormat="1" applyFont="1" applyBorder="1" applyAlignment="1">
      <alignment horizontal="center" vertical="center"/>
    </xf>
    <xf numFmtId="0" fontId="39" fillId="2" borderId="28" xfId="0" applyFont="1" applyFill="1" applyBorder="1" applyAlignment="1">
      <alignment vertical="center"/>
    </xf>
    <xf numFmtId="169" fontId="23" fillId="0" borderId="28" xfId="1" applyNumberFormat="1" applyFont="1" applyBorder="1" applyAlignment="1">
      <alignment horizontal="center" vertical="center"/>
    </xf>
    <xf numFmtId="9" fontId="23" fillId="2" borderId="28" xfId="2" applyFont="1" applyFill="1" applyBorder="1" applyAlignment="1">
      <alignment horizontal="center" vertical="center"/>
    </xf>
    <xf numFmtId="0" fontId="40" fillId="0" borderId="0" xfId="0" applyFont="1" applyAlignment="1">
      <alignment horizontal="left"/>
    </xf>
    <xf numFmtId="0" fontId="40" fillId="0" borderId="0" xfId="0" applyFont="1"/>
    <xf numFmtId="169" fontId="5" fillId="0" borderId="9" xfId="0" applyNumberFormat="1" applyFont="1" applyBorder="1"/>
    <xf numFmtId="0" fontId="42" fillId="0" borderId="0" xfId="0" applyFont="1"/>
    <xf numFmtId="0" fontId="42" fillId="0" borderId="0" xfId="0" applyFont="1" applyAlignment="1">
      <alignment horizontal="center"/>
    </xf>
    <xf numFmtId="0" fontId="42" fillId="0" borderId="0" xfId="0" applyFont="1" applyAlignment="1">
      <alignment horizontal="center" vertical="center"/>
    </xf>
    <xf numFmtId="0" fontId="44" fillId="5" borderId="19" xfId="0" applyFont="1" applyFill="1" applyBorder="1" applyAlignment="1">
      <alignment horizontal="center" wrapText="1"/>
    </xf>
    <xf numFmtId="0" fontId="44" fillId="5" borderId="11" xfId="0" applyFont="1" applyFill="1" applyBorder="1" applyAlignment="1">
      <alignment horizontal="center" wrapText="1"/>
    </xf>
    <xf numFmtId="0" fontId="44" fillId="5" borderId="20" xfId="0" applyFont="1" applyFill="1" applyBorder="1" applyAlignment="1">
      <alignment horizontal="center" wrapText="1"/>
    </xf>
    <xf numFmtId="0" fontId="44" fillId="5" borderId="17" xfId="0" applyFont="1" applyFill="1" applyBorder="1" applyAlignment="1">
      <alignment horizontal="center"/>
    </xf>
    <xf numFmtId="0" fontId="44" fillId="5" borderId="0" xfId="0" applyFont="1" applyFill="1" applyAlignment="1">
      <alignment horizontal="center"/>
    </xf>
    <xf numFmtId="0" fontId="44" fillId="5" borderId="9" xfId="0" applyFont="1" applyFill="1" applyBorder="1" applyAlignment="1">
      <alignment horizontal="center"/>
    </xf>
    <xf numFmtId="0" fontId="44" fillId="5" borderId="18" xfId="0" applyFont="1" applyFill="1" applyBorder="1" applyAlignment="1">
      <alignment horizontal="center"/>
    </xf>
    <xf numFmtId="0" fontId="42" fillId="0" borderId="19" xfId="0" applyFont="1" applyBorder="1" applyAlignment="1">
      <alignment horizontal="center"/>
    </xf>
    <xf numFmtId="0" fontId="42" fillId="0" borderId="11" xfId="0" applyFont="1" applyBorder="1" applyAlignment="1">
      <alignment horizontal="center"/>
    </xf>
    <xf numFmtId="0" fontId="42" fillId="0" borderId="11" xfId="0" applyFont="1" applyBorder="1"/>
    <xf numFmtId="6" fontId="42" fillId="0" borderId="0" xfId="0" applyNumberFormat="1" applyFont="1" applyAlignment="1">
      <alignment horizontal="center" wrapText="1"/>
    </xf>
    <xf numFmtId="0" fontId="42" fillId="0" borderId="17" xfId="0" applyFont="1" applyBorder="1" applyAlignment="1">
      <alignment horizontal="center"/>
    </xf>
    <xf numFmtId="2" fontId="42" fillId="0" borderId="0" xfId="0" applyNumberFormat="1" applyFont="1" applyAlignment="1">
      <alignment horizontal="center" wrapText="1"/>
    </xf>
    <xf numFmtId="10" fontId="42" fillId="0" borderId="0" xfId="2" applyNumberFormat="1" applyFont="1" applyAlignment="1">
      <alignment horizontal="center" wrapText="1"/>
    </xf>
    <xf numFmtId="2" fontId="42" fillId="0" borderId="18" xfId="2" applyNumberFormat="1" applyFont="1" applyBorder="1" applyAlignment="1">
      <alignment horizontal="center" wrapText="1"/>
    </xf>
    <xf numFmtId="0" fontId="42" fillId="0" borderId="0" xfId="0" applyFont="1" applyAlignment="1">
      <alignment wrapText="1"/>
    </xf>
    <xf numFmtId="0" fontId="42" fillId="0" borderId="17" xfId="0" applyFont="1" applyBorder="1" applyAlignment="1">
      <alignment horizontal="center" wrapText="1"/>
    </xf>
    <xf numFmtId="0" fontId="42" fillId="0" borderId="15" xfId="0" applyFont="1" applyBorder="1"/>
    <xf numFmtId="0" fontId="42" fillId="0" borderId="9" xfId="0" applyFont="1" applyBorder="1"/>
    <xf numFmtId="0" fontId="44" fillId="4" borderId="1" xfId="0" applyFont="1" applyFill="1" applyBorder="1" applyAlignment="1">
      <alignment horizontal="left" vertical="center"/>
    </xf>
    <xf numFmtId="0" fontId="42" fillId="4" borderId="2" xfId="0" applyFont="1" applyFill="1" applyBorder="1" applyAlignment="1">
      <alignment horizontal="left" vertical="center"/>
    </xf>
    <xf numFmtId="0" fontId="45" fillId="4" borderId="2" xfId="0" applyFont="1" applyFill="1" applyBorder="1" applyAlignment="1">
      <alignment horizontal="left" vertical="center"/>
    </xf>
    <xf numFmtId="167" fontId="45" fillId="4" borderId="2" xfId="0" applyNumberFormat="1" applyFont="1" applyFill="1" applyBorder="1" applyAlignment="1">
      <alignment horizontal="left" vertical="center"/>
    </xf>
    <xf numFmtId="0" fontId="45" fillId="4" borderId="3" xfId="0" applyFont="1" applyFill="1" applyBorder="1" applyAlignment="1">
      <alignment horizontal="left" vertical="center"/>
    </xf>
    <xf numFmtId="0" fontId="45" fillId="0" borderId="0" xfId="0" applyFont="1" applyAlignment="1">
      <alignment horizontal="center"/>
    </xf>
    <xf numFmtId="169" fontId="45" fillId="0" borderId="0" xfId="0" applyNumberFormat="1" applyFont="1" applyAlignment="1">
      <alignment horizontal="center"/>
    </xf>
    <xf numFmtId="0" fontId="45" fillId="0" borderId="0" xfId="0" applyFont="1"/>
    <xf numFmtId="0" fontId="46" fillId="0" borderId="11" xfId="0" applyFont="1" applyBorder="1"/>
    <xf numFmtId="0" fontId="46" fillId="0" borderId="20" xfId="0" applyFont="1" applyBorder="1"/>
    <xf numFmtId="6" fontId="47" fillId="0" borderId="9" xfId="0" applyNumberFormat="1" applyFont="1" applyBorder="1" applyAlignment="1">
      <alignment horizontal="center" wrapText="1"/>
    </xf>
    <xf numFmtId="6" fontId="47" fillId="0" borderId="16" xfId="0" applyNumberFormat="1" applyFont="1" applyBorder="1" applyAlignment="1">
      <alignment horizontal="center" wrapText="1"/>
    </xf>
    <xf numFmtId="6" fontId="47" fillId="0" borderId="0" xfId="0" applyNumberFormat="1" applyFont="1" applyAlignment="1">
      <alignment horizontal="center" wrapText="1"/>
    </xf>
    <xf numFmtId="0" fontId="43" fillId="8" borderId="12" xfId="0" applyFont="1" applyFill="1" applyBorder="1" applyAlignment="1">
      <alignment vertical="center"/>
    </xf>
    <xf numFmtId="0" fontId="43" fillId="8" borderId="13" xfId="0" applyFont="1" applyFill="1" applyBorder="1" applyAlignment="1">
      <alignment vertical="center"/>
    </xf>
    <xf numFmtId="0" fontId="43" fillId="8" borderId="14" xfId="0" applyFont="1" applyFill="1" applyBorder="1" applyAlignment="1">
      <alignment vertical="center"/>
    </xf>
    <xf numFmtId="0" fontId="44" fillId="0" borderId="17" xfId="0" applyFont="1" applyBorder="1"/>
    <xf numFmtId="0" fontId="48" fillId="0" borderId="0" xfId="0" applyFont="1" applyAlignment="1">
      <alignment horizontal="center"/>
    </xf>
    <xf numFmtId="0" fontId="44" fillId="0" borderId="15" xfId="0" applyFont="1" applyBorder="1"/>
    <xf numFmtId="0" fontId="48" fillId="0" borderId="9" xfId="0" applyFont="1" applyBorder="1" applyAlignment="1">
      <alignment horizontal="center"/>
    </xf>
    <xf numFmtId="0" fontId="48" fillId="0" borderId="0" xfId="0" applyFont="1" applyAlignment="1">
      <alignment horizontal="center" wrapText="1"/>
    </xf>
    <xf numFmtId="0" fontId="41" fillId="5" borderId="12" xfId="0" applyFont="1" applyFill="1" applyBorder="1"/>
    <xf numFmtId="167" fontId="42" fillId="0" borderId="0" xfId="0" applyNumberFormat="1" applyFont="1" applyAlignment="1">
      <alignment horizontal="center"/>
    </xf>
    <xf numFmtId="164" fontId="42" fillId="0" borderId="21" xfId="2" applyNumberFormat="1" applyFont="1" applyBorder="1" applyAlignment="1">
      <alignment horizontal="center"/>
    </xf>
    <xf numFmtId="164" fontId="42" fillId="0" borderId="0" xfId="2" applyNumberFormat="1" applyFont="1" applyAlignment="1">
      <alignment horizontal="center"/>
    </xf>
    <xf numFmtId="0" fontId="42" fillId="0" borderId="21" xfId="0" applyFont="1" applyBorder="1" applyAlignment="1">
      <alignment horizontal="center"/>
    </xf>
    <xf numFmtId="169" fontId="42" fillId="0" borderId="21" xfId="0" applyNumberFormat="1" applyFont="1" applyBorder="1" applyAlignment="1">
      <alignment horizontal="center"/>
    </xf>
    <xf numFmtId="169" fontId="42" fillId="0" borderId="0" xfId="0" applyNumberFormat="1" applyFont="1" applyAlignment="1">
      <alignment horizontal="center"/>
    </xf>
    <xf numFmtId="171" fontId="42" fillId="0" borderId="0" xfId="0" applyNumberFormat="1" applyFont="1" applyAlignment="1">
      <alignment horizontal="center"/>
    </xf>
    <xf numFmtId="9" fontId="42" fillId="0" borderId="21" xfId="0" applyNumberFormat="1" applyFont="1" applyBorder="1" applyAlignment="1">
      <alignment horizontal="center"/>
    </xf>
    <xf numFmtId="9" fontId="42" fillId="0" borderId="0" xfId="0" applyNumberFormat="1" applyFont="1" applyAlignment="1">
      <alignment horizontal="center"/>
    </xf>
    <xf numFmtId="0" fontId="42" fillId="0" borderId="5" xfId="0" applyFont="1" applyBorder="1" applyAlignment="1">
      <alignment horizontal="center"/>
    </xf>
    <xf numFmtId="2" fontId="42" fillId="0" borderId="0" xfId="0" applyNumberFormat="1" applyFont="1"/>
    <xf numFmtId="9" fontId="50" fillId="0" borderId="0" xfId="0" applyNumberFormat="1" applyFont="1" applyAlignment="1">
      <alignment horizontal="center"/>
    </xf>
    <xf numFmtId="0" fontId="50" fillId="0" borderId="0" xfId="0" applyFont="1" applyAlignment="1">
      <alignment horizontal="center"/>
    </xf>
    <xf numFmtId="0" fontId="43" fillId="0" borderId="0" xfId="0" applyFont="1" applyAlignment="1">
      <alignment vertical="center"/>
    </xf>
    <xf numFmtId="9" fontId="43" fillId="0" borderId="0" xfId="0" applyNumberFormat="1" applyFont="1" applyAlignment="1">
      <alignment vertical="center"/>
    </xf>
    <xf numFmtId="0" fontId="5" fillId="0" borderId="0" xfId="0" applyFont="1" applyAlignment="1">
      <alignment horizontal="right"/>
    </xf>
    <xf numFmtId="0" fontId="33" fillId="0" borderId="0" xfId="0" applyFont="1" applyAlignment="1">
      <alignment horizontal="center"/>
    </xf>
    <xf numFmtId="0" fontId="5" fillId="0" borderId="0" xfId="0" applyFont="1" applyAlignment="1">
      <alignment horizontal="left" vertical="center"/>
    </xf>
    <xf numFmtId="9" fontId="27" fillId="0" borderId="0" xfId="0" applyNumberFormat="1" applyFont="1" applyAlignment="1">
      <alignment horizontal="center"/>
    </xf>
    <xf numFmtId="0" fontId="42" fillId="0" borderId="17" xfId="0" applyFont="1" applyBorder="1"/>
    <xf numFmtId="0" fontId="2" fillId="8" borderId="0" xfId="0" applyFont="1" applyFill="1"/>
    <xf numFmtId="0" fontId="5" fillId="8" borderId="0" xfId="0" applyFont="1" applyFill="1"/>
    <xf numFmtId="0" fontId="5" fillId="8" borderId="0" xfId="0" applyFont="1" applyFill="1" applyAlignment="1">
      <alignment horizontal="center"/>
    </xf>
    <xf numFmtId="0" fontId="34" fillId="8" borderId="0" xfId="0" applyFont="1" applyFill="1"/>
    <xf numFmtId="0" fontId="21" fillId="8" borderId="0" xfId="0" applyFont="1" applyFill="1" applyAlignment="1">
      <alignment horizontal="center"/>
    </xf>
    <xf numFmtId="169" fontId="5" fillId="8" borderId="0" xfId="0" applyNumberFormat="1" applyFont="1" applyFill="1" applyAlignment="1">
      <alignment horizontal="center"/>
    </xf>
    <xf numFmtId="0" fontId="6" fillId="8" borderId="0" xfId="0" applyFont="1" applyFill="1"/>
    <xf numFmtId="10" fontId="11" fillId="8" borderId="0" xfId="2" applyNumberFormat="1" applyFont="1" applyFill="1"/>
    <xf numFmtId="10" fontId="5" fillId="8" borderId="0" xfId="2" applyNumberFormat="1" applyFont="1" applyFill="1"/>
    <xf numFmtId="169" fontId="33" fillId="8" borderId="0" xfId="0" applyNumberFormat="1" applyFont="1" applyFill="1" applyAlignment="1">
      <alignment horizontal="center"/>
    </xf>
    <xf numFmtId="169" fontId="5" fillId="8" borderId="0" xfId="0" applyNumberFormat="1" applyFont="1" applyFill="1"/>
    <xf numFmtId="169" fontId="5" fillId="8" borderId="0" xfId="2" applyNumberFormat="1" applyFont="1" applyFill="1"/>
    <xf numFmtId="0" fontId="5" fillId="8" borderId="9" xfId="0" applyFont="1" applyFill="1" applyBorder="1"/>
    <xf numFmtId="169" fontId="5" fillId="8" borderId="9" xfId="0" applyNumberFormat="1" applyFont="1" applyFill="1" applyBorder="1"/>
    <xf numFmtId="169" fontId="3" fillId="8" borderId="0" xfId="0" applyNumberFormat="1" applyFont="1" applyFill="1" applyAlignment="1">
      <alignment horizontal="center" vertical="center"/>
    </xf>
    <xf numFmtId="1" fontId="5" fillId="8" borderId="0" xfId="2" applyNumberFormat="1" applyFont="1" applyFill="1"/>
    <xf numFmtId="169" fontId="5" fillId="8" borderId="0" xfId="0" applyNumberFormat="1" applyFont="1" applyFill="1" applyAlignment="1">
      <alignment horizontal="right"/>
    </xf>
    <xf numFmtId="0" fontId="5" fillId="8" borderId="0" xfId="0" applyFont="1" applyFill="1" applyAlignment="1">
      <alignment horizontal="left" indent="1"/>
    </xf>
    <xf numFmtId="6" fontId="5" fillId="8" borderId="0" xfId="0" applyNumberFormat="1" applyFont="1" applyFill="1" applyAlignment="1">
      <alignment horizontal="right"/>
    </xf>
    <xf numFmtId="0" fontId="3" fillId="8" borderId="22" xfId="0" applyFont="1" applyFill="1" applyBorder="1" applyAlignment="1">
      <alignment horizontal="right"/>
    </xf>
    <xf numFmtId="0" fontId="5" fillId="8" borderId="22" xfId="0" applyFont="1" applyFill="1" applyBorder="1"/>
    <xf numFmtId="0" fontId="2" fillId="8" borderId="22" xfId="0" applyFont="1" applyFill="1" applyBorder="1" applyAlignment="1">
      <alignment horizontal="center"/>
    </xf>
    <xf numFmtId="10" fontId="5" fillId="8" borderId="22" xfId="2" applyNumberFormat="1" applyFont="1" applyFill="1" applyBorder="1" applyAlignment="1">
      <alignment horizontal="right"/>
    </xf>
    <xf numFmtId="10" fontId="5" fillId="8" borderId="0" xfId="2" applyNumberFormat="1" applyFont="1" applyFill="1" applyAlignment="1">
      <alignment horizontal="right"/>
    </xf>
    <xf numFmtId="175" fontId="2" fillId="8" borderId="0" xfId="0" applyNumberFormat="1" applyFont="1" applyFill="1" applyAlignment="1">
      <alignment horizontal="left"/>
    </xf>
    <xf numFmtId="175" fontId="5" fillId="8" borderId="0" xfId="0" applyNumberFormat="1" applyFont="1" applyFill="1" applyAlignment="1">
      <alignment horizontal="left"/>
    </xf>
    <xf numFmtId="41" fontId="5" fillId="8" borderId="0" xfId="0" applyNumberFormat="1" applyFont="1" applyFill="1" applyAlignment="1">
      <alignment horizontal="right" wrapText="1"/>
    </xf>
    <xf numFmtId="174" fontId="29" fillId="8" borderId="0" xfId="1" applyNumberFormat="1" applyFont="1" applyFill="1" applyAlignment="1">
      <alignment horizontal="right"/>
    </xf>
    <xf numFmtId="9" fontId="5" fillId="8" borderId="0" xfId="0" applyNumberFormat="1" applyFont="1" applyFill="1" applyAlignment="1">
      <alignment horizontal="right" wrapText="1"/>
    </xf>
    <xf numFmtId="41" fontId="5" fillId="8" borderId="4" xfId="0" applyNumberFormat="1" applyFont="1" applyFill="1" applyBorder="1" applyAlignment="1">
      <alignment horizontal="right" wrapText="1"/>
    </xf>
    <xf numFmtId="175" fontId="5" fillId="8" borderId="0" xfId="0" applyNumberFormat="1" applyFont="1" applyFill="1" applyAlignment="1">
      <alignment horizontal="left" indent="2"/>
    </xf>
    <xf numFmtId="175" fontId="5" fillId="8" borderId="0" xfId="0" applyNumberFormat="1" applyFont="1" applyFill="1" applyAlignment="1">
      <alignment horizontal="right"/>
    </xf>
    <xf numFmtId="175" fontId="5" fillId="8" borderId="0" xfId="0" applyNumberFormat="1" applyFont="1" applyFill="1" applyAlignment="1">
      <alignment horizontal="left" indent="1"/>
    </xf>
    <xf numFmtId="41" fontId="11" fillId="8" borderId="0" xfId="0" applyNumberFormat="1" applyFont="1" applyFill="1" applyAlignment="1">
      <alignment horizontal="right" wrapText="1"/>
    </xf>
    <xf numFmtId="6" fontId="5" fillId="8" borderId="0" xfId="0" applyNumberFormat="1" applyFont="1" applyFill="1" applyAlignment="1">
      <alignment horizontal="right" wrapText="1"/>
    </xf>
    <xf numFmtId="175" fontId="5" fillId="8" borderId="0" xfId="0" applyNumberFormat="1" applyFont="1" applyFill="1" applyAlignment="1">
      <alignment horizontal="right" wrapText="1"/>
    </xf>
    <xf numFmtId="41" fontId="11" fillId="8" borderId="9" xfId="0" applyNumberFormat="1" applyFont="1" applyFill="1" applyBorder="1" applyAlignment="1">
      <alignment horizontal="right" wrapText="1"/>
    </xf>
    <xf numFmtId="6" fontId="5" fillId="8" borderId="9" xfId="0" applyNumberFormat="1" applyFont="1" applyFill="1" applyBorder="1" applyAlignment="1">
      <alignment horizontal="right" wrapText="1"/>
    </xf>
    <xf numFmtId="0" fontId="0" fillId="8" borderId="0" xfId="0" applyFill="1"/>
    <xf numFmtId="175" fontId="5" fillId="8" borderId="22" xfId="0" applyNumberFormat="1" applyFont="1" applyFill="1" applyBorder="1" applyAlignment="1">
      <alignment horizontal="left" indent="1"/>
    </xf>
    <xf numFmtId="0" fontId="0" fillId="8" borderId="22" xfId="0" applyFill="1" applyBorder="1"/>
    <xf numFmtId="6" fontId="5" fillId="8" borderId="22" xfId="0" applyNumberFormat="1" applyFont="1" applyFill="1" applyBorder="1" applyAlignment="1">
      <alignment horizontal="right" wrapText="1"/>
    </xf>
    <xf numFmtId="169" fontId="51" fillId="8" borderId="0" xfId="0" applyNumberFormat="1" applyFont="1" applyFill="1"/>
    <xf numFmtId="9" fontId="52" fillId="0" borderId="0" xfId="0" applyNumberFormat="1" applyFont="1" applyAlignment="1">
      <alignment horizontal="center"/>
    </xf>
    <xf numFmtId="165" fontId="0" fillId="0" borderId="0" xfId="1" applyNumberFormat="1" applyFont="1"/>
    <xf numFmtId="9" fontId="23" fillId="6" borderId="5" xfId="0" applyNumberFormat="1" applyFont="1" applyFill="1" applyBorder="1" applyAlignment="1">
      <alignment horizontal="center"/>
    </xf>
    <xf numFmtId="0" fontId="39" fillId="2" borderId="6" xfId="0" applyFont="1" applyFill="1" applyBorder="1" applyAlignment="1">
      <alignment vertical="center"/>
    </xf>
    <xf numFmtId="169" fontId="23" fillId="0" borderId="6" xfId="1" applyNumberFormat="1" applyFont="1" applyBorder="1" applyAlignment="1">
      <alignment horizontal="center" vertical="center"/>
    </xf>
    <xf numFmtId="2" fontId="5" fillId="0" borderId="0" xfId="0" applyNumberFormat="1" applyFont="1" applyAlignment="1">
      <alignment horizontal="right"/>
    </xf>
    <xf numFmtId="6" fontId="5" fillId="8" borderId="0" xfId="0" applyNumberFormat="1" applyFont="1" applyFill="1" applyAlignment="1">
      <alignment horizontal="right" vertical="center" wrapText="1"/>
    </xf>
    <xf numFmtId="0" fontId="49" fillId="0" borderId="0" xfId="0" applyFont="1" applyAlignment="1">
      <alignment horizontal="center" vertical="center" wrapText="1"/>
    </xf>
    <xf numFmtId="0" fontId="48" fillId="7" borderId="4" xfId="0" applyFont="1" applyFill="1" applyBorder="1" applyAlignment="1">
      <alignment horizontal="center"/>
    </xf>
    <xf numFmtId="2" fontId="44" fillId="0" borderId="17" xfId="0" applyNumberFormat="1" applyFont="1" applyBorder="1" applyAlignment="1">
      <alignment horizontal="center"/>
    </xf>
    <xf numFmtId="164" fontId="44" fillId="0" borderId="17" xfId="2" applyNumberFormat="1" applyFont="1" applyBorder="1" applyAlignment="1">
      <alignment horizontal="center"/>
    </xf>
    <xf numFmtId="10" fontId="42" fillId="0" borderId="21" xfId="0" applyNumberFormat="1" applyFont="1" applyBorder="1" applyAlignment="1">
      <alignment horizontal="center"/>
    </xf>
    <xf numFmtId="0" fontId="5" fillId="9" borderId="30" xfId="0" applyFont="1" applyFill="1" applyBorder="1" applyAlignment="1">
      <alignment horizontal="center" vertical="center"/>
    </xf>
    <xf numFmtId="0" fontId="5" fillId="9" borderId="7" xfId="0" applyFont="1" applyFill="1" applyBorder="1" applyAlignment="1">
      <alignment horizontal="center" vertical="center" wrapText="1"/>
    </xf>
    <xf numFmtId="0" fontId="54" fillId="0" borderId="0" xfId="0" applyFont="1" applyAlignment="1">
      <alignment vertical="center"/>
    </xf>
    <xf numFmtId="0" fontId="0" fillId="0" borderId="22" xfId="0" applyBorder="1"/>
    <xf numFmtId="0" fontId="5" fillId="0" borderId="25" xfId="0" applyFont="1" applyBorder="1"/>
    <xf numFmtId="0" fontId="55" fillId="0" borderId="0" xfId="0" applyFont="1" applyAlignment="1">
      <alignment vertical="center"/>
    </xf>
    <xf numFmtId="176" fontId="3" fillId="0" borderId="4" xfId="0" applyNumberFormat="1" applyFont="1" applyBorder="1" applyAlignment="1">
      <alignment horizontal="center"/>
    </xf>
    <xf numFmtId="2" fontId="41" fillId="0" borderId="22" xfId="0" applyNumberFormat="1" applyFont="1" applyBorder="1" applyAlignment="1">
      <alignment horizontal="center"/>
    </xf>
    <xf numFmtId="6" fontId="56" fillId="0" borderId="0" xfId="0" applyNumberFormat="1" applyFont="1"/>
    <xf numFmtId="6" fontId="56" fillId="0" borderId="9" xfId="0" applyNumberFormat="1" applyFont="1" applyBorder="1"/>
    <xf numFmtId="0" fontId="44" fillId="0" borderId="0" xfId="0" applyFont="1"/>
    <xf numFmtId="164" fontId="44" fillId="0" borderId="0" xfId="2" applyNumberFormat="1" applyFont="1" applyAlignment="1">
      <alignment horizontal="center"/>
    </xf>
    <xf numFmtId="0" fontId="44" fillId="0" borderId="12" xfId="0" applyFont="1" applyBorder="1"/>
    <xf numFmtId="0" fontId="48" fillId="0" borderId="14" xfId="0" applyFont="1" applyBorder="1" applyAlignment="1">
      <alignment horizontal="center"/>
    </xf>
    <xf numFmtId="2" fontId="44" fillId="0" borderId="4" xfId="0" applyNumberFormat="1" applyFont="1" applyBorder="1" applyAlignment="1">
      <alignment horizontal="center"/>
    </xf>
    <xf numFmtId="0" fontId="42" fillId="0" borderId="4" xfId="0" applyFont="1" applyBorder="1"/>
    <xf numFmtId="0" fontId="44" fillId="0" borderId="9" xfId="0" applyFont="1" applyBorder="1" applyAlignment="1">
      <alignment horizontal="center"/>
    </xf>
    <xf numFmtId="0" fontId="48" fillId="5" borderId="14" xfId="0" applyFont="1" applyFill="1" applyBorder="1" applyAlignment="1">
      <alignment horizontal="center"/>
    </xf>
    <xf numFmtId="0" fontId="5" fillId="0" borderId="0" xfId="0" applyFont="1" applyAlignment="1">
      <alignment wrapText="1"/>
    </xf>
    <xf numFmtId="9" fontId="5" fillId="0" borderId="9" xfId="0" applyNumberFormat="1" applyFont="1" applyBorder="1"/>
    <xf numFmtId="9" fontId="57" fillId="0" borderId="0" xfId="0" applyNumberFormat="1" applyFont="1"/>
    <xf numFmtId="6" fontId="5" fillId="8" borderId="0" xfId="0" applyNumberFormat="1" applyFont="1" applyFill="1"/>
    <xf numFmtId="0" fontId="21" fillId="8" borderId="0" xfId="0" applyFont="1" applyFill="1"/>
    <xf numFmtId="0" fontId="7" fillId="0" borderId="23" xfId="0" applyFont="1" applyBorder="1" applyAlignment="1">
      <alignment horizontal="center"/>
    </xf>
    <xf numFmtId="0" fontId="7" fillId="0" borderId="10" xfId="0" applyFont="1" applyBorder="1" applyAlignment="1">
      <alignment horizontal="center"/>
    </xf>
    <xf numFmtId="0" fontId="5" fillId="0" borderId="10" xfId="0" applyFont="1" applyBorder="1"/>
    <xf numFmtId="6" fontId="2" fillId="0" borderId="22" xfId="0" applyNumberFormat="1" applyFont="1" applyBorder="1"/>
    <xf numFmtId="1" fontId="23" fillId="0" borderId="0" xfId="0" applyNumberFormat="1" applyFont="1" applyAlignment="1">
      <alignment horizontal="right"/>
    </xf>
    <xf numFmtId="164" fontId="23" fillId="0" borderId="0" xfId="2" applyNumberFormat="1" applyFont="1" applyAlignment="1">
      <alignment horizontal="right"/>
    </xf>
    <xf numFmtId="3" fontId="5" fillId="0" borderId="0" xfId="0" applyNumberFormat="1" applyFont="1" applyAlignment="1">
      <alignment horizontal="right"/>
    </xf>
    <xf numFmtId="0" fontId="23" fillId="0" borderId="0" xfId="0" applyFont="1" applyAlignment="1">
      <alignment horizontal="right"/>
    </xf>
    <xf numFmtId="171" fontId="23" fillId="0" borderId="0" xfId="1" applyNumberFormat="1" applyFont="1" applyAlignment="1">
      <alignment horizontal="right"/>
    </xf>
    <xf numFmtId="6" fontId="23" fillId="0" borderId="0" xfId="0" applyNumberFormat="1" applyFont="1" applyAlignment="1">
      <alignment horizontal="right"/>
    </xf>
    <xf numFmtId="169" fontId="5" fillId="0" borderId="0" xfId="0" applyNumberFormat="1" applyFont="1" applyAlignment="1">
      <alignment horizontal="right"/>
    </xf>
    <xf numFmtId="169" fontId="5" fillId="0" borderId="0" xfId="1" applyNumberFormat="1" applyFont="1" applyAlignment="1">
      <alignment horizontal="right"/>
    </xf>
    <xf numFmtId="6" fontId="5" fillId="0" borderId="0" xfId="0" applyNumberFormat="1" applyFont="1" applyAlignment="1">
      <alignment horizontal="right"/>
    </xf>
    <xf numFmtId="164" fontId="23" fillId="0" borderId="0" xfId="0" applyNumberFormat="1" applyFont="1" applyAlignment="1">
      <alignment horizontal="right"/>
    </xf>
    <xf numFmtId="2" fontId="23" fillId="0" borderId="0" xfId="2" applyNumberFormat="1" applyFont="1" applyAlignment="1">
      <alignment horizontal="right"/>
    </xf>
    <xf numFmtId="2" fontId="5" fillId="0" borderId="0" xfId="2" applyNumberFormat="1" applyFont="1" applyAlignment="1">
      <alignment horizontal="right"/>
    </xf>
    <xf numFmtId="2" fontId="23" fillId="0" borderId="0" xfId="0" applyNumberFormat="1" applyFont="1" applyAlignment="1">
      <alignment horizontal="center"/>
    </xf>
    <xf numFmtId="9" fontId="23" fillId="0" borderId="0" xfId="2" applyFont="1" applyAlignment="1">
      <alignment horizontal="center"/>
    </xf>
    <xf numFmtId="164" fontId="4" fillId="0" borderId="0" xfId="2" applyNumberFormat="1" applyFont="1" applyAlignment="1">
      <alignment horizontal="center"/>
    </xf>
    <xf numFmtId="171" fontId="5" fillId="0" borderId="0" xfId="1" applyNumberFormat="1" applyFont="1" applyAlignment="1">
      <alignment horizontal="right"/>
    </xf>
    <xf numFmtId="170" fontId="3" fillId="0" borderId="0" xfId="0" applyNumberFormat="1" applyFont="1" applyAlignment="1">
      <alignment horizontal="center"/>
    </xf>
    <xf numFmtId="171" fontId="23" fillId="0" borderId="0" xfId="0" applyNumberFormat="1" applyFont="1" applyAlignment="1">
      <alignment horizontal="right"/>
    </xf>
    <xf numFmtId="2" fontId="23" fillId="0" borderId="0" xfId="0" applyNumberFormat="1" applyFont="1" applyAlignment="1">
      <alignment horizontal="right"/>
    </xf>
    <xf numFmtId="169" fontId="23" fillId="0" borderId="0" xfId="0" applyNumberFormat="1" applyFont="1" applyAlignment="1">
      <alignment horizontal="right"/>
    </xf>
    <xf numFmtId="9" fontId="11" fillId="0" borderId="0" xfId="2" applyFont="1" applyAlignment="1">
      <alignment horizontal="right"/>
    </xf>
    <xf numFmtId="9" fontId="23" fillId="0" borderId="0" xfId="2" applyFont="1" applyAlignment="1">
      <alignment horizontal="right"/>
    </xf>
    <xf numFmtId="10" fontId="23" fillId="0" borderId="0" xfId="2" applyNumberFormat="1" applyFont="1" applyAlignment="1">
      <alignment horizontal="right"/>
    </xf>
    <xf numFmtId="9" fontId="5" fillId="0" borderId="0" xfId="2" applyFont="1" applyAlignment="1">
      <alignment horizontal="right"/>
    </xf>
    <xf numFmtId="9" fontId="4" fillId="0" borderId="0" xfId="2" applyFont="1" applyAlignment="1">
      <alignment horizontal="right"/>
    </xf>
    <xf numFmtId="0" fontId="14" fillId="0" borderId="32" xfId="0" applyFont="1" applyBorder="1" applyAlignment="1">
      <alignment horizontal="center"/>
    </xf>
    <xf numFmtId="10" fontId="3" fillId="0" borderId="0" xfId="2" applyNumberFormat="1" applyFont="1" applyAlignment="1">
      <alignment horizontal="right"/>
    </xf>
    <xf numFmtId="0" fontId="5" fillId="0" borderId="26" xfId="0" applyFont="1" applyBorder="1"/>
    <xf numFmtId="0" fontId="5" fillId="0" borderId="24" xfId="0" applyFont="1" applyBorder="1"/>
    <xf numFmtId="0" fontId="2" fillId="0" borderId="8" xfId="0" applyFont="1" applyBorder="1" applyAlignment="1">
      <alignment horizontal="center"/>
    </xf>
    <xf numFmtId="164" fontId="3" fillId="0" borderId="0" xfId="2" applyNumberFormat="1" applyFont="1" applyAlignment="1">
      <alignment horizontal="center"/>
    </xf>
    <xf numFmtId="174" fontId="2" fillId="0" borderId="0" xfId="5" applyNumberFormat="1" applyFont="1" applyAlignment="1">
      <alignment horizontal="center"/>
    </xf>
    <xf numFmtId="9" fontId="3" fillId="0" borderId="0" xfId="2" applyFont="1" applyAlignment="1">
      <alignment horizontal="center"/>
    </xf>
    <xf numFmtId="9" fontId="3" fillId="0" borderId="0" xfId="0" applyNumberFormat="1" applyFont="1" applyAlignment="1">
      <alignment horizontal="center"/>
    </xf>
    <xf numFmtId="0" fontId="21" fillId="0" borderId="0" xfId="0" applyFont="1"/>
    <xf numFmtId="2" fontId="33" fillId="0" borderId="0" xfId="0" applyNumberFormat="1" applyFont="1"/>
    <xf numFmtId="0" fontId="5" fillId="0" borderId="27" xfId="0" applyFont="1" applyBorder="1"/>
    <xf numFmtId="0" fontId="5" fillId="0" borderId="9" xfId="0" applyFont="1" applyBorder="1" applyAlignment="1">
      <alignment wrapText="1"/>
    </xf>
    <xf numFmtId="0" fontId="59" fillId="0" borderId="19" xfId="0" applyFont="1" applyBorder="1"/>
    <xf numFmtId="0" fontId="59" fillId="0" borderId="20" xfId="0" applyFont="1" applyBorder="1"/>
    <xf numFmtId="6" fontId="59" fillId="0" borderId="17" xfId="0" applyNumberFormat="1" applyFont="1" applyBorder="1" applyAlignment="1">
      <alignment horizontal="center" wrapText="1"/>
    </xf>
    <xf numFmtId="6" fontId="59" fillId="0" borderId="18" xfId="0" applyNumberFormat="1" applyFont="1" applyBorder="1" applyAlignment="1">
      <alignment horizontal="center" wrapText="1"/>
    </xf>
    <xf numFmtId="0" fontId="59" fillId="0" borderId="15" xfId="0" applyFont="1" applyBorder="1"/>
    <xf numFmtId="0" fontId="59" fillId="0" borderId="16" xfId="0" applyFont="1" applyBorder="1"/>
    <xf numFmtId="6" fontId="14" fillId="0" borderId="0" xfId="0" applyNumberFormat="1" applyFont="1"/>
    <xf numFmtId="0" fontId="53" fillId="5" borderId="1" xfId="0" applyFont="1" applyFill="1" applyBorder="1"/>
    <xf numFmtId="0" fontId="5" fillId="5" borderId="3" xfId="0" applyFont="1" applyFill="1" applyBorder="1"/>
    <xf numFmtId="170" fontId="3" fillId="3" borderId="0" xfId="0" applyNumberFormat="1" applyFont="1" applyFill="1" applyAlignment="1">
      <alignment horizontal="center"/>
    </xf>
    <xf numFmtId="0" fontId="5" fillId="3" borderId="0" xfId="0" applyFont="1" applyFill="1"/>
    <xf numFmtId="14" fontId="5" fillId="3" borderId="0" xfId="0" applyNumberFormat="1" applyFont="1" applyFill="1" applyAlignment="1">
      <alignment horizontal="center"/>
    </xf>
    <xf numFmtId="168" fontId="4" fillId="0" borderId="0" xfId="0" applyNumberFormat="1" applyFont="1" applyAlignment="1">
      <alignment horizontal="center"/>
    </xf>
    <xf numFmtId="167" fontId="4" fillId="0" borderId="0" xfId="0" applyNumberFormat="1" applyFont="1" applyAlignment="1">
      <alignment horizontal="center"/>
    </xf>
    <xf numFmtId="169" fontId="4" fillId="0" borderId="0" xfId="1" applyNumberFormat="1" applyFont="1" applyAlignment="1">
      <alignment horizontal="center"/>
    </xf>
    <xf numFmtId="169" fontId="5" fillId="0" borderId="0" xfId="2" applyNumberFormat="1" applyFont="1" applyAlignment="1">
      <alignment horizontal="center"/>
    </xf>
    <xf numFmtId="169" fontId="5" fillId="0" borderId="0" xfId="1" applyNumberFormat="1" applyFont="1" applyAlignment="1">
      <alignment horizontal="center"/>
    </xf>
    <xf numFmtId="171" fontId="4" fillId="0" borderId="0" xfId="1" applyNumberFormat="1" applyFont="1" applyAlignment="1">
      <alignment horizontal="center"/>
    </xf>
    <xf numFmtId="164" fontId="4" fillId="3" borderId="0" xfId="2" applyNumberFormat="1" applyFont="1" applyFill="1" applyAlignment="1">
      <alignment horizontal="center"/>
    </xf>
    <xf numFmtId="0" fontId="2" fillId="3" borderId="0" xfId="0" applyFont="1" applyFill="1" applyAlignment="1">
      <alignment horizontal="center"/>
    </xf>
    <xf numFmtId="9" fontId="4" fillId="0" borderId="0" xfId="2" applyFont="1" applyAlignment="1">
      <alignment horizontal="center"/>
    </xf>
    <xf numFmtId="0" fontId="7" fillId="5" borderId="10" xfId="0" applyFont="1" applyFill="1" applyBorder="1" applyAlignment="1">
      <alignment vertical="center"/>
    </xf>
    <xf numFmtId="0" fontId="55" fillId="5" borderId="10" xfId="0" applyFont="1" applyFill="1" applyBorder="1" applyAlignment="1">
      <alignment vertical="center"/>
    </xf>
    <xf numFmtId="0" fontId="55" fillId="5" borderId="24" xfId="0" applyFont="1" applyFill="1" applyBorder="1" applyAlignment="1">
      <alignment vertical="center"/>
    </xf>
    <xf numFmtId="1" fontId="0" fillId="0" borderId="0" xfId="0" applyNumberFormat="1"/>
    <xf numFmtId="10" fontId="5" fillId="8" borderId="0" xfId="2" applyNumberFormat="1" applyFont="1" applyFill="1" applyAlignment="1">
      <alignment horizontal="right" wrapText="1"/>
    </xf>
    <xf numFmtId="6" fontId="21" fillId="8" borderId="0" xfId="0" applyNumberFormat="1" applyFont="1" applyFill="1" applyAlignment="1">
      <alignment horizontal="center" wrapText="1"/>
    </xf>
    <xf numFmtId="177" fontId="5" fillId="8" borderId="0" xfId="0" applyNumberFormat="1" applyFont="1" applyFill="1" applyAlignment="1">
      <alignment horizontal="center" wrapText="1"/>
    </xf>
    <xf numFmtId="1" fontId="23" fillId="8" borderId="0" xfId="0" applyNumberFormat="1" applyFont="1" applyFill="1" applyAlignment="1">
      <alignment horizontal="right" wrapText="1"/>
    </xf>
    <xf numFmtId="177" fontId="5" fillId="8" borderId="0" xfId="0" applyNumberFormat="1" applyFont="1" applyFill="1" applyAlignment="1">
      <alignment horizontal="right" wrapText="1"/>
    </xf>
    <xf numFmtId="1" fontId="0" fillId="8" borderId="22" xfId="0" applyNumberFormat="1" applyFill="1" applyBorder="1"/>
    <xf numFmtId="175" fontId="2" fillId="8" borderId="0" xfId="0" applyNumberFormat="1" applyFont="1" applyFill="1" applyAlignment="1">
      <alignment horizontal="left" indent="1"/>
    </xf>
    <xf numFmtId="176" fontId="3" fillId="0" borderId="0" xfId="0" applyNumberFormat="1" applyFont="1" applyAlignment="1">
      <alignment horizontal="center"/>
    </xf>
    <xf numFmtId="1" fontId="40" fillId="0" borderId="0" xfId="0" applyNumberFormat="1" applyFont="1" applyAlignment="1">
      <alignment horizontal="center"/>
    </xf>
    <xf numFmtId="0" fontId="7" fillId="0" borderId="33" xfId="0" applyFont="1" applyBorder="1" applyAlignment="1">
      <alignment horizontal="center"/>
    </xf>
    <xf numFmtId="0" fontId="2" fillId="0" borderId="34" xfId="0" applyFont="1" applyBorder="1" applyAlignment="1">
      <alignment horizontal="center"/>
    </xf>
    <xf numFmtId="0" fontId="61" fillId="5" borderId="4" xfId="0" applyFont="1" applyFill="1" applyBorder="1" applyAlignment="1">
      <alignment horizontal="center"/>
    </xf>
    <xf numFmtId="0" fontId="61" fillId="5" borderId="6" xfId="0" applyFont="1" applyFill="1" applyBorder="1" applyAlignment="1">
      <alignment horizontal="center"/>
    </xf>
    <xf numFmtId="2" fontId="15" fillId="5" borderId="5" xfId="0" applyNumberFormat="1" applyFont="1" applyFill="1" applyBorder="1" applyAlignment="1">
      <alignment horizontal="center"/>
    </xf>
    <xf numFmtId="0" fontId="62" fillId="0" borderId="0" xfId="0" applyFont="1"/>
    <xf numFmtId="0" fontId="20" fillId="5" borderId="2" xfId="0" applyFont="1" applyFill="1" applyBorder="1" applyAlignment="1">
      <alignment horizontal="center"/>
    </xf>
    <xf numFmtId="0" fontId="20" fillId="5" borderId="1" xfId="0" applyFont="1" applyFill="1" applyBorder="1"/>
    <xf numFmtId="0" fontId="5" fillId="4" borderId="0" xfId="0" applyFont="1" applyFill="1"/>
    <xf numFmtId="0" fontId="2" fillId="4" borderId="0" xfId="0" applyFont="1" applyFill="1" applyAlignment="1">
      <alignment horizontal="center"/>
    </xf>
    <xf numFmtId="0" fontId="5" fillId="4" borderId="23" xfId="0" applyFont="1" applyFill="1" applyBorder="1"/>
    <xf numFmtId="0" fontId="5" fillId="4" borderId="10" xfId="0" applyFont="1" applyFill="1" applyBorder="1"/>
    <xf numFmtId="0" fontId="2" fillId="4" borderId="10" xfId="0" applyFont="1" applyFill="1" applyBorder="1" applyAlignment="1">
      <alignment horizontal="center"/>
    </xf>
    <xf numFmtId="0" fontId="5" fillId="4" borderId="24" xfId="0" applyFont="1" applyFill="1" applyBorder="1"/>
    <xf numFmtId="0" fontId="5" fillId="4" borderId="8" xfId="0" applyFont="1" applyFill="1" applyBorder="1"/>
    <xf numFmtId="0" fontId="63" fillId="4" borderId="0" xfId="0" applyFont="1" applyFill="1"/>
    <xf numFmtId="0" fontId="5" fillId="4" borderId="25" xfId="0" applyFont="1" applyFill="1" applyBorder="1"/>
    <xf numFmtId="0" fontId="5" fillId="4" borderId="26" xfId="0" applyFont="1" applyFill="1" applyBorder="1"/>
    <xf numFmtId="0" fontId="5" fillId="4" borderId="22" xfId="0" applyFont="1" applyFill="1" applyBorder="1"/>
    <xf numFmtId="0" fontId="63" fillId="4" borderId="22" xfId="0" applyFont="1" applyFill="1" applyBorder="1"/>
    <xf numFmtId="0" fontId="2" fillId="4" borderId="22" xfId="0" applyFont="1" applyFill="1" applyBorder="1" applyAlignment="1">
      <alignment horizontal="center"/>
    </xf>
    <xf numFmtId="0" fontId="5" fillId="4" borderId="27" xfId="0" applyFont="1" applyFill="1" applyBorder="1"/>
    <xf numFmtId="0" fontId="53" fillId="4" borderId="10" xfId="0" applyFont="1" applyFill="1" applyBorder="1"/>
    <xf numFmtId="0" fontId="44" fillId="0" borderId="12" xfId="0" applyFont="1" applyBorder="1" applyAlignment="1">
      <alignment vertical="center"/>
    </xf>
    <xf numFmtId="0" fontId="42" fillId="0" borderId="14" xfId="0" applyFont="1" applyBorder="1"/>
    <xf numFmtId="0" fontId="15" fillId="5" borderId="4" xfId="0" applyFont="1" applyFill="1" applyBorder="1" applyAlignment="1">
      <alignment horizontal="center"/>
    </xf>
    <xf numFmtId="0" fontId="62" fillId="0" borderId="0" xfId="0" applyFont="1" applyAlignment="1">
      <alignment horizontal="center"/>
    </xf>
    <xf numFmtId="164" fontId="15" fillId="5" borderId="6" xfId="2" applyNumberFormat="1" applyFont="1" applyFill="1" applyBorder="1" applyAlignment="1">
      <alignment horizontal="center"/>
    </xf>
    <xf numFmtId="0" fontId="5" fillId="12" borderId="0" xfId="0" applyFont="1" applyFill="1"/>
    <xf numFmtId="169" fontId="5" fillId="12" borderId="0" xfId="0" applyNumberFormat="1" applyFont="1" applyFill="1" applyAlignment="1">
      <alignment horizontal="center"/>
    </xf>
    <xf numFmtId="170" fontId="3" fillId="12" borderId="0" xfId="0" applyNumberFormat="1" applyFont="1" applyFill="1" applyAlignment="1">
      <alignment horizontal="center"/>
    </xf>
    <xf numFmtId="9" fontId="4" fillId="12" borderId="0" xfId="2" applyFont="1" applyFill="1" applyAlignment="1">
      <alignment horizontal="center"/>
    </xf>
    <xf numFmtId="169" fontId="4" fillId="12" borderId="0" xfId="2" applyNumberFormat="1" applyFont="1" applyFill="1" applyAlignment="1">
      <alignment horizontal="center"/>
    </xf>
    <xf numFmtId="0" fontId="14" fillId="12" borderId="0" xfId="0" applyFont="1" applyFill="1" applyAlignment="1">
      <alignment horizontal="center"/>
    </xf>
    <xf numFmtId="0" fontId="2" fillId="12" borderId="0" xfId="0" applyFont="1" applyFill="1" applyAlignment="1">
      <alignment horizontal="center"/>
    </xf>
    <xf numFmtId="0" fontId="4" fillId="12" borderId="0" xfId="0" applyFont="1" applyFill="1" applyAlignment="1">
      <alignment horizontal="center"/>
    </xf>
    <xf numFmtId="2" fontId="0" fillId="8" borderId="0" xfId="0" applyNumberFormat="1" applyFill="1"/>
    <xf numFmtId="6" fontId="2" fillId="0" borderId="0" xfId="0" applyNumberFormat="1" applyFont="1" applyAlignment="1">
      <alignment horizontal="center"/>
    </xf>
    <xf numFmtId="0" fontId="2" fillId="0" borderId="33" xfId="0" applyFont="1" applyBorder="1" applyAlignment="1">
      <alignment horizontal="center"/>
    </xf>
    <xf numFmtId="2" fontId="41" fillId="10" borderId="35" xfId="0" applyNumberFormat="1" applyFont="1" applyFill="1" applyBorder="1" applyAlignment="1">
      <alignment horizontal="center"/>
    </xf>
    <xf numFmtId="0" fontId="20" fillId="0" borderId="35" xfId="0" applyFont="1" applyBorder="1" applyAlignment="1">
      <alignment horizontal="center"/>
    </xf>
    <xf numFmtId="0" fontId="48" fillId="0" borderId="13" xfId="0" applyFont="1" applyBorder="1" applyAlignment="1">
      <alignment horizontal="center"/>
    </xf>
    <xf numFmtId="164" fontId="64" fillId="0" borderId="14" xfId="2" applyNumberFormat="1" applyFont="1" applyBorder="1" applyAlignment="1">
      <alignment horizontal="center"/>
    </xf>
    <xf numFmtId="0" fontId="69" fillId="0" borderId="12" xfId="0" applyFont="1" applyBorder="1"/>
    <xf numFmtId="2" fontId="2" fillId="0" borderId="0" xfId="0" applyNumberFormat="1" applyFont="1" applyAlignment="1">
      <alignment horizontal="center"/>
    </xf>
    <xf numFmtId="1" fontId="72" fillId="0" borderId="0" xfId="0" applyNumberFormat="1" applyFont="1" applyAlignment="1">
      <alignment horizontal="center"/>
    </xf>
    <xf numFmtId="6" fontId="26" fillId="0" borderId="0" xfId="0" applyNumberFormat="1" applyFont="1" applyAlignment="1">
      <alignment horizontal="center"/>
    </xf>
    <xf numFmtId="6" fontId="71" fillId="0" borderId="0" xfId="0" applyNumberFormat="1" applyFont="1"/>
    <xf numFmtId="6" fontId="71" fillId="0" borderId="0" xfId="0" applyNumberFormat="1" applyFont="1" applyAlignment="1">
      <alignment horizontal="center"/>
    </xf>
    <xf numFmtId="1" fontId="71" fillId="0" borderId="0" xfId="0" applyNumberFormat="1" applyFont="1" applyAlignment="1">
      <alignment horizontal="center"/>
    </xf>
    <xf numFmtId="0" fontId="72" fillId="0" borderId="0" xfId="0" applyFont="1"/>
    <xf numFmtId="0" fontId="5" fillId="0" borderId="18" xfId="0" applyFont="1" applyBorder="1"/>
    <xf numFmtId="0" fontId="7" fillId="0" borderId="17" xfId="0" applyFont="1" applyBorder="1" applyAlignment="1">
      <alignment horizontal="center"/>
    </xf>
    <xf numFmtId="0" fontId="44" fillId="5" borderId="1" xfId="0" applyFont="1" applyFill="1" applyBorder="1"/>
    <xf numFmtId="0" fontId="48" fillId="5" borderId="2" xfId="0" applyFont="1" applyFill="1" applyBorder="1" applyAlignment="1">
      <alignment horizontal="center"/>
    </xf>
    <xf numFmtId="0" fontId="64" fillId="7" borderId="7" xfId="0" applyFont="1" applyFill="1" applyBorder="1" applyAlignment="1">
      <alignment horizontal="center"/>
    </xf>
    <xf numFmtId="1" fontId="27" fillId="0" borderId="5" xfId="0" applyNumberFormat="1" applyFont="1" applyBorder="1" applyAlignment="1">
      <alignment horizontal="center"/>
    </xf>
    <xf numFmtId="2" fontId="23" fillId="0" borderId="5" xfId="0" applyNumberFormat="1" applyFont="1" applyBorder="1" applyAlignment="1">
      <alignment horizontal="center"/>
    </xf>
    <xf numFmtId="1" fontId="27" fillId="0" borderId="4" xfId="0" applyNumberFormat="1" applyFont="1" applyBorder="1" applyAlignment="1">
      <alignment horizontal="center"/>
    </xf>
    <xf numFmtId="164" fontId="73" fillId="3" borderId="6" xfId="2" applyNumberFormat="1" applyFont="1" applyFill="1" applyBorder="1" applyAlignment="1">
      <alignment horizontal="center" vertical="center" wrapText="1"/>
    </xf>
    <xf numFmtId="3" fontId="2" fillId="5" borderId="6" xfId="0" applyNumberFormat="1" applyFont="1" applyFill="1" applyBorder="1" applyAlignment="1">
      <alignment horizontal="left"/>
    </xf>
    <xf numFmtId="166" fontId="10" fillId="0" borderId="25" xfId="0" applyNumberFormat="1" applyFont="1" applyBorder="1" applyAlignment="1">
      <alignment horizontal="center"/>
    </xf>
    <xf numFmtId="1" fontId="40" fillId="0" borderId="25" xfId="0" applyNumberFormat="1" applyFont="1" applyBorder="1" applyAlignment="1">
      <alignment horizontal="center"/>
    </xf>
    <xf numFmtId="1" fontId="40" fillId="0" borderId="25" xfId="0" applyNumberFormat="1" applyFont="1" applyBorder="1" applyAlignment="1">
      <alignment horizontal="left"/>
    </xf>
    <xf numFmtId="2" fontId="5" fillId="0" borderId="0" xfId="0" applyNumberFormat="1" applyFont="1" applyAlignment="1">
      <alignment horizontal="center"/>
    </xf>
    <xf numFmtId="2" fontId="62" fillId="0" borderId="0" xfId="2" applyNumberFormat="1" applyFont="1" applyAlignment="1">
      <alignment horizontal="right"/>
    </xf>
    <xf numFmtId="0" fontId="44" fillId="13" borderId="12" xfId="0" applyFont="1" applyFill="1" applyBorder="1" applyAlignment="1">
      <alignment wrapText="1"/>
    </xf>
    <xf numFmtId="0" fontId="48" fillId="13" borderId="14" xfId="0" applyFont="1" applyFill="1" applyBorder="1" applyAlignment="1">
      <alignment horizontal="center"/>
    </xf>
    <xf numFmtId="0" fontId="44" fillId="13" borderId="17" xfId="0" applyFont="1" applyFill="1" applyBorder="1" applyAlignment="1">
      <alignment wrapText="1"/>
    </xf>
    <xf numFmtId="0" fontId="48" fillId="13" borderId="0" xfId="0" applyFont="1" applyFill="1" applyAlignment="1">
      <alignment horizontal="center"/>
    </xf>
    <xf numFmtId="166" fontId="20" fillId="5" borderId="3" xfId="0" applyNumberFormat="1" applyFont="1" applyFill="1" applyBorder="1" applyAlignment="1">
      <alignment horizontal="center"/>
    </xf>
    <xf numFmtId="0" fontId="2" fillId="0" borderId="0" xfId="0" applyFont="1" applyAlignment="1">
      <alignment horizontal="left"/>
    </xf>
    <xf numFmtId="0" fontId="55" fillId="5" borderId="1" xfId="0" applyFont="1" applyFill="1" applyBorder="1" applyAlignment="1">
      <alignment vertical="center"/>
    </xf>
    <xf numFmtId="3" fontId="2" fillId="5" borderId="6" xfId="0" applyNumberFormat="1" applyFont="1" applyFill="1" applyBorder="1" applyAlignment="1">
      <alignment horizontal="center"/>
    </xf>
    <xf numFmtId="0" fontId="5" fillId="0" borderId="23" xfId="0" applyFont="1" applyBorder="1"/>
    <xf numFmtId="0" fontId="23" fillId="0" borderId="10" xfId="0" applyFont="1" applyBorder="1" applyAlignment="1">
      <alignment horizontal="center" vertical="center"/>
    </xf>
    <xf numFmtId="0" fontId="5" fillId="0" borderId="10" xfId="0" applyFont="1" applyBorder="1" applyAlignment="1">
      <alignment horizontal="center"/>
    </xf>
    <xf numFmtId="0" fontId="23" fillId="0" borderId="24" xfId="0" applyFont="1" applyBorder="1" applyAlignment="1">
      <alignment horizontal="center" vertical="center"/>
    </xf>
    <xf numFmtId="0" fontId="14" fillId="0" borderId="5" xfId="0" applyFont="1" applyBorder="1" applyAlignment="1">
      <alignment horizontal="center"/>
    </xf>
    <xf numFmtId="0" fontId="26" fillId="0" borderId="0" xfId="0" applyFont="1"/>
    <xf numFmtId="0" fontId="14" fillId="0" borderId="39" xfId="0" applyFont="1" applyBorder="1" applyAlignment="1">
      <alignment horizontal="center"/>
    </xf>
    <xf numFmtId="10" fontId="2" fillId="11" borderId="3" xfId="2" applyNumberFormat="1" applyFont="1" applyFill="1" applyBorder="1" applyAlignment="1">
      <alignment horizontal="center" vertical="center"/>
    </xf>
    <xf numFmtId="6" fontId="5" fillId="11" borderId="3" xfId="0" applyNumberFormat="1" applyFont="1" applyFill="1" applyBorder="1" applyAlignment="1">
      <alignment horizontal="center"/>
    </xf>
    <xf numFmtId="169" fontId="2" fillId="8" borderId="0" xfId="0" applyNumberFormat="1" applyFont="1" applyFill="1" applyAlignment="1">
      <alignment horizontal="center"/>
    </xf>
    <xf numFmtId="9" fontId="5" fillId="8" borderId="0" xfId="2" applyFont="1" applyFill="1" applyAlignment="1">
      <alignment horizontal="center"/>
    </xf>
    <xf numFmtId="169" fontId="3" fillId="8" borderId="0" xfId="0" applyNumberFormat="1" applyFont="1" applyFill="1" applyAlignment="1">
      <alignment horizontal="center"/>
    </xf>
    <xf numFmtId="169" fontId="5" fillId="8" borderId="9" xfId="0" applyNumberFormat="1" applyFont="1" applyFill="1" applyBorder="1" applyAlignment="1">
      <alignment horizontal="center"/>
    </xf>
    <xf numFmtId="9" fontId="5" fillId="8" borderId="9" xfId="2" applyFont="1" applyFill="1" applyBorder="1" applyAlignment="1">
      <alignment horizontal="center"/>
    </xf>
    <xf numFmtId="3" fontId="48" fillId="0" borderId="21" xfId="0" applyNumberFormat="1" applyFont="1" applyBorder="1" applyAlignment="1">
      <alignment horizontal="center"/>
    </xf>
    <xf numFmtId="3" fontId="42" fillId="0" borderId="21" xfId="0" applyNumberFormat="1" applyFont="1" applyBorder="1" applyAlignment="1">
      <alignment horizontal="center"/>
    </xf>
    <xf numFmtId="3" fontId="42" fillId="0" borderId="0" xfId="0" applyNumberFormat="1" applyFont="1" applyAlignment="1">
      <alignment horizontal="center"/>
    </xf>
    <xf numFmtId="166" fontId="20" fillId="5" borderId="2" xfId="0" applyNumberFormat="1" applyFont="1" applyFill="1" applyBorder="1" applyAlignment="1">
      <alignment horizontal="center"/>
    </xf>
    <xf numFmtId="164" fontId="64" fillId="0" borderId="11" xfId="2" applyNumberFormat="1" applyFont="1" applyBorder="1" applyAlignment="1">
      <alignment horizontal="center"/>
    </xf>
    <xf numFmtId="164" fontId="45" fillId="0" borderId="6" xfId="2" applyNumberFormat="1" applyFont="1" applyBorder="1" applyAlignment="1">
      <alignment horizontal="center" vertical="center" wrapText="1"/>
    </xf>
    <xf numFmtId="2" fontId="44" fillId="0" borderId="6" xfId="0" applyNumberFormat="1" applyFont="1" applyBorder="1" applyAlignment="1">
      <alignment horizontal="center"/>
    </xf>
    <xf numFmtId="164" fontId="44" fillId="0" borderId="21" xfId="2" applyNumberFormat="1" applyFont="1" applyBorder="1" applyAlignment="1">
      <alignment horizontal="center"/>
    </xf>
    <xf numFmtId="164" fontId="45" fillId="0" borderId="4" xfId="2" applyNumberFormat="1" applyFont="1" applyBorder="1" applyAlignment="1">
      <alignment horizontal="center" vertical="center" wrapText="1"/>
    </xf>
    <xf numFmtId="0" fontId="5" fillId="0" borderId="30" xfId="0" applyFont="1" applyBorder="1"/>
    <xf numFmtId="0" fontId="3" fillId="2" borderId="29" xfId="0" applyFont="1" applyFill="1" applyBorder="1" applyAlignment="1">
      <alignment horizontal="center"/>
    </xf>
    <xf numFmtId="2" fontId="23" fillId="6" borderId="31" xfId="0" applyNumberFormat="1" applyFont="1" applyFill="1" applyBorder="1" applyAlignment="1">
      <alignment horizontal="center"/>
    </xf>
    <xf numFmtId="0" fontId="60" fillId="5" borderId="40" xfId="0" applyFont="1" applyFill="1" applyBorder="1" applyAlignment="1">
      <alignment horizontal="left" indent="1"/>
    </xf>
    <xf numFmtId="0" fontId="61" fillId="5" borderId="41" xfId="0" applyFont="1" applyFill="1" applyBorder="1" applyAlignment="1">
      <alignment horizontal="center"/>
    </xf>
    <xf numFmtId="169" fontId="15" fillId="5" borderId="42" xfId="0" applyNumberFormat="1" applyFont="1" applyFill="1" applyBorder="1" applyAlignment="1">
      <alignment horizontal="right"/>
    </xf>
    <xf numFmtId="0" fontId="60" fillId="5" borderId="43" xfId="0" applyFont="1" applyFill="1" applyBorder="1" applyAlignment="1">
      <alignment horizontal="left" indent="1"/>
    </xf>
    <xf numFmtId="169" fontId="60" fillId="5" borderId="44" xfId="0" applyNumberFormat="1" applyFont="1" applyFill="1" applyBorder="1" applyAlignment="1">
      <alignment horizontal="right"/>
    </xf>
    <xf numFmtId="0" fontId="65" fillId="5" borderId="45" xfId="3" applyFont="1" applyFill="1" applyBorder="1" applyAlignment="1" applyProtection="1"/>
    <xf numFmtId="0" fontId="61" fillId="5" borderId="36" xfId="0" applyFont="1" applyFill="1" applyBorder="1" applyAlignment="1">
      <alignment horizontal="center"/>
    </xf>
    <xf numFmtId="169" fontId="5" fillId="5" borderId="39" xfId="1" applyNumberFormat="1" applyFont="1" applyFill="1" applyBorder="1" applyAlignment="1">
      <alignment horizontal="right"/>
    </xf>
    <xf numFmtId="0" fontId="5" fillId="0" borderId="40" xfId="0" applyFont="1" applyBorder="1"/>
    <xf numFmtId="0" fontId="3" fillId="2" borderId="41" xfId="0" applyFont="1" applyFill="1" applyBorder="1" applyAlignment="1">
      <alignment horizontal="center"/>
    </xf>
    <xf numFmtId="0" fontId="5" fillId="0" borderId="43" xfId="0" applyFont="1" applyBorder="1"/>
    <xf numFmtId="169" fontId="5" fillId="0" borderId="32" xfId="1" applyNumberFormat="1" applyFont="1" applyBorder="1" applyAlignment="1">
      <alignment horizontal="right"/>
    </xf>
    <xf numFmtId="0" fontId="5" fillId="2" borderId="43" xfId="0" applyFont="1" applyFill="1" applyBorder="1"/>
    <xf numFmtId="6" fontId="5" fillId="0" borderId="32" xfId="0" applyNumberFormat="1" applyFont="1" applyBorder="1" applyAlignment="1">
      <alignment horizontal="right"/>
    </xf>
    <xf numFmtId="0" fontId="5" fillId="0" borderId="45" xfId="0" applyFont="1" applyBorder="1"/>
    <xf numFmtId="0" fontId="3" fillId="0" borderId="36" xfId="0" applyFont="1" applyBorder="1" applyAlignment="1">
      <alignment horizontal="center"/>
    </xf>
    <xf numFmtId="169" fontId="5" fillId="0" borderId="39" xfId="1" applyNumberFormat="1" applyFont="1" applyBorder="1" applyAlignment="1">
      <alignment horizontal="right"/>
    </xf>
    <xf numFmtId="0" fontId="5" fillId="2" borderId="40" xfId="0" applyFont="1" applyFill="1" applyBorder="1"/>
    <xf numFmtId="0" fontId="3" fillId="0" borderId="41" xfId="0" applyFont="1" applyBorder="1" applyAlignment="1">
      <alignment horizontal="center"/>
    </xf>
    <xf numFmtId="171" fontId="23" fillId="2" borderId="42" xfId="0" applyNumberFormat="1" applyFont="1" applyFill="1" applyBorder="1" applyAlignment="1">
      <alignment horizontal="right"/>
    </xf>
    <xf numFmtId="0" fontId="5" fillId="2" borderId="46" xfId="0" applyFont="1" applyFill="1" applyBorder="1"/>
    <xf numFmtId="0" fontId="3" fillId="2" borderId="47" xfId="0" applyFont="1" applyFill="1" applyBorder="1" applyAlignment="1">
      <alignment horizontal="center"/>
    </xf>
    <xf numFmtId="0" fontId="5" fillId="0" borderId="40" xfId="0" applyFont="1" applyBorder="1" applyAlignment="1">
      <alignment horizontal="left"/>
    </xf>
    <xf numFmtId="0" fontId="23" fillId="0" borderId="32" xfId="0" applyFont="1" applyBorder="1" applyAlignment="1">
      <alignment horizontal="right"/>
    </xf>
    <xf numFmtId="0" fontId="5" fillId="0" borderId="45" xfId="0" applyFont="1" applyBorder="1" applyAlignment="1">
      <alignment horizontal="left"/>
    </xf>
    <xf numFmtId="0" fontId="3" fillId="2" borderId="36" xfId="0" applyFont="1" applyFill="1" applyBorder="1" applyAlignment="1">
      <alignment horizontal="center"/>
    </xf>
    <xf numFmtId="169" fontId="5" fillId="0" borderId="32" xfId="0" applyNumberFormat="1" applyFont="1" applyBorder="1" applyAlignment="1">
      <alignment horizontal="right"/>
    </xf>
    <xf numFmtId="0" fontId="5" fillId="2" borderId="49" xfId="0" applyFont="1" applyFill="1" applyBorder="1"/>
    <xf numFmtId="169" fontId="23" fillId="2" borderId="44" xfId="0" applyNumberFormat="1" applyFont="1" applyFill="1" applyBorder="1" applyAlignment="1">
      <alignment horizontal="right"/>
    </xf>
    <xf numFmtId="164" fontId="23" fillId="2" borderId="44" xfId="2" applyNumberFormat="1" applyFont="1" applyFill="1" applyBorder="1" applyAlignment="1">
      <alignment horizontal="right"/>
    </xf>
    <xf numFmtId="169" fontId="5" fillId="0" borderId="39" xfId="0" applyNumberFormat="1" applyFont="1" applyBorder="1" applyAlignment="1">
      <alignment horizontal="right"/>
    </xf>
    <xf numFmtId="164" fontId="23" fillId="0" borderId="32" xfId="2" applyNumberFormat="1" applyFont="1" applyBorder="1" applyAlignment="1">
      <alignment horizontal="right"/>
    </xf>
    <xf numFmtId="3" fontId="5" fillId="0" borderId="32" xfId="0" applyNumberFormat="1" applyFont="1" applyBorder="1" applyAlignment="1">
      <alignment horizontal="right"/>
    </xf>
    <xf numFmtId="0" fontId="5" fillId="0" borderId="43" xfId="0" applyFont="1" applyBorder="1" applyAlignment="1">
      <alignment horizontal="left"/>
    </xf>
    <xf numFmtId="164" fontId="23" fillId="2" borderId="32" xfId="2" applyNumberFormat="1" applyFont="1" applyFill="1" applyBorder="1" applyAlignment="1">
      <alignment horizontal="right"/>
    </xf>
    <xf numFmtId="9" fontId="23" fillId="2" borderId="42" xfId="2" applyFont="1" applyFill="1" applyBorder="1" applyAlignment="1">
      <alignment horizontal="right"/>
    </xf>
    <xf numFmtId="2" fontId="5" fillId="0" borderId="32" xfId="2" applyNumberFormat="1" applyFont="1" applyBorder="1" applyAlignment="1">
      <alignment horizontal="right"/>
    </xf>
    <xf numFmtId="2" fontId="2" fillId="12" borderId="32" xfId="2" applyNumberFormat="1" applyFont="1" applyFill="1" applyBorder="1" applyAlignment="1">
      <alignment horizontal="right"/>
    </xf>
    <xf numFmtId="2" fontId="2" fillId="12" borderId="39" xfId="2" applyNumberFormat="1" applyFont="1" applyFill="1" applyBorder="1" applyAlignment="1">
      <alignment horizontal="right"/>
    </xf>
    <xf numFmtId="0" fontId="2" fillId="5" borderId="23" xfId="0" applyFont="1" applyFill="1" applyBorder="1"/>
    <xf numFmtId="0" fontId="20" fillId="5" borderId="10" xfId="0" applyFont="1" applyFill="1" applyBorder="1" applyAlignment="1">
      <alignment horizontal="center"/>
    </xf>
    <xf numFmtId="166" fontId="20" fillId="5" borderId="24" xfId="0" applyNumberFormat="1" applyFont="1" applyFill="1" applyBorder="1" applyAlignment="1">
      <alignment horizontal="center"/>
    </xf>
    <xf numFmtId="0" fontId="5" fillId="0" borderId="49" xfId="0" applyFont="1" applyBorder="1"/>
    <xf numFmtId="2" fontId="23" fillId="0" borderId="44" xfId="2" applyNumberFormat="1" applyFont="1" applyBorder="1" applyAlignment="1">
      <alignment horizontal="right"/>
    </xf>
    <xf numFmtId="10" fontId="23" fillId="2" borderId="32" xfId="2" applyNumberFormat="1" applyFont="1" applyFill="1" applyBorder="1" applyAlignment="1">
      <alignment horizontal="right"/>
    </xf>
    <xf numFmtId="0" fontId="5" fillId="2" borderId="45" xfId="0" applyFont="1" applyFill="1" applyBorder="1"/>
    <xf numFmtId="164" fontId="23" fillId="2" borderId="39" xfId="2" applyNumberFormat="1" applyFont="1" applyFill="1" applyBorder="1" applyAlignment="1">
      <alignment horizontal="right"/>
    </xf>
    <xf numFmtId="9" fontId="5" fillId="2" borderId="42" xfId="2" applyFont="1" applyFill="1" applyBorder="1" applyAlignment="1">
      <alignment horizontal="right"/>
    </xf>
    <xf numFmtId="0" fontId="5" fillId="0" borderId="46" xfId="0" applyFont="1" applyBorder="1"/>
    <xf numFmtId="169" fontId="23" fillId="2" borderId="39" xfId="0" applyNumberFormat="1" applyFont="1" applyFill="1" applyBorder="1" applyAlignment="1">
      <alignment horizontal="right"/>
    </xf>
    <xf numFmtId="169" fontId="5" fillId="0" borderId="42" xfId="0" applyNumberFormat="1" applyFont="1" applyBorder="1" applyAlignment="1">
      <alignment horizontal="right"/>
    </xf>
    <xf numFmtId="0" fontId="5" fillId="2" borderId="50" xfId="0" applyFont="1" applyFill="1" applyBorder="1"/>
    <xf numFmtId="169" fontId="5" fillId="0" borderId="51" xfId="0" applyNumberFormat="1" applyFont="1" applyBorder="1" applyAlignment="1">
      <alignment horizontal="right"/>
    </xf>
    <xf numFmtId="0" fontId="2" fillId="0" borderId="46" xfId="0" applyFont="1" applyBorder="1"/>
    <xf numFmtId="169" fontId="2" fillId="0" borderId="48" xfId="0" applyNumberFormat="1" applyFont="1" applyBorder="1"/>
    <xf numFmtId="9" fontId="23" fillId="6" borderId="42" xfId="2" applyFont="1" applyFill="1" applyBorder="1" applyAlignment="1">
      <alignment horizontal="center"/>
    </xf>
    <xf numFmtId="164" fontId="23" fillId="0" borderId="44" xfId="2" applyNumberFormat="1" applyFont="1" applyBorder="1" applyAlignment="1">
      <alignment horizontal="right"/>
    </xf>
    <xf numFmtId="0" fontId="5" fillId="0" borderId="36" xfId="0" applyFont="1" applyBorder="1"/>
    <xf numFmtId="0" fontId="3" fillId="0" borderId="39" xfId="0" applyFont="1" applyBorder="1" applyAlignment="1">
      <alignment horizontal="center"/>
    </xf>
    <xf numFmtId="0" fontId="60" fillId="5" borderId="40" xfId="0" applyFont="1" applyFill="1" applyBorder="1"/>
    <xf numFmtId="0" fontId="60" fillId="5" borderId="41" xfId="0" applyFont="1" applyFill="1" applyBorder="1"/>
    <xf numFmtId="2" fontId="15" fillId="5" borderId="42" xfId="0" applyNumberFormat="1" applyFont="1" applyFill="1" applyBorder="1" applyAlignment="1">
      <alignment horizontal="center"/>
    </xf>
    <xf numFmtId="0" fontId="60" fillId="5" borderId="43" xfId="0" applyFont="1" applyFill="1" applyBorder="1"/>
    <xf numFmtId="2" fontId="15" fillId="5" borderId="44" xfId="0" applyNumberFormat="1" applyFont="1" applyFill="1" applyBorder="1" applyAlignment="1">
      <alignment horizontal="right"/>
    </xf>
    <xf numFmtId="0" fontId="60" fillId="5" borderId="53" xfId="0" applyFont="1" applyFill="1" applyBorder="1"/>
    <xf numFmtId="164" fontId="15" fillId="5" borderId="54" xfId="2" applyNumberFormat="1" applyFont="1" applyFill="1" applyBorder="1" applyAlignment="1">
      <alignment horizontal="right"/>
    </xf>
    <xf numFmtId="0" fontId="66" fillId="5" borderId="55" xfId="3" applyFont="1" applyFill="1" applyBorder="1" applyAlignment="1" applyProtection="1"/>
    <xf numFmtId="0" fontId="5" fillId="5" borderId="37" xfId="0" applyFont="1" applyFill="1" applyBorder="1"/>
    <xf numFmtId="0" fontId="5" fillId="5" borderId="56" xfId="0" applyFont="1" applyFill="1" applyBorder="1"/>
    <xf numFmtId="0" fontId="23" fillId="6" borderId="42" xfId="0" applyFont="1" applyFill="1" applyBorder="1" applyAlignment="1">
      <alignment horizontal="center"/>
    </xf>
    <xf numFmtId="0" fontId="23" fillId="6" borderId="32" xfId="0" applyFont="1" applyFill="1" applyBorder="1" applyAlignment="1">
      <alignment horizontal="center"/>
    </xf>
    <xf numFmtId="2" fontId="23" fillId="2" borderId="32" xfId="0" applyNumberFormat="1" applyFont="1" applyFill="1" applyBorder="1" applyAlignment="1">
      <alignment horizontal="right"/>
    </xf>
    <xf numFmtId="0" fontId="5" fillId="0" borderId="55" xfId="0" applyFont="1" applyBorder="1"/>
    <xf numFmtId="9" fontId="5" fillId="0" borderId="48" xfId="2" applyFont="1" applyBorder="1" applyAlignment="1">
      <alignment horizontal="center"/>
    </xf>
    <xf numFmtId="0" fontId="2" fillId="0" borderId="40" xfId="0" applyFont="1" applyBorder="1"/>
    <xf numFmtId="6" fontId="23" fillId="0" borderId="42" xfId="0" applyNumberFormat="1" applyFont="1" applyBorder="1" applyAlignment="1">
      <alignment horizontal="right"/>
    </xf>
    <xf numFmtId="9" fontId="23" fillId="6" borderId="48" xfId="2" applyFont="1" applyFill="1" applyBorder="1" applyAlignment="1">
      <alignment horizontal="center"/>
    </xf>
    <xf numFmtId="0" fontId="2" fillId="0" borderId="1" xfId="0" applyFont="1" applyBorder="1"/>
    <xf numFmtId="0" fontId="5" fillId="0" borderId="58" xfId="0" applyFont="1" applyBorder="1"/>
    <xf numFmtId="0" fontId="23" fillId="6" borderId="31" xfId="0" applyFont="1" applyFill="1" applyBorder="1" applyAlignment="1">
      <alignment horizontal="center"/>
    </xf>
    <xf numFmtId="0" fontId="5" fillId="0" borderId="47" xfId="0" applyFont="1" applyBorder="1"/>
    <xf numFmtId="0" fontId="5" fillId="0" borderId="41" xfId="0" applyFont="1" applyBorder="1"/>
    <xf numFmtId="9" fontId="23" fillId="0" borderId="48" xfId="2" applyFont="1" applyBorder="1" applyAlignment="1">
      <alignment horizontal="right"/>
    </xf>
    <xf numFmtId="0" fontId="5" fillId="0" borderId="1" xfId="0" applyFont="1" applyBorder="1"/>
    <xf numFmtId="0" fontId="5" fillId="0" borderId="29" xfId="0" applyFont="1" applyBorder="1"/>
    <xf numFmtId="9" fontId="5" fillId="0" borderId="31" xfId="2" applyFont="1" applyBorder="1" applyAlignment="1">
      <alignment horizontal="center"/>
    </xf>
    <xf numFmtId="0" fontId="5" fillId="0" borderId="59" xfId="0" applyFont="1" applyBorder="1"/>
    <xf numFmtId="0" fontId="5" fillId="0" borderId="60" xfId="0" applyFont="1" applyBorder="1"/>
    <xf numFmtId="0" fontId="5" fillId="0" borderId="49" xfId="0" applyFont="1" applyBorder="1" applyAlignment="1">
      <alignment horizontal="left"/>
    </xf>
    <xf numFmtId="1" fontId="23" fillId="0" borderId="44" xfId="0" applyNumberFormat="1" applyFont="1" applyBorder="1" applyAlignment="1">
      <alignment horizontal="right"/>
    </xf>
    <xf numFmtId="169" fontId="23" fillId="2" borderId="48" xfId="0" applyNumberFormat="1" applyFont="1" applyFill="1" applyBorder="1" applyAlignment="1">
      <alignment horizontal="right"/>
    </xf>
    <xf numFmtId="0" fontId="20" fillId="0" borderId="57" xfId="0" applyFont="1" applyBorder="1" applyAlignment="1">
      <alignment horizontal="left"/>
    </xf>
    <xf numFmtId="0" fontId="2" fillId="0" borderId="59" xfId="0" applyFont="1" applyBorder="1" applyAlignment="1">
      <alignment horizontal="center"/>
    </xf>
    <xf numFmtId="0" fontId="2" fillId="0" borderId="60" xfId="0" applyFont="1" applyBorder="1" applyAlignment="1">
      <alignment horizontal="center"/>
    </xf>
    <xf numFmtId="0" fontId="5" fillId="0" borderId="52" xfId="0" applyFont="1" applyBorder="1" applyAlignment="1">
      <alignment horizontal="left"/>
    </xf>
    <xf numFmtId="0" fontId="20" fillId="0" borderId="57" xfId="0" applyFont="1" applyBorder="1"/>
    <xf numFmtId="6" fontId="5" fillId="0" borderId="39" xfId="0" applyNumberFormat="1" applyFont="1" applyBorder="1" applyAlignment="1">
      <alignment horizontal="right"/>
    </xf>
    <xf numFmtId="0" fontId="5" fillId="0" borderId="60" xfId="0" applyFont="1" applyBorder="1" applyAlignment="1">
      <alignment horizontal="right"/>
    </xf>
    <xf numFmtId="164" fontId="23" fillId="0" borderId="31" xfId="0" applyNumberFormat="1" applyFont="1" applyBorder="1" applyAlignment="1">
      <alignment horizontal="right"/>
    </xf>
    <xf numFmtId="0" fontId="20" fillId="0" borderId="1" xfId="0" applyFont="1" applyBorder="1"/>
    <xf numFmtId="9" fontId="23" fillId="0" borderId="39" xfId="0" applyNumberFormat="1" applyFont="1" applyBorder="1" applyAlignment="1">
      <alignment horizontal="right"/>
    </xf>
    <xf numFmtId="0" fontId="2" fillId="0" borderId="30" xfId="0" applyFont="1" applyBorder="1" applyAlignment="1">
      <alignment horizontal="left"/>
    </xf>
    <xf numFmtId="0" fontId="21" fillId="0" borderId="29" xfId="0" applyFont="1" applyBorder="1" applyAlignment="1">
      <alignment horizontal="center"/>
    </xf>
    <xf numFmtId="0" fontId="21" fillId="0" borderId="31" xfId="0" applyFont="1" applyBorder="1" applyAlignment="1">
      <alignment horizontal="center"/>
    </xf>
    <xf numFmtId="0" fontId="5" fillId="0" borderId="30" xfId="0" applyFont="1" applyBorder="1" applyAlignment="1">
      <alignment horizontal="left" indent="1"/>
    </xf>
    <xf numFmtId="0" fontId="67" fillId="0" borderId="30" xfId="3" applyFont="1" applyBorder="1" applyAlignment="1" applyProtection="1"/>
    <xf numFmtId="9" fontId="23" fillId="6" borderId="31" xfId="2" applyFont="1" applyFill="1" applyBorder="1" applyAlignment="1">
      <alignment horizontal="center"/>
    </xf>
    <xf numFmtId="164" fontId="23" fillId="0" borderId="42" xfId="2" applyNumberFormat="1" applyFont="1" applyBorder="1" applyAlignment="1">
      <alignment horizontal="right"/>
    </xf>
    <xf numFmtId="0" fontId="5" fillId="0" borderId="38" xfId="0" applyFont="1" applyBorder="1"/>
    <xf numFmtId="0" fontId="5" fillId="0" borderId="62" xfId="0" applyFont="1" applyBorder="1"/>
    <xf numFmtId="0" fontId="3" fillId="2" borderId="21" xfId="0" applyFont="1" applyFill="1" applyBorder="1" applyAlignment="1">
      <alignment horizontal="center"/>
    </xf>
    <xf numFmtId="10" fontId="3" fillId="0" borderId="63" xfId="2" applyNumberFormat="1" applyFont="1" applyBorder="1" applyAlignment="1">
      <alignment horizontal="right"/>
    </xf>
    <xf numFmtId="0" fontId="5" fillId="0" borderId="64" xfId="0" applyFont="1" applyBorder="1"/>
    <xf numFmtId="0" fontId="3" fillId="2" borderId="65" xfId="0" applyFont="1" applyFill="1" applyBorder="1" applyAlignment="1">
      <alignment horizontal="center"/>
    </xf>
    <xf numFmtId="2" fontId="23" fillId="6" borderId="66" xfId="0" applyNumberFormat="1" applyFont="1" applyFill="1" applyBorder="1" applyAlignment="1">
      <alignment horizontal="center"/>
    </xf>
    <xf numFmtId="1" fontId="23" fillId="0" borderId="42" xfId="0" applyNumberFormat="1" applyFont="1" applyBorder="1" applyAlignment="1">
      <alignment horizontal="right"/>
    </xf>
    <xf numFmtId="0" fontId="3" fillId="8" borderId="0" xfId="0" applyFont="1" applyFill="1" applyAlignment="1">
      <alignment horizontal="right" indent="1"/>
    </xf>
    <xf numFmtId="0" fontId="8" fillId="8" borderId="0" xfId="0" applyFont="1" applyFill="1" applyAlignment="1">
      <alignment horizontal="center"/>
    </xf>
    <xf numFmtId="0" fontId="5" fillId="14" borderId="0" xfId="0" applyFont="1" applyFill="1"/>
    <xf numFmtId="0" fontId="63" fillId="14" borderId="0" xfId="0" applyFont="1" applyFill="1"/>
    <xf numFmtId="0" fontId="2" fillId="14" borderId="0" xfId="0" applyFont="1" applyFill="1" applyAlignment="1">
      <alignment horizontal="center"/>
    </xf>
    <xf numFmtId="0" fontId="53" fillId="14" borderId="0" xfId="0" applyFont="1" applyFill="1"/>
    <xf numFmtId="0" fontId="75" fillId="14" borderId="0" xfId="0" applyFont="1" applyFill="1"/>
    <xf numFmtId="0" fontId="46" fillId="14" borderId="0" xfId="0" applyFont="1" applyFill="1"/>
    <xf numFmtId="0" fontId="16" fillId="14" borderId="0" xfId="3" applyFill="1" applyAlignment="1" applyProtection="1"/>
    <xf numFmtId="0" fontId="2" fillId="14" borderId="0" xfId="0" applyFont="1" applyFill="1"/>
    <xf numFmtId="0" fontId="42" fillId="0" borderId="9" xfId="0" applyFont="1" applyBorder="1" applyAlignment="1">
      <alignment horizontal="center"/>
    </xf>
    <xf numFmtId="0" fontId="2" fillId="0" borderId="23" xfId="0" applyFont="1" applyBorder="1"/>
    <xf numFmtId="0" fontId="5" fillId="0" borderId="67" xfId="0" applyFont="1" applyBorder="1"/>
    <xf numFmtId="0" fontId="23" fillId="6" borderId="66" xfId="0" applyFont="1" applyFill="1" applyBorder="1" applyAlignment="1">
      <alignment horizontal="center"/>
    </xf>
    <xf numFmtId="0" fontId="23" fillId="6" borderId="44" xfId="0" applyFont="1" applyFill="1" applyBorder="1" applyAlignment="1">
      <alignment horizontal="center"/>
    </xf>
    <xf numFmtId="6" fontId="5" fillId="0" borderId="39" xfId="0" applyNumberFormat="1" applyFont="1" applyBorder="1"/>
    <xf numFmtId="9" fontId="3" fillId="2" borderId="4" xfId="2" applyFont="1" applyFill="1" applyBorder="1" applyAlignment="1">
      <alignment horizontal="center"/>
    </xf>
    <xf numFmtId="9" fontId="3" fillId="2" borderId="65" xfId="2" applyFont="1" applyFill="1" applyBorder="1" applyAlignment="1">
      <alignment horizontal="center"/>
    </xf>
    <xf numFmtId="9" fontId="3" fillId="2" borderId="68" xfId="2" applyFont="1" applyFill="1" applyBorder="1" applyAlignment="1">
      <alignment horizontal="center"/>
    </xf>
    <xf numFmtId="0" fontId="0" fillId="0" borderId="14" xfId="0" applyBorder="1"/>
    <xf numFmtId="0" fontId="2" fillId="0" borderId="8" xfId="0" applyFont="1" applyBorder="1" applyAlignment="1">
      <alignment horizontal="right"/>
    </xf>
    <xf numFmtId="0" fontId="2" fillId="0" borderId="26" xfId="0" applyFont="1" applyBorder="1" applyAlignment="1">
      <alignment horizontal="right"/>
    </xf>
    <xf numFmtId="0" fontId="0" fillId="0" borderId="12" xfId="0" applyBorder="1"/>
    <xf numFmtId="0" fontId="5" fillId="0" borderId="28" xfId="2" applyNumberFormat="1" applyFont="1" applyBorder="1" applyAlignment="1">
      <alignment vertical="center"/>
    </xf>
    <xf numFmtId="174" fontId="23" fillId="0" borderId="32" xfId="5" applyNumberFormat="1" applyFont="1" applyBorder="1" applyAlignment="1">
      <alignment horizontal="right"/>
    </xf>
    <xf numFmtId="174" fontId="23" fillId="2" borderId="32" xfId="5" applyNumberFormat="1" applyFont="1" applyFill="1" applyBorder="1" applyAlignment="1">
      <alignment horizontal="right"/>
    </xf>
    <xf numFmtId="9" fontId="23" fillId="2" borderId="44" xfId="2" applyFont="1" applyFill="1" applyBorder="1" applyAlignment="1">
      <alignment horizontal="right"/>
    </xf>
    <xf numFmtId="1" fontId="23" fillId="0" borderId="32" xfId="0" applyNumberFormat="1" applyFont="1" applyBorder="1" applyAlignment="1">
      <alignment horizontal="right"/>
    </xf>
    <xf numFmtId="43" fontId="0" fillId="0" borderId="70" xfId="5" applyFont="1" applyBorder="1"/>
    <xf numFmtId="0" fontId="0" fillId="0" borderId="35" xfId="0" applyBorder="1"/>
    <xf numFmtId="43" fontId="0" fillId="0" borderId="71" xfId="5" applyFont="1" applyBorder="1"/>
    <xf numFmtId="169" fontId="23" fillId="13" borderId="39" xfId="0" applyNumberFormat="1" applyFont="1" applyFill="1" applyBorder="1" applyAlignment="1">
      <alignment horizontal="right"/>
    </xf>
    <xf numFmtId="8" fontId="5" fillId="0" borderId="0" xfId="0" applyNumberFormat="1" applyFont="1"/>
    <xf numFmtId="164" fontId="23" fillId="0" borderId="65" xfId="2" applyNumberFormat="1" applyFont="1" applyBorder="1" applyAlignment="1">
      <alignment horizontal="center"/>
    </xf>
    <xf numFmtId="0" fontId="2" fillId="0" borderId="47" xfId="0" applyFont="1" applyBorder="1"/>
    <xf numFmtId="0" fontId="2" fillId="0" borderId="69" xfId="0" applyFont="1" applyBorder="1"/>
    <xf numFmtId="164" fontId="23" fillId="0" borderId="66" xfId="2" applyNumberFormat="1" applyFont="1" applyBorder="1" applyAlignment="1">
      <alignment horizontal="center"/>
    </xf>
    <xf numFmtId="0" fontId="2" fillId="0" borderId="48" xfId="0" applyFont="1" applyBorder="1"/>
    <xf numFmtId="0" fontId="5" fillId="0" borderId="73" xfId="0" applyFont="1" applyBorder="1" applyAlignment="1">
      <alignment horizontal="left" indent="1"/>
    </xf>
    <xf numFmtId="0" fontId="5" fillId="0" borderId="52" xfId="0" applyFont="1" applyBorder="1" applyAlignment="1">
      <alignment horizontal="left" indent="1"/>
    </xf>
    <xf numFmtId="0" fontId="5" fillId="0" borderId="74" xfId="0" applyFont="1" applyBorder="1" applyAlignment="1">
      <alignment horizontal="left" indent="1"/>
    </xf>
    <xf numFmtId="6" fontId="5" fillId="15" borderId="0" xfId="0" applyNumberFormat="1" applyFont="1" applyFill="1"/>
    <xf numFmtId="6" fontId="8" fillId="15" borderId="0" xfId="0" applyNumberFormat="1" applyFont="1" applyFill="1"/>
    <xf numFmtId="9" fontId="23" fillId="15" borderId="42" xfId="2" applyFont="1" applyFill="1" applyBorder="1" applyAlignment="1">
      <alignment horizontal="right"/>
    </xf>
    <xf numFmtId="9" fontId="23" fillId="15" borderId="32" xfId="2" applyFont="1" applyFill="1" applyBorder="1" applyAlignment="1">
      <alignment horizontal="right"/>
    </xf>
    <xf numFmtId="0" fontId="23" fillId="15" borderId="32" xfId="0" applyFont="1" applyFill="1" applyBorder="1" applyAlignment="1">
      <alignment horizontal="right"/>
    </xf>
    <xf numFmtId="171" fontId="23" fillId="2" borderId="44" xfId="0" applyNumberFormat="1" applyFont="1" applyFill="1" applyBorder="1" applyAlignment="1">
      <alignment horizontal="right"/>
    </xf>
    <xf numFmtId="0" fontId="60" fillId="15" borderId="43" xfId="0" applyFont="1" applyFill="1" applyBorder="1" applyAlignment="1">
      <alignment horizontal="left" indent="1"/>
    </xf>
    <xf numFmtId="0" fontId="0" fillId="0" borderId="0" xfId="0" applyAlignment="1">
      <alignment horizontal="right"/>
    </xf>
    <xf numFmtId="43" fontId="0" fillId="0" borderId="0" xfId="0" applyNumberFormat="1"/>
    <xf numFmtId="6" fontId="20" fillId="0" borderId="0" xfId="0" applyNumberFormat="1" applyFont="1" applyAlignment="1">
      <alignment horizontal="right"/>
    </xf>
    <xf numFmtId="6" fontId="3" fillId="0" borderId="0" xfId="0" applyNumberFormat="1" applyFont="1"/>
    <xf numFmtId="38" fontId="2" fillId="0" borderId="0" xfId="0" applyNumberFormat="1" applyFont="1" applyAlignment="1">
      <alignment horizontal="center" vertical="center"/>
    </xf>
    <xf numFmtId="38" fontId="2" fillId="0" borderId="0" xfId="0" applyNumberFormat="1" applyFont="1"/>
    <xf numFmtId="0" fontId="76" fillId="0" borderId="67" xfId="0" applyFont="1" applyBorder="1" applyAlignment="1">
      <alignment horizontal="center" vertical="center"/>
    </xf>
    <xf numFmtId="4" fontId="78" fillId="0" borderId="0" xfId="5" applyNumberFormat="1" applyFont="1" applyBorder="1" applyAlignment="1">
      <alignment horizontal="center" vertical="center"/>
    </xf>
    <xf numFmtId="43" fontId="77" fillId="0" borderId="0" xfId="5" applyFont="1" applyBorder="1"/>
    <xf numFmtId="0" fontId="2" fillId="0" borderId="0" xfId="0" applyFont="1" applyAlignment="1">
      <alignment horizontal="right"/>
    </xf>
    <xf numFmtId="0" fontId="76" fillId="0" borderId="64" xfId="0" applyFont="1" applyBorder="1" applyAlignment="1">
      <alignment horizontal="center" vertical="center"/>
    </xf>
    <xf numFmtId="0" fontId="2" fillId="0" borderId="23" xfId="0" applyFont="1" applyBorder="1" applyAlignment="1">
      <alignment horizontal="right"/>
    </xf>
    <xf numFmtId="4" fontId="78" fillId="0" borderId="10" xfId="5" applyNumberFormat="1" applyFont="1" applyBorder="1" applyAlignment="1">
      <alignment horizontal="center" vertical="center"/>
    </xf>
    <xf numFmtId="0" fontId="76" fillId="0" borderId="7" xfId="0" applyFont="1" applyBorder="1" applyAlignment="1">
      <alignment horizontal="center" vertical="center" wrapText="1"/>
    </xf>
    <xf numFmtId="4" fontId="78" fillId="0" borderId="34" xfId="5" applyNumberFormat="1" applyFont="1" applyBorder="1" applyAlignment="1">
      <alignment horizontal="center" vertical="center"/>
    </xf>
    <xf numFmtId="38" fontId="5" fillId="0" borderId="9" xfId="0" applyNumberFormat="1" applyFont="1" applyBorder="1"/>
    <xf numFmtId="169" fontId="5" fillId="16" borderId="0" xfId="0" applyNumberFormat="1" applyFont="1" applyFill="1" applyAlignment="1">
      <alignment horizontal="center"/>
    </xf>
    <xf numFmtId="9" fontId="5" fillId="16" borderId="0" xfId="2" applyFont="1" applyFill="1" applyAlignment="1">
      <alignment horizontal="center"/>
    </xf>
    <xf numFmtId="0" fontId="5" fillId="16" borderId="9" xfId="0" applyFont="1" applyFill="1" applyBorder="1"/>
    <xf numFmtId="0" fontId="3" fillId="16" borderId="9" xfId="0" applyFont="1" applyFill="1" applyBorder="1" applyAlignment="1">
      <alignment horizontal="center"/>
    </xf>
    <xf numFmtId="6" fontId="5" fillId="16" borderId="9" xfId="0" applyNumberFormat="1" applyFont="1" applyFill="1" applyBorder="1"/>
    <xf numFmtId="0" fontId="5" fillId="16" borderId="0" xfId="0" applyFont="1" applyFill="1"/>
    <xf numFmtId="0" fontId="3" fillId="16" borderId="0" xfId="0" applyFont="1" applyFill="1" applyAlignment="1">
      <alignment horizontal="center"/>
    </xf>
    <xf numFmtId="6" fontId="5" fillId="16" borderId="0" xfId="0" applyNumberFormat="1" applyFont="1" applyFill="1"/>
    <xf numFmtId="0" fontId="5" fillId="16" borderId="0" xfId="0" applyFont="1" applyFill="1" applyAlignment="1">
      <alignment horizontal="center"/>
    </xf>
    <xf numFmtId="2" fontId="5" fillId="16" borderId="0" xfId="0" applyNumberFormat="1" applyFont="1" applyFill="1" applyAlignment="1">
      <alignment horizontal="right"/>
    </xf>
    <xf numFmtId="0" fontId="0" fillId="16" borderId="7" xfId="0" applyFill="1" applyBorder="1" applyAlignment="1">
      <alignment horizontal="center" vertical="center"/>
    </xf>
    <xf numFmtId="44" fontId="72" fillId="0" borderId="0" xfId="1" applyFont="1"/>
    <xf numFmtId="0" fontId="5" fillId="0" borderId="4" xfId="0" applyFont="1" applyBorder="1"/>
    <xf numFmtId="9" fontId="5" fillId="0" borderId="4" xfId="2" applyFont="1" applyBorder="1"/>
    <xf numFmtId="44" fontId="42" fillId="0" borderId="4" xfId="0" applyNumberFormat="1" applyFont="1" applyBorder="1"/>
    <xf numFmtId="0" fontId="5" fillId="5" borderId="4" xfId="0" applyFont="1" applyFill="1" applyBorder="1"/>
    <xf numFmtId="9" fontId="50" fillId="5" borderId="4" xfId="0" applyNumberFormat="1" applyFont="1" applyFill="1" applyBorder="1" applyAlignment="1">
      <alignment horizontal="center"/>
    </xf>
    <xf numFmtId="8" fontId="42" fillId="5" borderId="4" xfId="0" applyNumberFormat="1" applyFont="1" applyFill="1" applyBorder="1"/>
    <xf numFmtId="0" fontId="5" fillId="5" borderId="43" xfId="0" applyFont="1" applyFill="1" applyBorder="1"/>
    <xf numFmtId="0" fontId="5" fillId="5" borderId="32" xfId="0" applyFont="1" applyFill="1" applyBorder="1"/>
    <xf numFmtId="0" fontId="42" fillId="0" borderId="43" xfId="0" applyFont="1" applyBorder="1"/>
    <xf numFmtId="9" fontId="50" fillId="5" borderId="43" xfId="0" applyNumberFormat="1" applyFont="1" applyFill="1" applyBorder="1" applyAlignment="1">
      <alignment horizontal="center"/>
    </xf>
    <xf numFmtId="174" fontId="23" fillId="5" borderId="32" xfId="5" applyNumberFormat="1" applyFont="1" applyFill="1" applyBorder="1" applyAlignment="1">
      <alignment horizontal="right"/>
    </xf>
    <xf numFmtId="0" fontId="42" fillId="5" borderId="43" xfId="0" applyFont="1" applyFill="1" applyBorder="1"/>
    <xf numFmtId="0" fontId="80" fillId="0" borderId="0" xfId="0" applyFont="1"/>
    <xf numFmtId="174" fontId="23" fillId="6" borderId="32" xfId="5" applyNumberFormat="1" applyFont="1" applyFill="1" applyBorder="1" applyAlignment="1">
      <alignment horizontal="right"/>
    </xf>
    <xf numFmtId="0" fontId="2" fillId="0" borderId="22" xfId="0" applyFont="1" applyBorder="1" applyAlignment="1">
      <alignment horizontal="center"/>
    </xf>
    <xf numFmtId="0" fontId="21" fillId="0" borderId="61" xfId="0" applyFont="1" applyBorder="1" applyAlignment="1">
      <alignment horizontal="center"/>
    </xf>
    <xf numFmtId="164" fontId="23" fillId="0" borderId="72" xfId="2" applyNumberFormat="1" applyFont="1" applyBorder="1" applyAlignment="1">
      <alignment horizontal="center"/>
    </xf>
    <xf numFmtId="0" fontId="2" fillId="8" borderId="0" xfId="0" applyFont="1" applyFill="1" applyAlignment="1">
      <alignment horizontal="center"/>
    </xf>
    <xf numFmtId="0" fontId="2" fillId="11" borderId="1" xfId="0" applyFont="1" applyFill="1" applyBorder="1" applyAlignment="1">
      <alignment horizontal="left" vertical="center" wrapText="1"/>
    </xf>
    <xf numFmtId="0" fontId="2" fillId="11" borderId="3" xfId="0" applyFont="1" applyFill="1" applyBorder="1" applyAlignment="1">
      <alignment horizontal="left" vertical="center" wrapText="1"/>
    </xf>
    <xf numFmtId="164" fontId="79" fillId="0" borderId="4" xfId="2" applyNumberFormat="1" applyFont="1" applyBorder="1" applyAlignment="1">
      <alignment horizontal="center"/>
    </xf>
    <xf numFmtId="164" fontId="79" fillId="0" borderId="36" xfId="2" applyNumberFormat="1" applyFont="1" applyBorder="1" applyAlignment="1">
      <alignment horizontal="center"/>
    </xf>
    <xf numFmtId="6" fontId="23" fillId="14" borderId="32" xfId="0" applyNumberFormat="1" applyFont="1" applyFill="1" applyBorder="1" applyAlignment="1">
      <alignment horizontal="right"/>
    </xf>
    <xf numFmtId="0" fontId="2" fillId="5" borderId="40" xfId="0" applyFont="1" applyFill="1" applyBorder="1" applyAlignment="1">
      <alignment horizontal="left"/>
    </xf>
    <xf numFmtId="0" fontId="20" fillId="5" borderId="41" xfId="0" applyFont="1" applyFill="1" applyBorder="1" applyAlignment="1">
      <alignment horizontal="center"/>
    </xf>
    <xf numFmtId="166" fontId="20" fillId="5" borderId="42" xfId="0" applyNumberFormat="1" applyFont="1" applyFill="1" applyBorder="1" applyAlignment="1">
      <alignment horizontal="center"/>
    </xf>
    <xf numFmtId="164" fontId="79" fillId="0" borderId="41" xfId="2" applyNumberFormat="1" applyFont="1" applyFill="1" applyBorder="1" applyAlignment="1">
      <alignment horizontal="center"/>
    </xf>
    <xf numFmtId="164" fontId="23" fillId="0" borderId="39" xfId="2" applyNumberFormat="1" applyFont="1" applyBorder="1" applyAlignment="1">
      <alignment horizontal="right"/>
    </xf>
    <xf numFmtId="9" fontId="23" fillId="0" borderId="44" xfId="2" applyFont="1" applyFill="1" applyBorder="1" applyAlignment="1">
      <alignment horizontal="right"/>
    </xf>
    <xf numFmtId="164" fontId="5" fillId="16" borderId="0" xfId="2" applyNumberFormat="1" applyFont="1" applyFill="1" applyAlignment="1">
      <alignment horizontal="center"/>
    </xf>
    <xf numFmtId="164" fontId="5" fillId="8" borderId="0" xfId="2" applyNumberFormat="1" applyFont="1" applyFill="1" applyAlignment="1">
      <alignment horizontal="center"/>
    </xf>
    <xf numFmtId="164" fontId="5" fillId="8" borderId="9" xfId="2" applyNumberFormat="1" applyFont="1" applyFill="1" applyBorder="1" applyAlignment="1">
      <alignment horizontal="center"/>
    </xf>
    <xf numFmtId="180" fontId="5" fillId="2" borderId="42" xfId="2" applyNumberFormat="1" applyFont="1" applyFill="1" applyBorder="1" applyAlignment="1">
      <alignment horizontal="right"/>
    </xf>
    <xf numFmtId="171" fontId="5" fillId="0" borderId="42" xfId="1" applyNumberFormat="1" applyFont="1" applyBorder="1" applyAlignment="1">
      <alignment horizontal="right"/>
    </xf>
    <xf numFmtId="0" fontId="23" fillId="0" borderId="42" xfId="0" applyFont="1" applyBorder="1" applyAlignment="1">
      <alignment horizontal="right"/>
    </xf>
    <xf numFmtId="169" fontId="5" fillId="0" borderId="48" xfId="2" applyNumberFormat="1" applyFont="1" applyFill="1" applyBorder="1" applyAlignment="1">
      <alignment horizontal="right"/>
    </xf>
    <xf numFmtId="174" fontId="23" fillId="0" borderId="32" xfId="5" applyNumberFormat="1" applyFont="1" applyFill="1" applyBorder="1" applyAlignment="1">
      <alignment horizontal="right"/>
    </xf>
    <xf numFmtId="9" fontId="23" fillId="0" borderId="32" xfId="2" applyFont="1" applyFill="1" applyBorder="1" applyAlignment="1">
      <alignment horizontal="right"/>
    </xf>
    <xf numFmtId="164" fontId="23" fillId="0" borderId="42" xfId="2" applyNumberFormat="1" applyFont="1" applyFill="1" applyBorder="1" applyAlignment="1">
      <alignment horizontal="right"/>
    </xf>
    <xf numFmtId="10" fontId="23" fillId="0" borderId="42" xfId="2" applyNumberFormat="1" applyFont="1" applyFill="1" applyBorder="1" applyAlignment="1">
      <alignment horizontal="right"/>
    </xf>
    <xf numFmtId="2" fontId="44" fillId="13" borderId="4" xfId="0" applyNumberFormat="1" applyFont="1" applyFill="1" applyBorder="1" applyAlignment="1">
      <alignment horizontal="center"/>
    </xf>
    <xf numFmtId="9" fontId="23" fillId="0" borderId="44" xfId="2" applyFont="1" applyBorder="1" applyAlignment="1">
      <alignment horizontal="right"/>
    </xf>
    <xf numFmtId="169" fontId="5" fillId="0" borderId="42" xfId="1" applyNumberFormat="1" applyFont="1" applyBorder="1" applyAlignment="1">
      <alignment horizontal="right"/>
    </xf>
    <xf numFmtId="169" fontId="5" fillId="0" borderId="48" xfId="2" applyNumberFormat="1" applyFont="1" applyBorder="1" applyAlignment="1">
      <alignment horizontal="right"/>
    </xf>
    <xf numFmtId="44" fontId="5" fillId="0" borderId="0" xfId="1" applyFont="1"/>
    <xf numFmtId="0" fontId="21" fillId="0" borderId="0" xfId="0" applyFont="1" applyAlignment="1">
      <alignment horizontal="center"/>
    </xf>
    <xf numFmtId="9" fontId="8" fillId="0" borderId="0" xfId="0" applyNumberFormat="1" applyFont="1" applyAlignment="1">
      <alignment horizontal="left"/>
    </xf>
    <xf numFmtId="2" fontId="23" fillId="0" borderId="32" xfId="2" applyNumberFormat="1" applyFont="1" applyBorder="1" applyAlignment="1">
      <alignment horizontal="right"/>
    </xf>
    <xf numFmtId="10" fontId="5" fillId="2" borderId="42" xfId="2" applyNumberFormat="1" applyFont="1" applyFill="1" applyBorder="1" applyAlignment="1">
      <alignment horizontal="right"/>
    </xf>
    <xf numFmtId="10" fontId="23" fillId="0" borderId="42" xfId="2" applyNumberFormat="1" applyFont="1" applyBorder="1" applyAlignment="1">
      <alignment horizontal="right"/>
    </xf>
    <xf numFmtId="9" fontId="14" fillId="0" borderId="39" xfId="0" applyNumberFormat="1" applyFont="1" applyBorder="1" applyAlignment="1">
      <alignment horizontal="right"/>
    </xf>
    <xf numFmtId="164" fontId="79" fillId="0" borderId="4" xfId="2" applyNumberFormat="1" applyFont="1" applyFill="1" applyBorder="1" applyAlignment="1">
      <alignment horizontal="center"/>
    </xf>
    <xf numFmtId="4" fontId="0" fillId="0" borderId="0" xfId="0" applyNumberFormat="1"/>
    <xf numFmtId="0" fontId="76" fillId="0" borderId="66" xfId="0" applyFont="1" applyBorder="1" applyAlignment="1">
      <alignment horizontal="center" vertical="center"/>
    </xf>
    <xf numFmtId="0" fontId="0" fillId="0" borderId="24" xfId="0" applyBorder="1"/>
    <xf numFmtId="4" fontId="0" fillId="0" borderId="25" xfId="5" applyNumberFormat="1" applyFont="1" applyBorder="1" applyAlignment="1">
      <alignment horizontal="center" vertical="center"/>
    </xf>
    <xf numFmtId="4" fontId="77" fillId="0" borderId="25" xfId="5" applyNumberFormat="1" applyFont="1" applyBorder="1" applyAlignment="1">
      <alignment horizontal="center" vertical="center"/>
    </xf>
    <xf numFmtId="4" fontId="78" fillId="0" borderId="22" xfId="5" applyNumberFormat="1" applyFont="1" applyBorder="1" applyAlignment="1">
      <alignment horizontal="center" vertical="center"/>
    </xf>
    <xf numFmtId="4" fontId="77" fillId="0" borderId="27" xfId="5" applyNumberFormat="1" applyFont="1" applyBorder="1" applyAlignment="1">
      <alignment horizontal="center" vertical="center"/>
    </xf>
    <xf numFmtId="0" fontId="42" fillId="0" borderId="53" xfId="0" applyFont="1" applyBorder="1"/>
    <xf numFmtId="0" fontId="42" fillId="0" borderId="6" xfId="0" applyFont="1" applyBorder="1"/>
    <xf numFmtId="174" fontId="23" fillId="0" borderId="54" xfId="5" applyNumberFormat="1" applyFont="1" applyBorder="1" applyAlignment="1">
      <alignment horizontal="right"/>
    </xf>
    <xf numFmtId="0" fontId="76" fillId="0" borderId="0" xfId="0" applyFont="1"/>
    <xf numFmtId="0" fontId="83" fillId="17" borderId="0" xfId="0" applyFont="1" applyFill="1"/>
    <xf numFmtId="0" fontId="84" fillId="17" borderId="0" xfId="0" applyFont="1" applyFill="1"/>
    <xf numFmtId="0" fontId="84" fillId="0" borderId="0" xfId="0" applyFont="1"/>
    <xf numFmtId="0" fontId="85" fillId="0" borderId="0" xfId="0" applyFont="1"/>
    <xf numFmtId="0" fontId="85" fillId="0" borderId="0" xfId="0" applyFont="1" applyAlignment="1">
      <alignment horizontal="center"/>
    </xf>
    <xf numFmtId="0" fontId="85" fillId="18" borderId="0" xfId="0" applyFont="1" applyFill="1" applyAlignment="1">
      <alignment horizontal="center" vertical="center" wrapText="1"/>
    </xf>
    <xf numFmtId="0" fontId="84" fillId="0" borderId="0" xfId="0" applyFont="1" applyAlignment="1">
      <alignment horizontal="right"/>
    </xf>
    <xf numFmtId="164" fontId="86" fillId="0" borderId="4" xfId="2" applyNumberFormat="1" applyFont="1" applyFill="1" applyBorder="1" applyAlignment="1">
      <alignment horizontal="center"/>
    </xf>
    <xf numFmtId="10" fontId="86" fillId="0" borderId="4" xfId="0" applyNumberFormat="1" applyFont="1" applyBorder="1" applyAlignment="1">
      <alignment horizontal="center"/>
    </xf>
    <xf numFmtId="10" fontId="86" fillId="0" borderId="4" xfId="2" applyNumberFormat="1" applyFont="1" applyFill="1" applyBorder="1" applyAlignment="1">
      <alignment horizontal="center"/>
    </xf>
    <xf numFmtId="0" fontId="87" fillId="0" borderId="0" xfId="0" applyFont="1"/>
    <xf numFmtId="0" fontId="88" fillId="0" borderId="0" xfId="0" applyFont="1"/>
    <xf numFmtId="0" fontId="90" fillId="0" borderId="0" xfId="0" applyFont="1"/>
    <xf numFmtId="0" fontId="76" fillId="0" borderId="0" xfId="0" applyFont="1" applyAlignment="1">
      <alignment horizontal="right"/>
    </xf>
    <xf numFmtId="0" fontId="82" fillId="0" borderId="0" xfId="0" applyFont="1"/>
    <xf numFmtId="171" fontId="0" fillId="0" borderId="0" xfId="0" applyNumberFormat="1"/>
    <xf numFmtId="0" fontId="91" fillId="0" borderId="0" xfId="0" applyFont="1" applyAlignment="1">
      <alignment vertical="center"/>
    </xf>
    <xf numFmtId="164" fontId="82" fillId="0" borderId="0" xfId="2" applyNumberFormat="1" applyFont="1" applyBorder="1" applyAlignment="1">
      <alignment horizontal="center"/>
    </xf>
    <xf numFmtId="0" fontId="92" fillId="0" borderId="0" xfId="0" applyFont="1"/>
    <xf numFmtId="0" fontId="76" fillId="19" borderId="23" xfId="0" applyFont="1" applyFill="1" applyBorder="1" applyAlignment="1">
      <alignment horizontal="center" vertical="center" wrapText="1"/>
    </xf>
    <xf numFmtId="0" fontId="76" fillId="19" borderId="72" xfId="0" applyFont="1" applyFill="1" applyBorder="1" applyAlignment="1">
      <alignment horizontal="center" vertical="center" wrapText="1"/>
    </xf>
    <xf numFmtId="179" fontId="23" fillId="0" borderId="42" xfId="5" applyNumberFormat="1" applyFont="1" applyBorder="1" applyAlignment="1">
      <alignment horizontal="right"/>
    </xf>
    <xf numFmtId="6" fontId="15" fillId="5" borderId="32" xfId="0" applyNumberFormat="1" applyFont="1" applyFill="1" applyBorder="1" applyAlignment="1">
      <alignment horizontal="right"/>
    </xf>
    <xf numFmtId="9" fontId="5" fillId="0" borderId="47" xfId="2" applyFont="1" applyBorder="1"/>
    <xf numFmtId="181" fontId="79" fillId="0" borderId="48" xfId="1" applyNumberFormat="1" applyFont="1" applyBorder="1"/>
    <xf numFmtId="6" fontId="14" fillId="15" borderId="32" xfId="0" applyNumberFormat="1" applyFont="1" applyFill="1" applyBorder="1" applyAlignment="1">
      <alignment horizontal="right"/>
    </xf>
    <xf numFmtId="182" fontId="23" fillId="2" borderId="48" xfId="2" applyNumberFormat="1" applyFont="1" applyFill="1" applyBorder="1" applyAlignment="1">
      <alignment horizontal="right"/>
    </xf>
    <xf numFmtId="164" fontId="23" fillId="0" borderId="43" xfId="2" applyNumberFormat="1" applyFont="1" applyBorder="1" applyAlignment="1">
      <alignment horizontal="center"/>
    </xf>
    <xf numFmtId="164" fontId="23" fillId="0" borderId="4" xfId="2" applyNumberFormat="1" applyFont="1" applyBorder="1" applyAlignment="1">
      <alignment horizontal="center"/>
    </xf>
    <xf numFmtId="164" fontId="23" fillId="0" borderId="41" xfId="2" applyNumberFormat="1" applyFont="1" applyBorder="1" applyAlignment="1">
      <alignment horizontal="center"/>
    </xf>
    <xf numFmtId="164" fontId="23" fillId="0" borderId="42" xfId="2" applyNumberFormat="1" applyFont="1" applyBorder="1" applyAlignment="1">
      <alignment horizontal="center"/>
    </xf>
    <xf numFmtId="164" fontId="23" fillId="0" borderId="32" xfId="2" applyNumberFormat="1" applyFont="1" applyBorder="1" applyAlignment="1">
      <alignment horizontal="center"/>
    </xf>
    <xf numFmtId="164" fontId="23" fillId="0" borderId="45" xfId="2" applyNumberFormat="1" applyFont="1" applyBorder="1" applyAlignment="1">
      <alignment horizontal="center"/>
    </xf>
    <xf numFmtId="164" fontId="23" fillId="0" borderId="36" xfId="2" applyNumberFormat="1" applyFont="1" applyBorder="1" applyAlignment="1">
      <alignment horizontal="center"/>
    </xf>
    <xf numFmtId="164" fontId="23" fillId="0" borderId="39" xfId="2" applyNumberFormat="1" applyFont="1" applyBorder="1" applyAlignment="1">
      <alignment horizontal="center"/>
    </xf>
    <xf numFmtId="0" fontId="94" fillId="0" borderId="0" xfId="0" applyFont="1"/>
    <xf numFmtId="10" fontId="95" fillId="0" borderId="4" xfId="2" applyNumberFormat="1" applyFont="1" applyFill="1" applyBorder="1" applyAlignment="1">
      <alignment horizontal="center"/>
    </xf>
    <xf numFmtId="0" fontId="93" fillId="0" borderId="0" xfId="0" applyFont="1"/>
    <xf numFmtId="169" fontId="0" fillId="0" borderId="0" xfId="0" applyNumberFormat="1"/>
    <xf numFmtId="164" fontId="0" fillId="0" borderId="0" xfId="2" applyNumberFormat="1" applyFont="1"/>
    <xf numFmtId="164" fontId="0" fillId="0" borderId="0" xfId="0" applyNumberFormat="1"/>
    <xf numFmtId="10" fontId="88" fillId="0" borderId="4" xfId="2" applyNumberFormat="1" applyFont="1" applyBorder="1"/>
    <xf numFmtId="0" fontId="96" fillId="0" borderId="4" xfId="5" applyNumberFormat="1" applyFont="1" applyBorder="1" applyAlignment="1">
      <alignment horizontal="center"/>
    </xf>
    <xf numFmtId="0" fontId="96" fillId="0" borderId="4" xfId="0" applyFont="1" applyBorder="1"/>
    <xf numFmtId="0" fontId="76" fillId="0" borderId="4" xfId="0" applyFont="1" applyBorder="1"/>
    <xf numFmtId="0" fontId="97" fillId="0" borderId="0" xfId="0" applyFont="1"/>
    <xf numFmtId="0" fontId="97" fillId="0" borderId="4" xfId="0" applyFont="1" applyBorder="1" applyAlignment="1">
      <alignment horizontal="center"/>
    </xf>
    <xf numFmtId="44" fontId="0" fillId="0" borderId="0" xfId="1" applyFont="1"/>
    <xf numFmtId="171" fontId="82" fillId="0" borderId="4" xfId="1" applyNumberFormat="1" applyFont="1" applyBorder="1"/>
    <xf numFmtId="169" fontId="88" fillId="0" borderId="4" xfId="0" applyNumberFormat="1" applyFont="1" applyBorder="1" applyAlignment="1">
      <alignment horizontal="center"/>
    </xf>
    <xf numFmtId="171" fontId="82" fillId="0" borderId="4" xfId="2" applyNumberFormat="1" applyFont="1" applyBorder="1"/>
    <xf numFmtId="182" fontId="82" fillId="0" borderId="4" xfId="2" applyNumberFormat="1" applyFont="1" applyBorder="1"/>
    <xf numFmtId="164" fontId="5" fillId="0" borderId="41" xfId="2" applyNumberFormat="1" applyFont="1" applyBorder="1" applyAlignment="1">
      <alignment horizontal="center"/>
    </xf>
    <xf numFmtId="164" fontId="5" fillId="0" borderId="42" xfId="2" applyNumberFormat="1" applyFont="1" applyBorder="1" applyAlignment="1">
      <alignment horizontal="center"/>
    </xf>
    <xf numFmtId="164" fontId="5" fillId="0" borderId="4" xfId="2" applyNumberFormat="1" applyFont="1" applyBorder="1" applyAlignment="1">
      <alignment horizontal="center"/>
    </xf>
    <xf numFmtId="164" fontId="5" fillId="0" borderId="32" xfId="2" applyNumberFormat="1" applyFont="1" applyBorder="1" applyAlignment="1">
      <alignment horizontal="center"/>
    </xf>
    <xf numFmtId="164" fontId="5" fillId="0" borderId="36" xfId="2" applyNumberFormat="1" applyFont="1" applyBorder="1" applyAlignment="1">
      <alignment horizontal="center"/>
    </xf>
    <xf numFmtId="164" fontId="5" fillId="0" borderId="39" xfId="2" applyNumberFormat="1" applyFont="1" applyBorder="1" applyAlignment="1">
      <alignment horizontal="center"/>
    </xf>
    <xf numFmtId="9" fontId="23" fillId="0" borderId="32" xfId="2" applyFont="1" applyBorder="1" applyAlignment="1">
      <alignment horizontal="right"/>
    </xf>
    <xf numFmtId="10" fontId="23" fillId="2" borderId="39" xfId="2" applyNumberFormat="1" applyFont="1" applyFill="1" applyBorder="1" applyAlignment="1">
      <alignment horizontal="right"/>
    </xf>
    <xf numFmtId="169" fontId="95" fillId="0" borderId="4" xfId="0" applyNumberFormat="1" applyFont="1" applyBorder="1"/>
    <xf numFmtId="164" fontId="23" fillId="0" borderId="41" xfId="2" applyNumberFormat="1" applyFont="1" applyFill="1" applyBorder="1" applyAlignment="1">
      <alignment horizontal="center"/>
    </xf>
    <xf numFmtId="9" fontId="81" fillId="0" borderId="36" xfId="2" applyFont="1" applyBorder="1"/>
    <xf numFmtId="181" fontId="79" fillId="0" borderId="39" xfId="1" applyNumberFormat="1" applyFont="1" applyBorder="1"/>
    <xf numFmtId="0" fontId="23" fillId="6" borderId="3" xfId="0" applyFont="1" applyFill="1" applyBorder="1"/>
    <xf numFmtId="10" fontId="82" fillId="0" borderId="4" xfId="2" applyNumberFormat="1" applyFont="1" applyBorder="1" applyAlignment="1">
      <alignment horizontal="center"/>
    </xf>
    <xf numFmtId="171" fontId="82" fillId="0" borderId="0" xfId="0" applyNumberFormat="1" applyFont="1"/>
    <xf numFmtId="171" fontId="84" fillId="0" borderId="0" xfId="0" applyNumberFormat="1" applyFont="1"/>
    <xf numFmtId="164" fontId="86" fillId="0" borderId="4" xfId="0" applyNumberFormat="1" applyFont="1" applyBorder="1" applyAlignment="1">
      <alignment horizontal="center"/>
    </xf>
    <xf numFmtId="169" fontId="95" fillId="0" borderId="0" xfId="0" applyNumberFormat="1" applyFont="1"/>
    <xf numFmtId="164" fontId="23" fillId="0" borderId="75" xfId="2" applyNumberFormat="1" applyFont="1" applyBorder="1" applyAlignment="1">
      <alignment horizontal="center"/>
    </xf>
    <xf numFmtId="164" fontId="23" fillId="0" borderId="37" xfId="2" applyNumberFormat="1" applyFont="1" applyBorder="1" applyAlignment="1">
      <alignment horizontal="center"/>
    </xf>
    <xf numFmtId="164" fontId="23" fillId="0" borderId="38" xfId="2" applyNumberFormat="1" applyFont="1" applyBorder="1" applyAlignment="1">
      <alignment horizontal="center"/>
    </xf>
    <xf numFmtId="0" fontId="2" fillId="0" borderId="61" xfId="0" applyFont="1" applyBorder="1" applyAlignment="1">
      <alignment horizontal="center"/>
    </xf>
    <xf numFmtId="0" fontId="2" fillId="0" borderId="2" xfId="0" applyFont="1" applyBorder="1" applyAlignment="1">
      <alignment horizontal="center"/>
    </xf>
    <xf numFmtId="0" fontId="2" fillId="0" borderId="58" xfId="0" applyFont="1" applyBorder="1" applyAlignment="1">
      <alignment horizontal="center"/>
    </xf>
    <xf numFmtId="0" fontId="7" fillId="5" borderId="2" xfId="0" applyFont="1" applyFill="1" applyBorder="1" applyAlignment="1">
      <alignment horizontal="center" vertical="center"/>
    </xf>
    <xf numFmtId="0" fontId="7" fillId="5" borderId="10" xfId="0" applyFont="1" applyFill="1" applyBorder="1" applyAlignment="1">
      <alignment horizontal="center" vertical="center"/>
    </xf>
    <xf numFmtId="0" fontId="58" fillId="0" borderId="0" xfId="0" applyFont="1" applyAlignment="1">
      <alignment horizontal="center"/>
    </xf>
    <xf numFmtId="0" fontId="21" fillId="0" borderId="61" xfId="0" applyFont="1" applyBorder="1" applyAlignment="1">
      <alignment horizontal="center"/>
    </xf>
    <xf numFmtId="0" fontId="21" fillId="0" borderId="2" xfId="0" applyFont="1" applyBorder="1" applyAlignment="1">
      <alignment horizontal="center"/>
    </xf>
    <xf numFmtId="0" fontId="21" fillId="0" borderId="58" xfId="0" applyFont="1" applyBorder="1" applyAlignment="1">
      <alignment horizontal="center"/>
    </xf>
    <xf numFmtId="164" fontId="23" fillId="0" borderId="61" xfId="2" applyNumberFormat="1" applyFont="1" applyBorder="1" applyAlignment="1">
      <alignment horizontal="center"/>
    </xf>
    <xf numFmtId="164" fontId="23" fillId="0" borderId="2" xfId="2" applyNumberFormat="1" applyFont="1" applyBorder="1" applyAlignment="1">
      <alignment horizontal="center"/>
    </xf>
    <xf numFmtId="164" fontId="23" fillId="0" borderId="58" xfId="2" applyNumberFormat="1" applyFont="1" applyBorder="1" applyAlignment="1">
      <alignment horizontal="center"/>
    </xf>
    <xf numFmtId="164" fontId="23" fillId="0" borderId="76" xfId="2" applyNumberFormat="1" applyFont="1" applyBorder="1" applyAlignment="1">
      <alignment horizontal="center"/>
    </xf>
    <xf numFmtId="164" fontId="23" fillId="0" borderId="59" xfId="2" applyNumberFormat="1" applyFont="1" applyBorder="1" applyAlignment="1">
      <alignment horizontal="center"/>
    </xf>
    <xf numFmtId="164" fontId="23" fillId="0" borderId="77" xfId="2" applyNumberFormat="1" applyFont="1" applyBorder="1" applyAlignment="1">
      <alignment horizontal="center"/>
    </xf>
    <xf numFmtId="164" fontId="23" fillId="0" borderId="12" xfId="2" applyNumberFormat="1" applyFont="1" applyBorder="1" applyAlignment="1">
      <alignment horizontal="center"/>
    </xf>
    <xf numFmtId="164" fontId="23" fillId="0" borderId="13" xfId="2" applyNumberFormat="1" applyFont="1" applyBorder="1" applyAlignment="1">
      <alignment horizontal="center"/>
    </xf>
    <xf numFmtId="164" fontId="23" fillId="0" borderId="14" xfId="2" applyNumberFormat="1" applyFont="1" applyBorder="1" applyAlignment="1">
      <alignment horizontal="center"/>
    </xf>
    <xf numFmtId="164" fontId="79" fillId="0" borderId="12" xfId="2" applyNumberFormat="1" applyFont="1" applyBorder="1" applyAlignment="1">
      <alignment horizontal="center"/>
    </xf>
    <xf numFmtId="164" fontId="79" fillId="0" borderId="13" xfId="2" applyNumberFormat="1" applyFont="1" applyBorder="1" applyAlignment="1">
      <alignment horizontal="center"/>
    </xf>
    <xf numFmtId="164" fontId="79" fillId="0" borderId="14" xfId="2" applyNumberFormat="1" applyFont="1" applyBorder="1" applyAlignment="1">
      <alignment horizontal="center"/>
    </xf>
    <xf numFmtId="164" fontId="79" fillId="0" borderId="75" xfId="2" applyNumberFormat="1" applyFont="1" applyBorder="1" applyAlignment="1">
      <alignment horizontal="center"/>
    </xf>
    <xf numFmtId="164" fontId="79" fillId="0" borderId="37" xfId="2" applyNumberFormat="1" applyFont="1" applyBorder="1" applyAlignment="1">
      <alignment horizontal="center"/>
    </xf>
    <xf numFmtId="164" fontId="79" fillId="0" borderId="38" xfId="2" applyNumberFormat="1" applyFont="1" applyBorder="1" applyAlignment="1">
      <alignment horizontal="center"/>
    </xf>
    <xf numFmtId="164" fontId="79" fillId="0" borderId="76" xfId="2" applyNumberFormat="1" applyFont="1" applyBorder="1" applyAlignment="1">
      <alignment horizontal="center"/>
    </xf>
    <xf numFmtId="164" fontId="79" fillId="0" borderId="59" xfId="2" applyNumberFormat="1" applyFont="1" applyBorder="1" applyAlignment="1">
      <alignment horizontal="center"/>
    </xf>
    <xf numFmtId="164" fontId="79" fillId="0" borderId="77" xfId="2" applyNumberFormat="1" applyFont="1" applyBorder="1" applyAlignment="1">
      <alignment horizontal="center"/>
    </xf>
    <xf numFmtId="0" fontId="47" fillId="0" borderId="12"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14" xfId="0" applyFont="1" applyBorder="1" applyAlignment="1">
      <alignment horizontal="center" vertical="center" wrapText="1"/>
    </xf>
    <xf numFmtId="0" fontId="42" fillId="0" borderId="0" xfId="0" applyFont="1" applyAlignment="1">
      <alignment horizontal="center" vertical="center"/>
    </xf>
    <xf numFmtId="0" fontId="42" fillId="0" borderId="0" xfId="0" applyFont="1" applyAlignment="1">
      <alignment horizontal="center"/>
    </xf>
    <xf numFmtId="0" fontId="49" fillId="6" borderId="1" xfId="0" applyFont="1" applyFill="1" applyBorder="1" applyAlignment="1">
      <alignment horizontal="center" vertical="center" wrapText="1"/>
    </xf>
    <xf numFmtId="0" fontId="49" fillId="6" borderId="2" xfId="0" applyFont="1" applyFill="1" applyBorder="1" applyAlignment="1">
      <alignment horizontal="center" vertical="center" wrapText="1"/>
    </xf>
    <xf numFmtId="0" fontId="49" fillId="6" borderId="3" xfId="0" applyFont="1" applyFill="1" applyBorder="1" applyAlignment="1">
      <alignment horizontal="center" vertical="center" wrapText="1"/>
    </xf>
    <xf numFmtId="0" fontId="59" fillId="0" borderId="19" xfId="0" applyFont="1" applyBorder="1" applyAlignment="1">
      <alignment horizontal="center" vertical="center" wrapText="1"/>
    </xf>
    <xf numFmtId="0" fontId="59" fillId="0" borderId="15"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16" xfId="0" applyFont="1" applyBorder="1" applyAlignment="1">
      <alignment horizontal="center" vertical="center" wrapText="1"/>
    </xf>
    <xf numFmtId="0" fontId="59" fillId="0" borderId="12" xfId="0" applyFont="1" applyBorder="1" applyAlignment="1">
      <alignment horizontal="center"/>
    </xf>
    <xf numFmtId="0" fontId="59" fillId="0" borderId="14" xfId="0" applyFont="1" applyBorder="1" applyAlignment="1">
      <alignment horizontal="center"/>
    </xf>
    <xf numFmtId="0" fontId="2" fillId="8" borderId="0" xfId="0" applyFont="1" applyFill="1" applyAlignment="1">
      <alignment horizontal="center"/>
    </xf>
    <xf numFmtId="0" fontId="2" fillId="11" borderId="1" xfId="0" applyFont="1" applyFill="1" applyBorder="1" applyAlignment="1">
      <alignment horizontal="left" vertical="center" wrapText="1"/>
    </xf>
    <xf numFmtId="0" fontId="2" fillId="11" borderId="3" xfId="0" applyFont="1" applyFill="1" applyBorder="1" applyAlignment="1">
      <alignment horizontal="left" vertical="center" wrapText="1"/>
    </xf>
    <xf numFmtId="178" fontId="2" fillId="11" borderId="1" xfId="0" applyNumberFormat="1" applyFont="1" applyFill="1" applyBorder="1" applyAlignment="1">
      <alignment horizontal="left"/>
    </xf>
    <xf numFmtId="178" fontId="2" fillId="11" borderId="3" xfId="0" applyNumberFormat="1" applyFont="1" applyFill="1" applyBorder="1" applyAlignment="1">
      <alignment horizontal="left"/>
    </xf>
    <xf numFmtId="0" fontId="35" fillId="4" borderId="1" xfId="0" applyFont="1" applyFill="1" applyBorder="1" applyAlignment="1">
      <alignment horizontal="center" vertical="center" wrapText="1"/>
    </xf>
    <xf numFmtId="0" fontId="35" fillId="4" borderId="2" xfId="0" applyFont="1" applyFill="1" applyBorder="1" applyAlignment="1">
      <alignment horizontal="center" vertical="center" wrapText="1"/>
    </xf>
    <xf numFmtId="0" fontId="35" fillId="4" borderId="3" xfId="0" applyFont="1" applyFill="1" applyBorder="1" applyAlignment="1">
      <alignment horizontal="center" vertical="center" wrapText="1"/>
    </xf>
    <xf numFmtId="0" fontId="27" fillId="0" borderId="12" xfId="0" applyFont="1" applyBorder="1" applyAlignment="1">
      <alignment horizontal="left" wrapText="1"/>
    </xf>
    <xf numFmtId="0" fontId="27" fillId="0" borderId="14" xfId="0" applyFont="1" applyBorder="1" applyAlignment="1">
      <alignment horizontal="left" wrapText="1"/>
    </xf>
  </cellXfs>
  <cellStyles count="10">
    <cellStyle name="Comma" xfId="5" builtinId="3"/>
    <cellStyle name="Comma 2" xfId="8" xr:uid="{00000000-0005-0000-0000-000001000000}"/>
    <cellStyle name="Currency" xfId="1" builtinId="4"/>
    <cellStyle name="Currency 7" xfId="9" xr:uid="{00000000-0005-0000-0000-000003000000}"/>
    <cellStyle name="Hyperlink" xfId="3" builtinId="8"/>
    <cellStyle name="Normal" xfId="0" builtinId="0"/>
    <cellStyle name="Normal 2" xfId="7" xr:uid="{00000000-0005-0000-0000-000006000000}"/>
    <cellStyle name="Normal 9" xfId="6" xr:uid="{00000000-0005-0000-0000-000007000000}"/>
    <cellStyle name="Percent" xfId="2" builtinId="5"/>
    <cellStyle name="Percent 2" xfId="4" xr:uid="{00000000-0005-0000-0000-000009000000}"/>
  </cellStyles>
  <dxfs count="1182">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font>
    </dxf>
    <dxf>
      <font>
        <color auto="1"/>
      </font>
      <fill>
        <patternFill>
          <bgColor rgb="FF00B050"/>
        </patternFill>
      </fill>
    </dxf>
    <dxf>
      <font>
        <color auto="1"/>
      </font>
      <fill>
        <patternFill>
          <bgColor rgb="FF00B05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rgb="FF0070C0"/>
      </font>
      <fill>
        <patternFill>
          <bgColor theme="0"/>
        </patternFill>
      </fill>
    </dxf>
    <dxf>
      <font>
        <color rgb="FF0070C0"/>
      </font>
      <fill>
        <patternFill>
          <bgColor theme="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tint="-0.14996795556505021"/>
      </font>
      <fill>
        <patternFill>
          <bgColor theme="0" tint="-0.14996795556505021"/>
        </patternFill>
      </fill>
    </dxf>
    <dxf>
      <font>
        <color theme="4"/>
      </font>
      <fill>
        <patternFill patternType="none">
          <bgColor auto="1"/>
        </patternFill>
      </fill>
    </dxf>
    <dxf>
      <font>
        <color auto="1"/>
      </font>
      <fill>
        <patternFill patternType="none">
          <bgColor auto="1"/>
        </patternFill>
      </fill>
    </dxf>
    <dxf>
      <font>
        <color auto="1"/>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3" tint="0.39994506668294322"/>
      </font>
      <fill>
        <patternFill>
          <bgColor rgb="FFFFFF99"/>
        </patternFill>
      </fill>
    </dxf>
    <dxf>
      <font>
        <color auto="1"/>
      </font>
      <fill>
        <patternFill patternType="none">
          <bgColor auto="1"/>
        </patternFill>
      </fill>
    </dxf>
    <dxf>
      <font>
        <color theme="3" tint="0.39994506668294322"/>
      </font>
      <fill>
        <patternFill patternType="none">
          <bgColor auto="1"/>
        </patternFill>
      </fill>
    </dxf>
    <dxf>
      <font>
        <color theme="3" tint="0.39994506668294322"/>
      </font>
      <fill>
        <patternFill patternType="none">
          <bgColor auto="1"/>
        </patternFill>
      </fill>
    </dxf>
    <dxf>
      <font>
        <color theme="4"/>
      </font>
      <fill>
        <patternFill patternType="none">
          <bgColor auto="1"/>
        </patternFill>
      </fill>
    </dxf>
    <dxf>
      <font>
        <color auto="1"/>
      </font>
      <fill>
        <patternFill patternType="none">
          <bgColor auto="1"/>
        </patternFill>
      </fill>
    </dxf>
    <dxf>
      <font>
        <color auto="1"/>
      </font>
      <fill>
        <patternFill patternType="none">
          <bgColor auto="1"/>
        </patternFill>
      </fill>
    </dxf>
    <dxf>
      <font>
        <color theme="0" tint="-0.14996795556505021"/>
      </font>
      <fill>
        <patternFill>
          <bgColor theme="0" tint="-0.14996795556505021"/>
        </patternFill>
      </fill>
    </dxf>
    <dxf>
      <font>
        <color auto="1"/>
      </font>
      <fill>
        <patternFill patternType="none">
          <bgColor auto="1"/>
        </patternFill>
      </fill>
    </dxf>
    <dxf>
      <font>
        <color theme="3" tint="0.39994506668294322"/>
      </font>
      <fill>
        <patternFill patternType="none">
          <bgColor auto="1"/>
        </patternFill>
      </fill>
    </dxf>
    <dxf>
      <font>
        <b/>
        <i val="0"/>
        <color rgb="FFFFFF00"/>
      </font>
      <fill>
        <patternFill>
          <bgColor rgb="FFFF000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b/>
        <i val="0"/>
        <color rgb="FFFFFF00"/>
      </font>
      <fill>
        <patternFill>
          <bgColor rgb="FFFF000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3" tint="0.39994506668294322"/>
      </font>
      <fill>
        <patternFill>
          <bgColor rgb="FFFFFF99"/>
        </patternFill>
      </fill>
    </dxf>
    <dxf>
      <font>
        <color theme="3" tint="0.39994506668294322"/>
      </font>
      <fill>
        <patternFill patternType="none">
          <bgColor auto="1"/>
        </patternFill>
      </fill>
    </dxf>
    <dxf>
      <font>
        <color theme="3" tint="0.39994506668294322"/>
      </font>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3" tint="0.39994506668294322"/>
      </font>
      <fill>
        <patternFill patternType="none">
          <bgColor auto="1"/>
        </patternFill>
      </fill>
    </dxf>
    <dxf>
      <font>
        <color theme="3" tint="0.39994506668294322"/>
      </font>
      <fill>
        <patternFill patternType="none">
          <bgColor auto="1"/>
        </patternFill>
      </fill>
    </dxf>
    <dxf>
      <font>
        <color theme="3" tint="0.39994506668294322"/>
      </font>
      <fill>
        <patternFill patternType="none">
          <bgColor auto="1"/>
        </patternFill>
      </fill>
    </dxf>
    <dxf>
      <font>
        <color auto="1"/>
      </font>
      <fill>
        <patternFill patternType="none">
          <bgColor auto="1"/>
        </patternFill>
      </fill>
    </dxf>
    <dxf>
      <font>
        <color theme="3" tint="0.39994506668294322"/>
      </font>
      <fill>
        <patternFill patternType="none">
          <bgColor auto="1"/>
        </patternFill>
      </fill>
    </dxf>
    <dxf>
      <font>
        <b/>
        <i val="0"/>
        <color rgb="FFFFFF00"/>
      </font>
      <fill>
        <patternFill>
          <bgColor rgb="FFFF0000"/>
        </patternFill>
      </fill>
    </dxf>
    <dxf>
      <font>
        <color theme="0" tint="-0.14996795556505021"/>
      </font>
      <fill>
        <patternFill>
          <bgColor theme="0" tint="-0.14996795556505021"/>
        </patternFill>
      </fill>
    </dxf>
    <dxf>
      <font>
        <b/>
        <i val="0"/>
        <color rgb="FFFFFF00"/>
      </font>
      <fill>
        <patternFill>
          <bgColor rgb="FFFF000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theme="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rgb="FF0070C0"/>
      </font>
      <fill>
        <patternFill>
          <bgColor theme="0"/>
        </patternFill>
      </fill>
    </dxf>
    <dxf>
      <font>
        <color rgb="FF0070C0"/>
      </font>
      <fill>
        <patternFill>
          <bgColor theme="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tint="-0.14996795556505021"/>
      </font>
      <fill>
        <patternFill>
          <bgColor theme="0" tint="-0.14996795556505021"/>
        </patternFill>
      </fill>
    </dxf>
    <dxf>
      <font>
        <color theme="4"/>
      </font>
      <fill>
        <patternFill patternType="none">
          <bgColor auto="1"/>
        </patternFill>
      </fill>
    </dxf>
    <dxf>
      <font>
        <color auto="1"/>
      </font>
      <fill>
        <patternFill patternType="none">
          <bgColor auto="1"/>
        </patternFill>
      </fill>
    </dxf>
    <dxf>
      <font>
        <color auto="1"/>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auto="1"/>
      </font>
      <fill>
        <patternFill patternType="none">
          <bgColor auto="1"/>
        </patternFill>
      </fill>
    </dxf>
    <dxf>
      <font>
        <color theme="4"/>
      </font>
      <fill>
        <patternFill patternType="none">
          <bgColor auto="1"/>
        </patternFill>
      </fill>
    </dxf>
    <dxf>
      <font>
        <color auto="1"/>
      </font>
      <fill>
        <patternFill patternType="none">
          <bgColor auto="1"/>
        </patternFill>
      </fill>
    </dxf>
    <dxf>
      <font>
        <color auto="1"/>
      </font>
      <fill>
        <patternFill patternType="none">
          <bgColor auto="1"/>
        </patternFill>
      </fill>
    </dxf>
    <dxf>
      <font>
        <color theme="0" tint="-0.14996795556505021"/>
      </font>
      <fill>
        <patternFill>
          <bgColor theme="0" tint="-0.14996795556505021"/>
        </patternFill>
      </fill>
    </dxf>
    <dxf>
      <font>
        <color auto="1"/>
      </font>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3" tint="0.39994506668294322"/>
      </font>
      <fill>
        <patternFill>
          <bgColor rgb="FFFFFF99"/>
        </patternFill>
      </fill>
    </dxf>
    <dxf>
      <font>
        <color theme="3" tint="0.39994506668294322"/>
      </font>
      <fill>
        <patternFill patternType="none">
          <bgColor auto="1"/>
        </patternFill>
      </fill>
    </dxf>
    <dxf>
      <font>
        <color theme="3" tint="0.39994506668294322"/>
      </font>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3" tint="0.39994506668294322"/>
      </font>
      <fill>
        <patternFill patternType="none">
          <bgColor auto="1"/>
        </patternFill>
      </fill>
    </dxf>
    <dxf>
      <font>
        <color theme="3" tint="0.39994506668294322"/>
      </font>
      <fill>
        <patternFill patternType="none">
          <bgColor auto="1"/>
        </patternFill>
      </fill>
    </dxf>
    <dxf>
      <font>
        <color theme="3" tint="0.39994506668294322"/>
      </font>
      <fill>
        <patternFill patternType="none">
          <bgColor auto="1"/>
        </patternFill>
      </fill>
    </dxf>
    <dxf>
      <font>
        <color auto="1"/>
      </font>
      <fill>
        <patternFill patternType="none">
          <bgColor auto="1"/>
        </patternFill>
      </fill>
    </dxf>
    <dxf>
      <font>
        <color theme="3" tint="0.39994506668294322"/>
      </font>
      <fill>
        <patternFill patternType="none">
          <bgColor auto="1"/>
        </patternFill>
      </fill>
    </dxf>
    <dxf>
      <font>
        <b/>
        <i val="0"/>
        <color rgb="FFFFFF00"/>
      </font>
      <fill>
        <patternFill>
          <bgColor rgb="FFFF0000"/>
        </patternFill>
      </fill>
    </dxf>
    <dxf>
      <font>
        <color theme="0" tint="-0.14996795556505021"/>
      </font>
      <fill>
        <patternFill>
          <bgColor theme="0" tint="-0.14996795556505021"/>
        </patternFill>
      </fill>
    </dxf>
    <dxf>
      <font>
        <b/>
        <i val="0"/>
        <color rgb="FFFFFF00"/>
      </font>
      <fill>
        <patternFill>
          <bgColor rgb="FFFF000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theme="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rgb="FF0070C0"/>
      </font>
      <fill>
        <patternFill>
          <bgColor theme="0"/>
        </patternFill>
      </fill>
    </dxf>
    <dxf>
      <font>
        <color rgb="FF0070C0"/>
      </font>
      <fill>
        <patternFill>
          <bgColor theme="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tint="-0.14996795556505021"/>
      </font>
      <fill>
        <patternFill>
          <bgColor theme="0" tint="-0.14996795556505021"/>
        </patternFill>
      </fill>
    </dxf>
    <dxf>
      <font>
        <color theme="4"/>
      </font>
      <fill>
        <patternFill patternType="none">
          <bgColor auto="1"/>
        </patternFill>
      </fill>
    </dxf>
    <dxf>
      <font>
        <color auto="1"/>
      </font>
      <fill>
        <patternFill patternType="none">
          <bgColor auto="1"/>
        </patternFill>
      </fill>
    </dxf>
    <dxf>
      <font>
        <color auto="1"/>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auto="1"/>
      </font>
      <fill>
        <patternFill patternType="none">
          <bgColor auto="1"/>
        </patternFill>
      </fill>
    </dxf>
    <dxf>
      <font>
        <color theme="4"/>
      </font>
      <fill>
        <patternFill patternType="none">
          <bgColor auto="1"/>
        </patternFill>
      </fill>
    </dxf>
    <dxf>
      <font>
        <color auto="1"/>
      </font>
      <fill>
        <patternFill patternType="none">
          <bgColor auto="1"/>
        </patternFill>
      </fill>
    </dxf>
    <dxf>
      <font>
        <color auto="1"/>
      </font>
      <fill>
        <patternFill patternType="none">
          <bgColor auto="1"/>
        </patternFill>
      </fill>
    </dxf>
    <dxf>
      <font>
        <color theme="0" tint="-0.14996795556505021"/>
      </font>
      <fill>
        <patternFill>
          <bgColor theme="0" tint="-0.14996795556505021"/>
        </patternFill>
      </fill>
    </dxf>
    <dxf>
      <font>
        <color auto="1"/>
      </font>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3" tint="0.39994506668294322"/>
      </font>
      <fill>
        <patternFill>
          <bgColor rgb="FFFFFF99"/>
        </patternFill>
      </fill>
    </dxf>
    <dxf>
      <font>
        <color theme="3" tint="0.39994506668294322"/>
      </font>
      <fill>
        <patternFill patternType="none">
          <bgColor auto="1"/>
        </patternFill>
      </fill>
    </dxf>
    <dxf>
      <font>
        <color theme="3" tint="0.39994506668294322"/>
      </font>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3" tint="0.39994506668294322"/>
      </font>
      <fill>
        <patternFill patternType="none">
          <bgColor auto="1"/>
        </patternFill>
      </fill>
    </dxf>
    <dxf>
      <font>
        <color theme="3" tint="0.39994506668294322"/>
      </font>
      <fill>
        <patternFill patternType="none">
          <bgColor auto="1"/>
        </patternFill>
      </fill>
    </dxf>
    <dxf>
      <font>
        <color theme="3" tint="0.39994506668294322"/>
      </font>
      <fill>
        <patternFill patternType="none">
          <bgColor auto="1"/>
        </patternFill>
      </fill>
    </dxf>
    <dxf>
      <font>
        <color auto="1"/>
      </font>
      <fill>
        <patternFill patternType="none">
          <bgColor auto="1"/>
        </patternFill>
      </fill>
    </dxf>
    <dxf>
      <font>
        <color theme="3" tint="0.39994506668294322"/>
      </font>
      <fill>
        <patternFill patternType="none">
          <bgColor auto="1"/>
        </patternFill>
      </fill>
    </dxf>
    <dxf>
      <font>
        <b/>
        <i val="0"/>
        <color rgb="FFFFFF00"/>
      </font>
      <fill>
        <patternFill>
          <bgColor rgb="FFFF0000"/>
        </patternFill>
      </fill>
    </dxf>
    <dxf>
      <font>
        <color theme="0" tint="-0.14996795556505021"/>
      </font>
      <fill>
        <patternFill>
          <bgColor theme="0" tint="-0.14996795556505021"/>
        </patternFill>
      </fill>
    </dxf>
    <dxf>
      <font>
        <b/>
        <i val="0"/>
        <color rgb="FFFFFF00"/>
      </font>
      <fill>
        <patternFill>
          <bgColor rgb="FFFF000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theme="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rgb="FF0070C0"/>
      </font>
      <fill>
        <patternFill>
          <bgColor theme="0"/>
        </patternFill>
      </fill>
    </dxf>
    <dxf>
      <font>
        <color rgb="FF0070C0"/>
      </font>
      <fill>
        <patternFill>
          <bgColor theme="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tint="-0.14996795556505021"/>
      </font>
      <fill>
        <patternFill>
          <bgColor theme="0" tint="-0.14996795556505021"/>
        </patternFill>
      </fill>
    </dxf>
    <dxf>
      <font>
        <color theme="4"/>
      </font>
      <fill>
        <patternFill patternType="none">
          <bgColor auto="1"/>
        </patternFill>
      </fill>
    </dxf>
    <dxf>
      <font>
        <color auto="1"/>
      </font>
      <fill>
        <patternFill patternType="none">
          <bgColor auto="1"/>
        </patternFill>
      </fill>
    </dxf>
    <dxf>
      <font>
        <color auto="1"/>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auto="1"/>
      </font>
      <fill>
        <patternFill patternType="none">
          <bgColor auto="1"/>
        </patternFill>
      </fill>
    </dxf>
    <dxf>
      <font>
        <color theme="4"/>
      </font>
      <fill>
        <patternFill patternType="none">
          <bgColor auto="1"/>
        </patternFill>
      </fill>
    </dxf>
    <dxf>
      <font>
        <color auto="1"/>
      </font>
      <fill>
        <patternFill patternType="none">
          <bgColor auto="1"/>
        </patternFill>
      </fill>
    </dxf>
    <dxf>
      <font>
        <color auto="1"/>
      </font>
      <fill>
        <patternFill patternType="none">
          <bgColor auto="1"/>
        </patternFill>
      </fill>
    </dxf>
    <dxf>
      <font>
        <color theme="0" tint="-0.14996795556505021"/>
      </font>
      <fill>
        <patternFill>
          <bgColor theme="0" tint="-0.14996795556505021"/>
        </patternFill>
      </fill>
    </dxf>
    <dxf>
      <font>
        <color auto="1"/>
      </font>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3" tint="0.39994506668294322"/>
      </font>
      <fill>
        <patternFill>
          <bgColor rgb="FFFFFF99"/>
        </patternFill>
      </fill>
    </dxf>
    <dxf>
      <font>
        <color theme="3" tint="0.39994506668294322"/>
      </font>
      <fill>
        <patternFill patternType="none">
          <bgColor auto="1"/>
        </patternFill>
      </fill>
    </dxf>
    <dxf>
      <font>
        <color theme="3" tint="0.39994506668294322"/>
      </font>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3" tint="0.39994506668294322"/>
      </font>
      <fill>
        <patternFill patternType="none">
          <bgColor auto="1"/>
        </patternFill>
      </fill>
    </dxf>
    <dxf>
      <font>
        <color theme="3" tint="0.39994506668294322"/>
      </font>
      <fill>
        <patternFill patternType="none">
          <bgColor auto="1"/>
        </patternFill>
      </fill>
    </dxf>
    <dxf>
      <font>
        <color theme="3" tint="0.39994506668294322"/>
      </font>
      <fill>
        <patternFill patternType="none">
          <bgColor auto="1"/>
        </patternFill>
      </fill>
    </dxf>
    <dxf>
      <font>
        <color auto="1"/>
      </font>
      <fill>
        <patternFill patternType="none">
          <bgColor auto="1"/>
        </patternFill>
      </fill>
    </dxf>
    <dxf>
      <font>
        <color theme="3" tint="0.39994506668294322"/>
      </font>
      <fill>
        <patternFill patternType="none">
          <bgColor auto="1"/>
        </patternFill>
      </fill>
    </dxf>
    <dxf>
      <font>
        <b/>
        <i val="0"/>
        <color rgb="FFFFFF00"/>
      </font>
      <fill>
        <patternFill>
          <bgColor rgb="FFFF0000"/>
        </patternFill>
      </fill>
    </dxf>
    <dxf>
      <font>
        <color theme="0" tint="-0.14996795556505021"/>
      </font>
      <fill>
        <patternFill>
          <bgColor theme="0" tint="-0.14996795556505021"/>
        </patternFill>
      </fill>
    </dxf>
    <dxf>
      <font>
        <b/>
        <i val="0"/>
        <color rgb="FFFFFF00"/>
      </font>
      <fill>
        <patternFill>
          <bgColor rgb="FFFF000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theme="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rgb="FF0070C0"/>
      </font>
      <fill>
        <patternFill>
          <bgColor theme="0"/>
        </patternFill>
      </fill>
    </dxf>
    <dxf>
      <font>
        <color rgb="FF0070C0"/>
      </font>
      <fill>
        <patternFill>
          <bgColor theme="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tint="-0.14996795556505021"/>
      </font>
      <fill>
        <patternFill>
          <bgColor theme="0" tint="-0.14996795556505021"/>
        </patternFill>
      </fill>
    </dxf>
    <dxf>
      <font>
        <color theme="4"/>
      </font>
      <fill>
        <patternFill patternType="none">
          <bgColor auto="1"/>
        </patternFill>
      </fill>
    </dxf>
    <dxf>
      <font>
        <color auto="1"/>
      </font>
      <fill>
        <patternFill patternType="none">
          <bgColor auto="1"/>
        </patternFill>
      </fill>
    </dxf>
    <dxf>
      <font>
        <color auto="1"/>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auto="1"/>
      </font>
      <fill>
        <patternFill patternType="none">
          <bgColor auto="1"/>
        </patternFill>
      </fill>
    </dxf>
    <dxf>
      <font>
        <color theme="4"/>
      </font>
      <fill>
        <patternFill patternType="none">
          <bgColor auto="1"/>
        </patternFill>
      </fill>
    </dxf>
    <dxf>
      <font>
        <color auto="1"/>
      </font>
      <fill>
        <patternFill patternType="none">
          <bgColor auto="1"/>
        </patternFill>
      </fill>
    </dxf>
    <dxf>
      <font>
        <color auto="1"/>
      </font>
      <fill>
        <patternFill patternType="none">
          <bgColor auto="1"/>
        </patternFill>
      </fill>
    </dxf>
    <dxf>
      <font>
        <color theme="0" tint="-0.14996795556505021"/>
      </font>
      <fill>
        <patternFill>
          <bgColor theme="0" tint="-0.14996795556505021"/>
        </patternFill>
      </fill>
    </dxf>
    <dxf>
      <font>
        <color auto="1"/>
      </font>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3" tint="0.39994506668294322"/>
      </font>
      <fill>
        <patternFill>
          <bgColor rgb="FFFFFF99"/>
        </patternFill>
      </fill>
    </dxf>
    <dxf>
      <font>
        <color theme="3" tint="0.39994506668294322"/>
      </font>
      <fill>
        <patternFill patternType="none">
          <bgColor auto="1"/>
        </patternFill>
      </fill>
    </dxf>
    <dxf>
      <font>
        <color theme="3" tint="0.39994506668294322"/>
      </font>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3" tint="0.39994506668294322"/>
      </font>
      <fill>
        <patternFill patternType="none">
          <bgColor auto="1"/>
        </patternFill>
      </fill>
    </dxf>
    <dxf>
      <font>
        <color theme="3" tint="0.39994506668294322"/>
      </font>
      <fill>
        <patternFill patternType="none">
          <bgColor auto="1"/>
        </patternFill>
      </fill>
    </dxf>
    <dxf>
      <font>
        <color theme="3" tint="0.39994506668294322"/>
      </font>
      <fill>
        <patternFill patternType="none">
          <bgColor auto="1"/>
        </patternFill>
      </fill>
    </dxf>
    <dxf>
      <font>
        <color auto="1"/>
      </font>
      <fill>
        <patternFill patternType="none">
          <bgColor auto="1"/>
        </patternFill>
      </fill>
    </dxf>
    <dxf>
      <font>
        <color theme="3" tint="0.39994506668294322"/>
      </font>
      <fill>
        <patternFill patternType="none">
          <bgColor auto="1"/>
        </patternFill>
      </fill>
    </dxf>
    <dxf>
      <font>
        <b/>
        <i val="0"/>
        <color rgb="FFFFFF00"/>
      </font>
      <fill>
        <patternFill>
          <bgColor rgb="FFFF0000"/>
        </patternFill>
      </fill>
    </dxf>
    <dxf>
      <font>
        <color theme="0" tint="-0.14996795556505021"/>
      </font>
      <fill>
        <patternFill>
          <bgColor theme="0" tint="-0.14996795556505021"/>
        </patternFill>
      </fill>
    </dxf>
    <dxf>
      <font>
        <b/>
        <i val="0"/>
        <color rgb="FFFFFF00"/>
      </font>
      <fill>
        <patternFill>
          <bgColor rgb="FFFF000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theme="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rgb="FF0070C0"/>
      </font>
      <fill>
        <patternFill>
          <bgColor theme="0"/>
        </patternFill>
      </fill>
    </dxf>
    <dxf>
      <font>
        <color rgb="FF0070C0"/>
      </font>
      <fill>
        <patternFill>
          <bgColor theme="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tint="-0.14996795556505021"/>
      </font>
      <fill>
        <patternFill>
          <bgColor theme="0" tint="-0.14996795556505021"/>
        </patternFill>
      </fill>
    </dxf>
    <dxf>
      <font>
        <color theme="4"/>
      </font>
      <fill>
        <patternFill patternType="none">
          <bgColor auto="1"/>
        </patternFill>
      </fill>
    </dxf>
    <dxf>
      <font>
        <color auto="1"/>
      </font>
      <fill>
        <patternFill patternType="none">
          <bgColor auto="1"/>
        </patternFill>
      </fill>
    </dxf>
    <dxf>
      <font>
        <color auto="1"/>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auto="1"/>
      </font>
      <fill>
        <patternFill patternType="none">
          <bgColor auto="1"/>
        </patternFill>
      </fill>
    </dxf>
    <dxf>
      <font>
        <color theme="4"/>
      </font>
      <fill>
        <patternFill patternType="none">
          <bgColor auto="1"/>
        </patternFill>
      </fill>
    </dxf>
    <dxf>
      <font>
        <color auto="1"/>
      </font>
      <fill>
        <patternFill patternType="none">
          <bgColor auto="1"/>
        </patternFill>
      </fill>
    </dxf>
    <dxf>
      <font>
        <color auto="1"/>
      </font>
      <fill>
        <patternFill patternType="none">
          <bgColor auto="1"/>
        </patternFill>
      </fill>
    </dxf>
    <dxf>
      <font>
        <color theme="0" tint="-0.14996795556505021"/>
      </font>
      <fill>
        <patternFill>
          <bgColor theme="0" tint="-0.14996795556505021"/>
        </patternFill>
      </fill>
    </dxf>
    <dxf>
      <font>
        <color auto="1"/>
      </font>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3" tint="0.39994506668294322"/>
      </font>
      <fill>
        <patternFill>
          <bgColor rgb="FFFFFF99"/>
        </patternFill>
      </fill>
    </dxf>
    <dxf>
      <font>
        <color theme="3" tint="0.39994506668294322"/>
      </font>
      <fill>
        <patternFill patternType="none">
          <bgColor auto="1"/>
        </patternFill>
      </fill>
    </dxf>
    <dxf>
      <font>
        <color theme="3" tint="0.39994506668294322"/>
      </font>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3" tint="0.39994506668294322"/>
      </font>
      <fill>
        <patternFill patternType="none">
          <bgColor auto="1"/>
        </patternFill>
      </fill>
    </dxf>
    <dxf>
      <font>
        <color theme="3" tint="0.39994506668294322"/>
      </font>
      <fill>
        <patternFill patternType="none">
          <bgColor auto="1"/>
        </patternFill>
      </fill>
    </dxf>
    <dxf>
      <font>
        <color theme="3" tint="0.39994506668294322"/>
      </font>
      <fill>
        <patternFill patternType="none">
          <bgColor auto="1"/>
        </patternFill>
      </fill>
    </dxf>
    <dxf>
      <font>
        <color auto="1"/>
      </font>
      <fill>
        <patternFill patternType="none">
          <bgColor auto="1"/>
        </patternFill>
      </fill>
    </dxf>
    <dxf>
      <font>
        <color theme="3" tint="0.39994506668294322"/>
      </font>
      <fill>
        <patternFill patternType="none">
          <bgColor auto="1"/>
        </patternFill>
      </fill>
    </dxf>
    <dxf>
      <font>
        <b/>
        <i val="0"/>
        <color rgb="FFFFFF00"/>
      </font>
      <fill>
        <patternFill>
          <bgColor rgb="FFFF0000"/>
        </patternFill>
      </fill>
    </dxf>
    <dxf>
      <font>
        <color theme="0" tint="-0.14996795556505021"/>
      </font>
      <fill>
        <patternFill>
          <bgColor theme="0" tint="-0.14996795556505021"/>
        </patternFill>
      </fill>
    </dxf>
    <dxf>
      <font>
        <b/>
        <i val="0"/>
        <color rgb="FFFFFF00"/>
      </font>
      <fill>
        <patternFill>
          <bgColor rgb="FFFF000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theme="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rgb="FF0070C0"/>
      </font>
      <fill>
        <patternFill>
          <bgColor theme="0"/>
        </patternFill>
      </fill>
    </dxf>
    <dxf>
      <font>
        <color rgb="FF0070C0"/>
      </font>
      <fill>
        <patternFill>
          <bgColor theme="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tint="-0.14996795556505021"/>
      </font>
      <fill>
        <patternFill>
          <bgColor theme="0" tint="-0.14996795556505021"/>
        </patternFill>
      </fill>
    </dxf>
    <dxf>
      <font>
        <color theme="4"/>
      </font>
      <fill>
        <patternFill patternType="none">
          <bgColor auto="1"/>
        </patternFill>
      </fill>
    </dxf>
    <dxf>
      <font>
        <color auto="1"/>
      </font>
      <fill>
        <patternFill patternType="none">
          <bgColor auto="1"/>
        </patternFill>
      </fill>
    </dxf>
    <dxf>
      <font>
        <color auto="1"/>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auto="1"/>
      </font>
      <fill>
        <patternFill patternType="none">
          <bgColor auto="1"/>
        </patternFill>
      </fill>
    </dxf>
    <dxf>
      <font>
        <color theme="4"/>
      </font>
      <fill>
        <patternFill patternType="none">
          <bgColor auto="1"/>
        </patternFill>
      </fill>
    </dxf>
    <dxf>
      <font>
        <color auto="1"/>
      </font>
      <fill>
        <patternFill patternType="none">
          <bgColor auto="1"/>
        </patternFill>
      </fill>
    </dxf>
    <dxf>
      <font>
        <color auto="1"/>
      </font>
      <fill>
        <patternFill patternType="none">
          <bgColor auto="1"/>
        </patternFill>
      </fill>
    </dxf>
    <dxf>
      <font>
        <color theme="0" tint="-0.14996795556505021"/>
      </font>
      <fill>
        <patternFill>
          <bgColor theme="0" tint="-0.14996795556505021"/>
        </patternFill>
      </fill>
    </dxf>
    <dxf>
      <font>
        <color auto="1"/>
      </font>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3" tint="0.39994506668294322"/>
      </font>
      <fill>
        <patternFill>
          <bgColor rgb="FFFFFF99"/>
        </patternFill>
      </fill>
    </dxf>
    <dxf>
      <font>
        <color theme="3" tint="0.39994506668294322"/>
      </font>
      <fill>
        <patternFill patternType="none">
          <bgColor auto="1"/>
        </patternFill>
      </fill>
    </dxf>
    <dxf>
      <font>
        <color theme="3" tint="0.39994506668294322"/>
      </font>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3" tint="0.39994506668294322"/>
      </font>
      <fill>
        <patternFill patternType="none">
          <bgColor auto="1"/>
        </patternFill>
      </fill>
    </dxf>
    <dxf>
      <font>
        <color theme="3" tint="0.39994506668294322"/>
      </font>
      <fill>
        <patternFill patternType="none">
          <bgColor auto="1"/>
        </patternFill>
      </fill>
    </dxf>
    <dxf>
      <font>
        <color theme="3" tint="0.39994506668294322"/>
      </font>
      <fill>
        <patternFill patternType="none">
          <bgColor auto="1"/>
        </patternFill>
      </fill>
    </dxf>
    <dxf>
      <font>
        <color auto="1"/>
      </font>
      <fill>
        <patternFill patternType="none">
          <bgColor auto="1"/>
        </patternFill>
      </fill>
    </dxf>
    <dxf>
      <font>
        <color theme="3" tint="0.39994506668294322"/>
      </font>
      <fill>
        <patternFill patternType="none">
          <bgColor auto="1"/>
        </patternFill>
      </fill>
    </dxf>
    <dxf>
      <font>
        <b/>
        <i val="0"/>
        <color rgb="FFFFFF00"/>
      </font>
      <fill>
        <patternFill>
          <bgColor rgb="FFFF0000"/>
        </patternFill>
      </fill>
    </dxf>
    <dxf>
      <font>
        <color theme="0" tint="-0.14996795556505021"/>
      </font>
      <fill>
        <patternFill>
          <bgColor theme="0" tint="-0.14996795556505021"/>
        </patternFill>
      </fill>
    </dxf>
    <dxf>
      <font>
        <b/>
        <i val="0"/>
        <color rgb="FFFFFF00"/>
      </font>
      <fill>
        <patternFill>
          <bgColor rgb="FFFF000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theme="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rgb="FF0070C0"/>
      </font>
      <fill>
        <patternFill>
          <bgColor theme="0"/>
        </patternFill>
      </fill>
    </dxf>
    <dxf>
      <font>
        <color rgb="FF0070C0"/>
      </font>
      <fill>
        <patternFill>
          <bgColor theme="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tint="-0.14996795556505021"/>
      </font>
      <fill>
        <patternFill>
          <bgColor theme="0" tint="-0.14996795556505021"/>
        </patternFill>
      </fill>
    </dxf>
    <dxf>
      <font>
        <color theme="4"/>
      </font>
      <fill>
        <patternFill patternType="none">
          <bgColor auto="1"/>
        </patternFill>
      </fill>
    </dxf>
    <dxf>
      <font>
        <color auto="1"/>
      </font>
      <fill>
        <patternFill patternType="none">
          <bgColor auto="1"/>
        </patternFill>
      </fill>
    </dxf>
    <dxf>
      <font>
        <color auto="1"/>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auto="1"/>
      </font>
      <fill>
        <patternFill patternType="none">
          <bgColor auto="1"/>
        </patternFill>
      </fill>
    </dxf>
    <dxf>
      <font>
        <color theme="4"/>
      </font>
      <fill>
        <patternFill patternType="none">
          <bgColor auto="1"/>
        </patternFill>
      </fill>
    </dxf>
    <dxf>
      <font>
        <color auto="1"/>
      </font>
      <fill>
        <patternFill patternType="none">
          <bgColor auto="1"/>
        </patternFill>
      </fill>
    </dxf>
    <dxf>
      <font>
        <color auto="1"/>
      </font>
      <fill>
        <patternFill patternType="none">
          <bgColor auto="1"/>
        </patternFill>
      </fill>
    </dxf>
    <dxf>
      <font>
        <color theme="0" tint="-0.14996795556505021"/>
      </font>
      <fill>
        <patternFill>
          <bgColor theme="0" tint="-0.14996795556505021"/>
        </patternFill>
      </fill>
    </dxf>
    <dxf>
      <font>
        <color auto="1"/>
      </font>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3" tint="0.39994506668294322"/>
      </font>
      <fill>
        <patternFill>
          <bgColor rgb="FFFFFF99"/>
        </patternFill>
      </fill>
    </dxf>
    <dxf>
      <font>
        <color theme="3" tint="0.39994506668294322"/>
      </font>
      <fill>
        <patternFill patternType="none">
          <bgColor auto="1"/>
        </patternFill>
      </fill>
    </dxf>
    <dxf>
      <font>
        <color theme="3" tint="0.39994506668294322"/>
      </font>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3" tint="0.39994506668294322"/>
      </font>
      <fill>
        <patternFill patternType="none">
          <bgColor auto="1"/>
        </patternFill>
      </fill>
    </dxf>
    <dxf>
      <font>
        <color theme="3" tint="0.39994506668294322"/>
      </font>
      <fill>
        <patternFill patternType="none">
          <bgColor auto="1"/>
        </patternFill>
      </fill>
    </dxf>
    <dxf>
      <font>
        <color theme="3" tint="0.39994506668294322"/>
      </font>
      <fill>
        <patternFill patternType="none">
          <bgColor auto="1"/>
        </patternFill>
      </fill>
    </dxf>
    <dxf>
      <font>
        <color auto="1"/>
      </font>
      <fill>
        <patternFill patternType="none">
          <bgColor auto="1"/>
        </patternFill>
      </fill>
    </dxf>
    <dxf>
      <font>
        <color theme="3" tint="0.39994506668294322"/>
      </font>
      <fill>
        <patternFill patternType="none">
          <bgColor auto="1"/>
        </patternFill>
      </fill>
    </dxf>
    <dxf>
      <font>
        <b/>
        <i val="0"/>
        <color rgb="FFFFFF00"/>
      </font>
      <fill>
        <patternFill>
          <bgColor rgb="FFFF0000"/>
        </patternFill>
      </fill>
    </dxf>
    <dxf>
      <font>
        <color theme="0" tint="-0.14996795556505021"/>
      </font>
      <fill>
        <patternFill>
          <bgColor theme="0" tint="-0.14996795556505021"/>
        </patternFill>
      </fill>
    </dxf>
    <dxf>
      <font>
        <b/>
        <i val="0"/>
        <color rgb="FFFFFF00"/>
      </font>
      <fill>
        <patternFill>
          <bgColor rgb="FFFF000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theme="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rgb="FF0070C0"/>
      </font>
      <fill>
        <patternFill>
          <bgColor theme="0"/>
        </patternFill>
      </fill>
    </dxf>
    <dxf>
      <font>
        <color rgb="FF0070C0"/>
      </font>
      <fill>
        <patternFill>
          <bgColor theme="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tint="-0.14996795556505021"/>
      </font>
      <fill>
        <patternFill>
          <bgColor theme="0" tint="-0.14996795556505021"/>
        </patternFill>
      </fill>
    </dxf>
    <dxf>
      <font>
        <color theme="4"/>
      </font>
      <fill>
        <patternFill patternType="none">
          <bgColor auto="1"/>
        </patternFill>
      </fill>
    </dxf>
    <dxf>
      <font>
        <color auto="1"/>
      </font>
      <fill>
        <patternFill patternType="none">
          <bgColor auto="1"/>
        </patternFill>
      </fill>
    </dxf>
    <dxf>
      <font>
        <color auto="1"/>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auto="1"/>
      </font>
      <fill>
        <patternFill patternType="none">
          <bgColor auto="1"/>
        </patternFill>
      </fill>
    </dxf>
    <dxf>
      <font>
        <color theme="4"/>
      </font>
      <fill>
        <patternFill patternType="none">
          <bgColor auto="1"/>
        </patternFill>
      </fill>
    </dxf>
    <dxf>
      <font>
        <color auto="1"/>
      </font>
      <fill>
        <patternFill patternType="none">
          <bgColor auto="1"/>
        </patternFill>
      </fill>
    </dxf>
    <dxf>
      <font>
        <color auto="1"/>
      </font>
      <fill>
        <patternFill patternType="none">
          <bgColor auto="1"/>
        </patternFill>
      </fill>
    </dxf>
    <dxf>
      <font>
        <color theme="0" tint="-0.14996795556505021"/>
      </font>
      <fill>
        <patternFill>
          <bgColor theme="0" tint="-0.14996795556505021"/>
        </patternFill>
      </fill>
    </dxf>
    <dxf>
      <font>
        <color auto="1"/>
      </font>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3" tint="0.39994506668294322"/>
      </font>
      <fill>
        <patternFill>
          <bgColor rgb="FFFFFF99"/>
        </patternFill>
      </fill>
    </dxf>
    <dxf>
      <font>
        <color theme="3" tint="0.39994506668294322"/>
      </font>
      <fill>
        <patternFill patternType="none">
          <bgColor auto="1"/>
        </patternFill>
      </fill>
    </dxf>
    <dxf>
      <font>
        <color theme="3" tint="0.39994506668294322"/>
      </font>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3" tint="0.39994506668294322"/>
      </font>
      <fill>
        <patternFill patternType="none">
          <bgColor auto="1"/>
        </patternFill>
      </fill>
    </dxf>
    <dxf>
      <font>
        <color theme="3" tint="0.39994506668294322"/>
      </font>
      <fill>
        <patternFill patternType="none">
          <bgColor auto="1"/>
        </patternFill>
      </fill>
    </dxf>
    <dxf>
      <font>
        <color theme="3" tint="0.39994506668294322"/>
      </font>
      <fill>
        <patternFill patternType="none">
          <bgColor auto="1"/>
        </patternFill>
      </fill>
    </dxf>
    <dxf>
      <font>
        <color auto="1"/>
      </font>
      <fill>
        <patternFill patternType="none">
          <bgColor auto="1"/>
        </patternFill>
      </fill>
    </dxf>
    <dxf>
      <font>
        <color theme="3" tint="0.39994506668294322"/>
      </font>
      <fill>
        <patternFill patternType="none">
          <bgColor auto="1"/>
        </patternFill>
      </fill>
    </dxf>
    <dxf>
      <font>
        <b/>
        <i val="0"/>
        <color rgb="FFFFFF00"/>
      </font>
      <fill>
        <patternFill>
          <bgColor rgb="FFFF0000"/>
        </patternFill>
      </fill>
    </dxf>
    <dxf>
      <font>
        <color theme="0" tint="-0.14996795556505021"/>
      </font>
      <fill>
        <patternFill>
          <bgColor theme="0" tint="-0.14996795556505021"/>
        </patternFill>
      </fill>
    </dxf>
    <dxf>
      <font>
        <b/>
        <i val="0"/>
        <color rgb="FFFFFF00"/>
      </font>
      <fill>
        <patternFill>
          <bgColor rgb="FFFF000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theme="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rgb="FF0070C0"/>
      </font>
      <fill>
        <patternFill>
          <bgColor theme="0"/>
        </patternFill>
      </fill>
    </dxf>
    <dxf>
      <font>
        <color rgb="FF0070C0"/>
      </font>
      <fill>
        <patternFill>
          <bgColor theme="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tint="-0.14996795556505021"/>
      </font>
      <fill>
        <patternFill>
          <bgColor theme="0" tint="-0.14996795556505021"/>
        </patternFill>
      </fill>
    </dxf>
    <dxf>
      <font>
        <color theme="4"/>
      </font>
      <fill>
        <patternFill patternType="none">
          <bgColor auto="1"/>
        </patternFill>
      </fill>
    </dxf>
    <dxf>
      <font>
        <color auto="1"/>
      </font>
      <fill>
        <patternFill patternType="none">
          <bgColor auto="1"/>
        </patternFill>
      </fill>
    </dxf>
    <dxf>
      <font>
        <color auto="1"/>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auto="1"/>
      </font>
      <fill>
        <patternFill patternType="none">
          <bgColor auto="1"/>
        </patternFill>
      </fill>
    </dxf>
    <dxf>
      <font>
        <color theme="4"/>
      </font>
      <fill>
        <patternFill patternType="none">
          <bgColor auto="1"/>
        </patternFill>
      </fill>
    </dxf>
    <dxf>
      <font>
        <color auto="1"/>
      </font>
      <fill>
        <patternFill patternType="none">
          <bgColor auto="1"/>
        </patternFill>
      </fill>
    </dxf>
    <dxf>
      <font>
        <color auto="1"/>
      </font>
      <fill>
        <patternFill patternType="none">
          <bgColor auto="1"/>
        </patternFill>
      </fill>
    </dxf>
    <dxf>
      <font>
        <color theme="0" tint="-0.14996795556505021"/>
      </font>
      <fill>
        <patternFill>
          <bgColor theme="0" tint="-0.14996795556505021"/>
        </patternFill>
      </fill>
    </dxf>
    <dxf>
      <font>
        <color auto="1"/>
      </font>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3" tint="0.39994506668294322"/>
      </font>
      <fill>
        <patternFill>
          <bgColor rgb="FFFFFF99"/>
        </patternFill>
      </fill>
    </dxf>
    <dxf>
      <font>
        <color theme="3" tint="0.39994506668294322"/>
      </font>
      <fill>
        <patternFill patternType="none">
          <bgColor auto="1"/>
        </patternFill>
      </fill>
    </dxf>
    <dxf>
      <font>
        <color theme="3" tint="0.39994506668294322"/>
      </font>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3" tint="0.39994506668294322"/>
      </font>
      <fill>
        <patternFill patternType="none">
          <bgColor auto="1"/>
        </patternFill>
      </fill>
    </dxf>
    <dxf>
      <font>
        <color theme="3" tint="0.39994506668294322"/>
      </font>
      <fill>
        <patternFill patternType="none">
          <bgColor auto="1"/>
        </patternFill>
      </fill>
    </dxf>
    <dxf>
      <font>
        <color theme="3" tint="0.39994506668294322"/>
      </font>
      <fill>
        <patternFill patternType="none">
          <bgColor auto="1"/>
        </patternFill>
      </fill>
    </dxf>
    <dxf>
      <font>
        <color auto="1"/>
      </font>
      <fill>
        <patternFill patternType="none">
          <bgColor auto="1"/>
        </patternFill>
      </fill>
    </dxf>
    <dxf>
      <font>
        <color theme="3" tint="0.39994506668294322"/>
      </font>
      <fill>
        <patternFill patternType="none">
          <bgColor auto="1"/>
        </patternFill>
      </fill>
    </dxf>
    <dxf>
      <font>
        <b/>
        <i val="0"/>
        <color rgb="FFFFFF00"/>
      </font>
      <fill>
        <patternFill>
          <bgColor rgb="FFFF0000"/>
        </patternFill>
      </fill>
    </dxf>
    <dxf>
      <font>
        <color theme="0" tint="-0.14996795556505021"/>
      </font>
      <fill>
        <patternFill>
          <bgColor theme="0" tint="-0.14996795556505021"/>
        </patternFill>
      </fill>
    </dxf>
    <dxf>
      <font>
        <b/>
        <i val="0"/>
        <color rgb="FFFFFF00"/>
      </font>
      <fill>
        <patternFill>
          <bgColor rgb="FFFF000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theme="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rgb="FF0070C0"/>
      </font>
      <fill>
        <patternFill>
          <bgColor theme="0"/>
        </patternFill>
      </fill>
    </dxf>
    <dxf>
      <font>
        <color rgb="FF0070C0"/>
      </font>
      <fill>
        <patternFill>
          <bgColor theme="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tint="-0.14996795556505021"/>
      </font>
      <fill>
        <patternFill>
          <bgColor theme="0" tint="-0.14996795556505021"/>
        </patternFill>
      </fill>
    </dxf>
    <dxf>
      <font>
        <color theme="4"/>
      </font>
      <fill>
        <patternFill patternType="none">
          <bgColor auto="1"/>
        </patternFill>
      </fill>
    </dxf>
    <dxf>
      <font>
        <color auto="1"/>
      </font>
      <fill>
        <patternFill patternType="none">
          <bgColor auto="1"/>
        </patternFill>
      </fill>
    </dxf>
    <dxf>
      <font>
        <color auto="1"/>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auto="1"/>
      </font>
      <fill>
        <patternFill patternType="none">
          <bgColor auto="1"/>
        </patternFill>
      </fill>
    </dxf>
    <dxf>
      <font>
        <color theme="4"/>
      </font>
      <fill>
        <patternFill patternType="none">
          <bgColor auto="1"/>
        </patternFill>
      </fill>
    </dxf>
    <dxf>
      <font>
        <color auto="1"/>
      </font>
      <fill>
        <patternFill patternType="none">
          <bgColor auto="1"/>
        </patternFill>
      </fill>
    </dxf>
    <dxf>
      <font>
        <color auto="1"/>
      </font>
      <fill>
        <patternFill patternType="none">
          <bgColor auto="1"/>
        </patternFill>
      </fill>
    </dxf>
    <dxf>
      <font>
        <color theme="0" tint="-0.14996795556505021"/>
      </font>
      <fill>
        <patternFill>
          <bgColor theme="0" tint="-0.14996795556505021"/>
        </patternFill>
      </fill>
    </dxf>
    <dxf>
      <font>
        <color auto="1"/>
      </font>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3" tint="0.39994506668294322"/>
      </font>
      <fill>
        <patternFill>
          <bgColor rgb="FFFFFF99"/>
        </patternFill>
      </fill>
    </dxf>
    <dxf>
      <font>
        <color theme="3" tint="0.39994506668294322"/>
      </font>
      <fill>
        <patternFill patternType="none">
          <bgColor auto="1"/>
        </patternFill>
      </fill>
    </dxf>
    <dxf>
      <font>
        <color theme="3" tint="0.39994506668294322"/>
      </font>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3" tint="0.39994506668294322"/>
      </font>
      <fill>
        <patternFill patternType="none">
          <bgColor auto="1"/>
        </patternFill>
      </fill>
    </dxf>
    <dxf>
      <font>
        <color theme="3" tint="0.39994506668294322"/>
      </font>
      <fill>
        <patternFill patternType="none">
          <bgColor auto="1"/>
        </patternFill>
      </fill>
    </dxf>
    <dxf>
      <font>
        <color theme="3" tint="0.39994506668294322"/>
      </font>
      <fill>
        <patternFill patternType="none">
          <bgColor auto="1"/>
        </patternFill>
      </fill>
    </dxf>
    <dxf>
      <font>
        <color auto="1"/>
      </font>
      <fill>
        <patternFill patternType="none">
          <bgColor auto="1"/>
        </patternFill>
      </fill>
    </dxf>
    <dxf>
      <font>
        <color theme="3" tint="0.39994506668294322"/>
      </font>
      <fill>
        <patternFill patternType="none">
          <bgColor auto="1"/>
        </patternFill>
      </fill>
    </dxf>
    <dxf>
      <font>
        <b/>
        <i val="0"/>
        <color rgb="FFFFFF00"/>
      </font>
      <fill>
        <patternFill>
          <bgColor rgb="FFFF0000"/>
        </patternFill>
      </fill>
    </dxf>
    <dxf>
      <font>
        <color theme="0" tint="-0.14996795556505021"/>
      </font>
      <fill>
        <patternFill>
          <bgColor theme="0" tint="-0.14996795556505021"/>
        </patternFill>
      </fill>
    </dxf>
    <dxf>
      <font>
        <b/>
        <i val="0"/>
        <color rgb="FFFFFF00"/>
      </font>
      <fill>
        <patternFill>
          <bgColor rgb="FFFF000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theme="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rgb="FF0070C0"/>
      </font>
      <fill>
        <patternFill>
          <bgColor theme="0"/>
        </patternFill>
      </fill>
    </dxf>
    <dxf>
      <font>
        <color rgb="FF0070C0"/>
      </font>
      <fill>
        <patternFill>
          <bgColor theme="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tint="-0.14996795556505021"/>
      </font>
      <fill>
        <patternFill>
          <bgColor theme="0" tint="-0.14996795556505021"/>
        </patternFill>
      </fill>
    </dxf>
    <dxf>
      <font>
        <color theme="4"/>
      </font>
      <fill>
        <patternFill patternType="none">
          <bgColor auto="1"/>
        </patternFill>
      </fill>
    </dxf>
    <dxf>
      <font>
        <color auto="1"/>
      </font>
      <fill>
        <patternFill patternType="none">
          <bgColor auto="1"/>
        </patternFill>
      </fill>
    </dxf>
    <dxf>
      <font>
        <color auto="1"/>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auto="1"/>
      </font>
      <fill>
        <patternFill patternType="none">
          <bgColor auto="1"/>
        </patternFill>
      </fill>
    </dxf>
    <dxf>
      <font>
        <color theme="4"/>
      </font>
      <fill>
        <patternFill patternType="none">
          <bgColor auto="1"/>
        </patternFill>
      </fill>
    </dxf>
    <dxf>
      <font>
        <color auto="1"/>
      </font>
      <fill>
        <patternFill patternType="none">
          <bgColor auto="1"/>
        </patternFill>
      </fill>
    </dxf>
    <dxf>
      <font>
        <color auto="1"/>
      </font>
      <fill>
        <patternFill patternType="none">
          <bgColor auto="1"/>
        </patternFill>
      </fill>
    </dxf>
    <dxf>
      <font>
        <color theme="0" tint="-0.14996795556505021"/>
      </font>
      <fill>
        <patternFill>
          <bgColor theme="0" tint="-0.14996795556505021"/>
        </patternFill>
      </fill>
    </dxf>
    <dxf>
      <font>
        <color auto="1"/>
      </font>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3" tint="0.39994506668294322"/>
      </font>
      <fill>
        <patternFill>
          <bgColor rgb="FFFFFF99"/>
        </patternFill>
      </fill>
    </dxf>
    <dxf>
      <font>
        <color theme="3" tint="0.39994506668294322"/>
      </font>
      <fill>
        <patternFill patternType="none">
          <bgColor auto="1"/>
        </patternFill>
      </fill>
    </dxf>
    <dxf>
      <font>
        <color theme="3" tint="0.39994506668294322"/>
      </font>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3" tint="0.39994506668294322"/>
      </font>
      <fill>
        <patternFill patternType="none">
          <bgColor auto="1"/>
        </patternFill>
      </fill>
    </dxf>
    <dxf>
      <font>
        <color theme="3" tint="0.39994506668294322"/>
      </font>
      <fill>
        <patternFill patternType="none">
          <bgColor auto="1"/>
        </patternFill>
      </fill>
    </dxf>
    <dxf>
      <font>
        <color theme="3" tint="0.39994506668294322"/>
      </font>
      <fill>
        <patternFill patternType="none">
          <bgColor auto="1"/>
        </patternFill>
      </fill>
    </dxf>
    <dxf>
      <font>
        <color auto="1"/>
      </font>
      <fill>
        <patternFill patternType="none">
          <bgColor auto="1"/>
        </patternFill>
      </fill>
    </dxf>
    <dxf>
      <font>
        <color theme="3" tint="0.39994506668294322"/>
      </font>
      <fill>
        <patternFill patternType="none">
          <bgColor auto="1"/>
        </patternFill>
      </fill>
    </dxf>
    <dxf>
      <font>
        <b/>
        <i val="0"/>
        <color rgb="FFFFFF00"/>
      </font>
      <fill>
        <patternFill>
          <bgColor rgb="FFFF0000"/>
        </patternFill>
      </fill>
    </dxf>
    <dxf>
      <font>
        <color theme="0" tint="-0.14996795556505021"/>
      </font>
      <fill>
        <patternFill>
          <bgColor theme="0" tint="-0.14996795556505021"/>
        </patternFill>
      </fill>
    </dxf>
    <dxf>
      <font>
        <b/>
        <i val="0"/>
        <color rgb="FFFFFF00"/>
      </font>
      <fill>
        <patternFill>
          <bgColor rgb="FFFF000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theme="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rgb="FF0070C0"/>
      </font>
      <fill>
        <patternFill>
          <bgColor theme="0"/>
        </patternFill>
      </fill>
    </dxf>
    <dxf>
      <font>
        <color rgb="FF0070C0"/>
      </font>
      <fill>
        <patternFill>
          <bgColor theme="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tint="-0.14996795556505021"/>
      </font>
      <fill>
        <patternFill>
          <bgColor theme="0" tint="-0.14996795556505021"/>
        </patternFill>
      </fill>
    </dxf>
    <dxf>
      <font>
        <color theme="4"/>
      </font>
      <fill>
        <patternFill patternType="none">
          <bgColor auto="1"/>
        </patternFill>
      </fill>
    </dxf>
    <dxf>
      <font>
        <color auto="1"/>
      </font>
      <fill>
        <patternFill patternType="none">
          <bgColor auto="1"/>
        </patternFill>
      </fill>
    </dxf>
    <dxf>
      <font>
        <color auto="1"/>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auto="1"/>
      </font>
      <fill>
        <patternFill patternType="none">
          <bgColor auto="1"/>
        </patternFill>
      </fill>
    </dxf>
    <dxf>
      <font>
        <color theme="4"/>
      </font>
      <fill>
        <patternFill patternType="none">
          <bgColor auto="1"/>
        </patternFill>
      </fill>
    </dxf>
    <dxf>
      <font>
        <color auto="1"/>
      </font>
      <fill>
        <patternFill patternType="none">
          <bgColor auto="1"/>
        </patternFill>
      </fill>
    </dxf>
    <dxf>
      <font>
        <color auto="1"/>
      </font>
      <fill>
        <patternFill patternType="none">
          <bgColor auto="1"/>
        </patternFill>
      </fill>
    </dxf>
    <dxf>
      <font>
        <color theme="0" tint="-0.14996795556505021"/>
      </font>
      <fill>
        <patternFill>
          <bgColor theme="0" tint="-0.14996795556505021"/>
        </patternFill>
      </fill>
    </dxf>
    <dxf>
      <font>
        <color auto="1"/>
      </font>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3" tint="0.39994506668294322"/>
      </font>
      <fill>
        <patternFill>
          <bgColor rgb="FFFFFF99"/>
        </patternFill>
      </fill>
    </dxf>
    <dxf>
      <font>
        <color theme="3" tint="0.39994506668294322"/>
      </font>
      <fill>
        <patternFill patternType="none">
          <bgColor auto="1"/>
        </patternFill>
      </fill>
    </dxf>
    <dxf>
      <font>
        <color theme="3" tint="0.39994506668294322"/>
      </font>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3" tint="0.39994506668294322"/>
      </font>
      <fill>
        <patternFill patternType="none">
          <bgColor auto="1"/>
        </patternFill>
      </fill>
    </dxf>
    <dxf>
      <font>
        <color theme="3" tint="0.39994506668294322"/>
      </font>
      <fill>
        <patternFill patternType="none">
          <bgColor auto="1"/>
        </patternFill>
      </fill>
    </dxf>
    <dxf>
      <font>
        <color theme="3" tint="0.39994506668294322"/>
      </font>
      <fill>
        <patternFill patternType="none">
          <bgColor auto="1"/>
        </patternFill>
      </fill>
    </dxf>
    <dxf>
      <font>
        <color auto="1"/>
      </font>
      <fill>
        <patternFill patternType="none">
          <bgColor auto="1"/>
        </patternFill>
      </fill>
    </dxf>
    <dxf>
      <font>
        <color theme="3" tint="0.39994506668294322"/>
      </font>
      <fill>
        <patternFill patternType="none">
          <bgColor auto="1"/>
        </patternFill>
      </fill>
    </dxf>
    <dxf>
      <font>
        <b/>
        <i val="0"/>
        <color rgb="FFFFFF00"/>
      </font>
      <fill>
        <patternFill>
          <bgColor rgb="FFFF0000"/>
        </patternFill>
      </fill>
    </dxf>
    <dxf>
      <font>
        <color theme="0" tint="-0.14996795556505021"/>
      </font>
      <fill>
        <patternFill>
          <bgColor theme="0" tint="-0.14996795556505021"/>
        </patternFill>
      </fill>
    </dxf>
    <dxf>
      <font>
        <b/>
        <i val="0"/>
        <color rgb="FFFFFF00"/>
      </font>
      <fill>
        <patternFill>
          <bgColor rgb="FFFF000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theme="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rgb="FF0070C0"/>
      </font>
      <fill>
        <patternFill>
          <bgColor theme="0"/>
        </patternFill>
      </fill>
    </dxf>
    <dxf>
      <font>
        <color rgb="FF0070C0"/>
      </font>
      <fill>
        <patternFill>
          <bgColor theme="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tint="-0.14996795556505021"/>
      </font>
      <fill>
        <patternFill>
          <bgColor theme="0" tint="-0.14996795556505021"/>
        </patternFill>
      </fill>
    </dxf>
    <dxf>
      <font>
        <color theme="4"/>
      </font>
      <fill>
        <patternFill patternType="none">
          <bgColor auto="1"/>
        </patternFill>
      </fill>
    </dxf>
    <dxf>
      <font>
        <color auto="1"/>
      </font>
      <fill>
        <patternFill patternType="none">
          <bgColor auto="1"/>
        </patternFill>
      </fill>
    </dxf>
    <dxf>
      <font>
        <color auto="1"/>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auto="1"/>
      </font>
      <fill>
        <patternFill patternType="none">
          <bgColor auto="1"/>
        </patternFill>
      </fill>
    </dxf>
    <dxf>
      <font>
        <color theme="4"/>
      </font>
      <fill>
        <patternFill patternType="none">
          <bgColor auto="1"/>
        </patternFill>
      </fill>
    </dxf>
    <dxf>
      <font>
        <color auto="1"/>
      </font>
      <fill>
        <patternFill patternType="none">
          <bgColor auto="1"/>
        </patternFill>
      </fill>
    </dxf>
    <dxf>
      <font>
        <color auto="1"/>
      </font>
      <fill>
        <patternFill patternType="none">
          <bgColor auto="1"/>
        </patternFill>
      </fill>
    </dxf>
    <dxf>
      <font>
        <color theme="0" tint="-0.14996795556505021"/>
      </font>
      <fill>
        <patternFill>
          <bgColor theme="0" tint="-0.14996795556505021"/>
        </patternFill>
      </fill>
    </dxf>
    <dxf>
      <font>
        <color auto="1"/>
      </font>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3" tint="0.39994506668294322"/>
      </font>
      <fill>
        <patternFill>
          <bgColor rgb="FFFFFF99"/>
        </patternFill>
      </fill>
    </dxf>
    <dxf>
      <font>
        <color theme="3" tint="0.39994506668294322"/>
      </font>
      <fill>
        <patternFill patternType="none">
          <bgColor auto="1"/>
        </patternFill>
      </fill>
    </dxf>
    <dxf>
      <font>
        <color theme="3" tint="0.39994506668294322"/>
      </font>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3" tint="0.39994506668294322"/>
      </font>
      <fill>
        <patternFill patternType="none">
          <bgColor auto="1"/>
        </patternFill>
      </fill>
    </dxf>
    <dxf>
      <font>
        <color theme="3" tint="0.39994506668294322"/>
      </font>
      <fill>
        <patternFill patternType="none">
          <bgColor auto="1"/>
        </patternFill>
      </fill>
    </dxf>
    <dxf>
      <font>
        <color theme="3" tint="0.39994506668294322"/>
      </font>
      <fill>
        <patternFill patternType="none">
          <bgColor auto="1"/>
        </patternFill>
      </fill>
    </dxf>
    <dxf>
      <font>
        <color auto="1"/>
      </font>
      <fill>
        <patternFill patternType="none">
          <bgColor auto="1"/>
        </patternFill>
      </fill>
    </dxf>
    <dxf>
      <font>
        <color theme="3" tint="0.39994506668294322"/>
      </font>
      <fill>
        <patternFill patternType="none">
          <bgColor auto="1"/>
        </patternFill>
      </fill>
    </dxf>
    <dxf>
      <font>
        <b/>
        <i val="0"/>
        <color rgb="FFFFFF00"/>
      </font>
      <fill>
        <patternFill>
          <bgColor rgb="FFFF0000"/>
        </patternFill>
      </fill>
    </dxf>
    <dxf>
      <font>
        <color theme="0" tint="-0.14996795556505021"/>
      </font>
      <fill>
        <patternFill>
          <bgColor theme="0" tint="-0.14996795556505021"/>
        </patternFill>
      </fill>
    </dxf>
    <dxf>
      <font>
        <b/>
        <i val="0"/>
        <color rgb="FFFFFF00"/>
      </font>
      <fill>
        <patternFill>
          <bgColor rgb="FFFF000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theme="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rgb="FF0070C0"/>
      </font>
      <fill>
        <patternFill>
          <bgColor theme="0"/>
        </patternFill>
      </fill>
    </dxf>
    <dxf>
      <font>
        <color rgb="FF0070C0"/>
      </font>
      <fill>
        <patternFill>
          <bgColor theme="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tint="-0.14996795556505021"/>
      </font>
      <fill>
        <patternFill>
          <bgColor theme="0" tint="-0.14996795556505021"/>
        </patternFill>
      </fill>
    </dxf>
    <dxf>
      <font>
        <color theme="4"/>
      </font>
      <fill>
        <patternFill patternType="none">
          <bgColor auto="1"/>
        </patternFill>
      </fill>
    </dxf>
    <dxf>
      <font>
        <color auto="1"/>
      </font>
      <fill>
        <patternFill patternType="none">
          <bgColor auto="1"/>
        </patternFill>
      </fill>
    </dxf>
    <dxf>
      <font>
        <color auto="1"/>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auto="1"/>
      </font>
      <fill>
        <patternFill patternType="none">
          <bgColor auto="1"/>
        </patternFill>
      </fill>
    </dxf>
    <dxf>
      <font>
        <color theme="4"/>
      </font>
      <fill>
        <patternFill patternType="none">
          <bgColor auto="1"/>
        </patternFill>
      </fill>
    </dxf>
    <dxf>
      <font>
        <color auto="1"/>
      </font>
      <fill>
        <patternFill patternType="none">
          <bgColor auto="1"/>
        </patternFill>
      </fill>
    </dxf>
    <dxf>
      <font>
        <color auto="1"/>
      </font>
      <fill>
        <patternFill patternType="none">
          <bgColor auto="1"/>
        </patternFill>
      </fill>
    </dxf>
    <dxf>
      <font>
        <color theme="0" tint="-0.14996795556505021"/>
      </font>
      <fill>
        <patternFill>
          <bgColor theme="0" tint="-0.14996795556505021"/>
        </patternFill>
      </fill>
    </dxf>
    <dxf>
      <font>
        <color auto="1"/>
      </font>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3" tint="0.39994506668294322"/>
      </font>
      <fill>
        <patternFill>
          <bgColor rgb="FFFFFF99"/>
        </patternFill>
      </fill>
    </dxf>
    <dxf>
      <font>
        <color theme="3" tint="0.39994506668294322"/>
      </font>
      <fill>
        <patternFill patternType="none">
          <bgColor auto="1"/>
        </patternFill>
      </fill>
    </dxf>
    <dxf>
      <font>
        <color theme="3" tint="0.39994506668294322"/>
      </font>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3" tint="0.39994506668294322"/>
      </font>
      <fill>
        <patternFill patternType="none">
          <bgColor auto="1"/>
        </patternFill>
      </fill>
    </dxf>
    <dxf>
      <font>
        <color theme="3" tint="0.39994506668294322"/>
      </font>
      <fill>
        <patternFill patternType="none">
          <bgColor auto="1"/>
        </patternFill>
      </fill>
    </dxf>
    <dxf>
      <font>
        <color theme="3" tint="0.39994506668294322"/>
      </font>
      <fill>
        <patternFill patternType="none">
          <bgColor auto="1"/>
        </patternFill>
      </fill>
    </dxf>
    <dxf>
      <font>
        <color auto="1"/>
      </font>
      <fill>
        <patternFill patternType="none">
          <bgColor auto="1"/>
        </patternFill>
      </fill>
    </dxf>
    <dxf>
      <font>
        <color theme="3" tint="0.39994506668294322"/>
      </font>
      <fill>
        <patternFill patternType="none">
          <bgColor auto="1"/>
        </patternFill>
      </fill>
    </dxf>
    <dxf>
      <font>
        <b/>
        <i val="0"/>
        <color rgb="FFFFFF00"/>
      </font>
      <fill>
        <patternFill>
          <bgColor rgb="FFFF0000"/>
        </patternFill>
      </fill>
    </dxf>
    <dxf>
      <font>
        <color theme="0" tint="-0.14996795556505021"/>
      </font>
      <fill>
        <patternFill>
          <bgColor theme="0" tint="-0.14996795556505021"/>
        </patternFill>
      </fill>
    </dxf>
    <dxf>
      <font>
        <b/>
        <i val="0"/>
        <color rgb="FFFFFF00"/>
      </font>
      <fill>
        <patternFill>
          <bgColor rgb="FFFF000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theme="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rgb="FF0070C0"/>
      </font>
      <fill>
        <patternFill>
          <bgColor theme="0"/>
        </patternFill>
      </fill>
    </dxf>
    <dxf>
      <font>
        <color rgb="FF0070C0"/>
      </font>
      <fill>
        <patternFill>
          <bgColor theme="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tint="-0.14996795556505021"/>
      </font>
      <fill>
        <patternFill>
          <bgColor theme="0" tint="-0.14996795556505021"/>
        </patternFill>
      </fill>
    </dxf>
    <dxf>
      <font>
        <color theme="4"/>
      </font>
      <fill>
        <patternFill patternType="none">
          <bgColor auto="1"/>
        </patternFill>
      </fill>
    </dxf>
    <dxf>
      <font>
        <color auto="1"/>
      </font>
      <fill>
        <patternFill patternType="none">
          <bgColor auto="1"/>
        </patternFill>
      </fill>
    </dxf>
    <dxf>
      <font>
        <color auto="1"/>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auto="1"/>
      </font>
      <fill>
        <patternFill patternType="none">
          <bgColor auto="1"/>
        </patternFill>
      </fill>
    </dxf>
    <dxf>
      <font>
        <color theme="4"/>
      </font>
      <fill>
        <patternFill patternType="none">
          <bgColor auto="1"/>
        </patternFill>
      </fill>
    </dxf>
    <dxf>
      <font>
        <color auto="1"/>
      </font>
      <fill>
        <patternFill patternType="none">
          <bgColor auto="1"/>
        </patternFill>
      </fill>
    </dxf>
    <dxf>
      <font>
        <color auto="1"/>
      </font>
      <fill>
        <patternFill patternType="none">
          <bgColor auto="1"/>
        </patternFill>
      </fill>
    </dxf>
    <dxf>
      <font>
        <color theme="0" tint="-0.14996795556505021"/>
      </font>
      <fill>
        <patternFill>
          <bgColor theme="0" tint="-0.14996795556505021"/>
        </patternFill>
      </fill>
    </dxf>
    <dxf>
      <font>
        <color auto="1"/>
      </font>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s>
  <tableStyles count="0" defaultTableStyle="TableStyleMedium9" defaultPivotStyle="PivotStyleLight16"/>
  <colors>
    <mruColors>
      <color rgb="FFFFFF99"/>
      <color rgb="FFFF99FF"/>
      <color rgb="FFFF33CC"/>
      <color rgb="FF000000"/>
      <color rgb="FF1C1C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1"/>
    </c:title>
    <c:autoTitleDeleted val="0"/>
    <c:plotArea>
      <c:layout/>
      <c:lineChart>
        <c:grouping val="standard"/>
        <c:varyColors val="0"/>
        <c:ser>
          <c:idx val="0"/>
          <c:order val="0"/>
          <c:tx>
            <c:strRef>
              <c:f>'Annual Cash Flows &amp; Returns'!$N$4</c:f>
              <c:strCache>
                <c:ptCount val="1"/>
                <c:pt idx="0">
                  <c:v>Cumulative Cash Flow</c:v>
                </c:pt>
              </c:strCache>
            </c:strRef>
          </c:tx>
          <c:marker>
            <c:symbol val="none"/>
          </c:marker>
          <c:cat>
            <c:numRef>
              <c:f>'Annual Cash Flows &amp; Returns'!$B$6:$B$36</c:f>
              <c:numCache>
                <c:formatCode>General</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'Annual Cash Flows &amp; Returns'!$N$6:$N$36</c:f>
              <c:numCache>
                <c:formatCode>"$"#,##0_);[Red]\("$"#,##0\)</c:formatCode>
                <c:ptCount val="31"/>
                <c:pt idx="0">
                  <c:v>-6799863.7901178924</c:v>
                </c:pt>
                <c:pt idx="1">
                  <c:v>-2536645.1020052666</c:v>
                </c:pt>
                <c:pt idx="2">
                  <c:v>-1458491.4552248423</c:v>
                </c:pt>
                <c:pt idx="3">
                  <c:v>-782252.08463111438</c:v>
                </c:pt>
                <c:pt idx="4">
                  <c:v>-353471.43615567219</c:v>
                </c:pt>
                <c:pt idx="5">
                  <c:v>59698.857713203528</c:v>
                </c:pt>
                <c:pt idx="6">
                  <c:v>282512.66554208047</c:v>
                </c:pt>
                <c:pt idx="7">
                  <c:v>323921.19725699676</c:v>
                </c:pt>
                <c:pt idx="8">
                  <c:v>348648.3055248973</c:v>
                </c:pt>
                <c:pt idx="9">
                  <c:v>356057.11319767777</c:v>
                </c:pt>
                <c:pt idx="10">
                  <c:v>345448.59048973949</c:v>
                </c:pt>
                <c:pt idx="11">
                  <c:v>316099.64414031367</c:v>
                </c:pt>
                <c:pt idx="12">
                  <c:v>282785.15775460459</c:v>
                </c:pt>
                <c:pt idx="13">
                  <c:v>231739.21141705732</c:v>
                </c:pt>
                <c:pt idx="14">
                  <c:v>155485.02421328946</c:v>
                </c:pt>
                <c:pt idx="15">
                  <c:v>54582.316828073206</c:v>
                </c:pt>
                <c:pt idx="16">
                  <c:v>564950.62527056783</c:v>
                </c:pt>
                <c:pt idx="17">
                  <c:v>1061064.5824084631</c:v>
                </c:pt>
                <c:pt idx="18">
                  <c:v>1544534.2351595897</c:v>
                </c:pt>
                <c:pt idx="19">
                  <c:v>2016924.0577877383</c:v>
                </c:pt>
                <c:pt idx="20">
                  <c:v>2478094.63683995</c:v>
                </c:pt>
                <c:pt idx="21">
                  <c:v>2951439.5647859289</c:v>
                </c:pt>
                <c:pt idx="22">
                  <c:v>3430087.2051921701</c:v>
                </c:pt>
                <c:pt idx="23">
                  <c:v>3915366.0135326958</c:v>
                </c:pt>
                <c:pt idx="24">
                  <c:v>4407246.5770758232</c:v>
                </c:pt>
                <c:pt idx="25">
                  <c:v>4905924.733480636</c:v>
                </c:pt>
                <c:pt idx="26">
                  <c:v>5411433.7082670471</c:v>
                </c:pt>
                <c:pt idx="27">
                  <c:v>5920712.438103714</c:v>
                </c:pt>
                <c:pt idx="28">
                  <c:v>6416836.1654583663</c:v>
                </c:pt>
                <c:pt idx="29">
                  <c:v>6899630.3199201096</c:v>
                </c:pt>
                <c:pt idx="30">
                  <c:v>7368915.5016809627</c:v>
                </c:pt>
              </c:numCache>
            </c:numRef>
          </c:val>
          <c:smooth val="0"/>
          <c:extLst>
            <c:ext xmlns:c16="http://schemas.microsoft.com/office/drawing/2014/chart" uri="{C3380CC4-5D6E-409C-BE32-E72D297353CC}">
              <c16:uniqueId val="{00000000-0892-421D-A24D-A4C4491124DA}"/>
            </c:ext>
          </c:extLst>
        </c:ser>
        <c:dLbls>
          <c:showLegendKey val="0"/>
          <c:showVal val="0"/>
          <c:showCatName val="0"/>
          <c:showSerName val="0"/>
          <c:showPercent val="0"/>
          <c:showBubbleSize val="0"/>
        </c:dLbls>
        <c:smooth val="0"/>
        <c:axId val="219731448"/>
        <c:axId val="219732232"/>
      </c:lineChart>
      <c:catAx>
        <c:axId val="219731448"/>
        <c:scaling>
          <c:orientation val="minMax"/>
        </c:scaling>
        <c:delete val="0"/>
        <c:axPos val="b"/>
        <c:title>
          <c:tx>
            <c:rich>
              <a:bodyPr/>
              <a:lstStyle/>
              <a:p>
                <a:pPr>
                  <a:defRPr sz="1100"/>
                </a:pPr>
                <a:r>
                  <a:rPr lang="en-US" sz="1100"/>
                  <a:t>Project Year</a:t>
                </a:r>
              </a:p>
            </c:rich>
          </c:tx>
          <c:overlay val="0"/>
        </c:title>
        <c:numFmt formatCode="General" sourceLinked="1"/>
        <c:majorTickMark val="out"/>
        <c:minorTickMark val="none"/>
        <c:tickLblPos val="nextTo"/>
        <c:crossAx val="219732232"/>
        <c:crosses val="autoZero"/>
        <c:auto val="1"/>
        <c:lblAlgn val="ctr"/>
        <c:lblOffset val="100"/>
        <c:tickLblSkip val="5"/>
        <c:noMultiLvlLbl val="0"/>
      </c:catAx>
      <c:valAx>
        <c:axId val="219732232"/>
        <c:scaling>
          <c:orientation val="minMax"/>
        </c:scaling>
        <c:delete val="0"/>
        <c:axPos val="l"/>
        <c:title>
          <c:tx>
            <c:rich>
              <a:bodyPr rot="-5400000" vert="horz"/>
              <a:lstStyle/>
              <a:p>
                <a:pPr>
                  <a:defRPr sz="1100" b="1"/>
                </a:pPr>
                <a:r>
                  <a:rPr lang="en-US" sz="1100" b="1"/>
                  <a:t>Cumulative Cash Flow ($)</a:t>
                </a:r>
              </a:p>
            </c:rich>
          </c:tx>
          <c:overlay val="0"/>
        </c:title>
        <c:numFmt formatCode="&quot;$&quot;#,##0_);[Red]\(&quot;$&quot;#,##0\)" sourceLinked="1"/>
        <c:majorTickMark val="out"/>
        <c:minorTickMark val="none"/>
        <c:tickLblPos val="nextTo"/>
        <c:crossAx val="219731448"/>
        <c:crosses val="autoZero"/>
        <c:crossBetween val="between"/>
      </c:valAx>
      <c:spPr>
        <a:solidFill>
          <a:srgbClr val="FFFF99"/>
        </a:solidFill>
      </c:spPr>
    </c:plotArea>
    <c:plotVisOnly val="1"/>
    <c:dispBlanksAs val="gap"/>
    <c:showDLblsOverMax val="0"/>
  </c:chart>
  <c:spPr>
    <a:solidFill>
      <a:srgbClr val="FFFF99"/>
    </a:solidFill>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Revenue + Tax Benefits / (Liability) v. </a:t>
            </a:r>
          </a:p>
          <a:p>
            <a:pPr>
              <a:defRPr/>
            </a:pPr>
            <a:r>
              <a:rPr lang="en-US"/>
              <a:t>Expenses + Cash Obligations</a:t>
            </a:r>
          </a:p>
        </c:rich>
      </c:tx>
      <c:overlay val="1"/>
    </c:title>
    <c:autoTitleDeleted val="0"/>
    <c:plotArea>
      <c:layout/>
      <c:areaChart>
        <c:grouping val="standard"/>
        <c:varyColors val="0"/>
        <c:ser>
          <c:idx val="1"/>
          <c:order val="1"/>
          <c:tx>
            <c:strRef>
              <c:f>'Annual Cash Flows &amp; Returns'!$S$4</c:f>
              <c:strCache>
                <c:ptCount val="1"/>
                <c:pt idx="0">
                  <c:v>Expenses + Cash Obligations</c:v>
                </c:pt>
              </c:strCache>
            </c:strRef>
          </c:tx>
          <c:cat>
            <c:numRef>
              <c:f>'Annual Cash Flows &amp; Returns'!$B$6:$B$36</c:f>
              <c:numCache>
                <c:formatCode>General</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'Annual Cash Flows &amp; Returns'!$S$6:$S$36</c:f>
              <c:numCache>
                <c:formatCode>"$"#,##0_);[Red]\("$"#,##0\)</c:formatCode>
                <c:ptCount val="31"/>
                <c:pt idx="1">
                  <c:v>965408.99987463304</c:v>
                </c:pt>
                <c:pt idx="2">
                  <c:v>982573.4242551924</c:v>
                </c:pt>
                <c:pt idx="3">
                  <c:v>989387.63712336298</c:v>
                </c:pt>
                <c:pt idx="4">
                  <c:v>996355.12924889708</c:v>
                </c:pt>
                <c:pt idx="5">
                  <c:v>1003479.4760669417</c:v>
                </c:pt>
                <c:pt idx="6">
                  <c:v>1010764.3398168474</c:v>
                </c:pt>
                <c:pt idx="7">
                  <c:v>1018213.471737116</c:v>
                </c:pt>
                <c:pt idx="8">
                  <c:v>1025830.7143180161</c:v>
                </c:pt>
                <c:pt idx="9">
                  <c:v>1033620.0036134269</c:v>
                </c:pt>
                <c:pt idx="10">
                  <c:v>1041585.3716135253</c:v>
                </c:pt>
                <c:pt idx="11">
                  <c:v>1049730.9486799687</c:v>
                </c:pt>
                <c:pt idx="12">
                  <c:v>1047560.966045274</c:v>
                </c:pt>
                <c:pt idx="13">
                  <c:v>1056079.7583781448</c:v>
                </c:pt>
                <c:pt idx="14">
                  <c:v>1064791.7664165397</c:v>
                </c:pt>
                <c:pt idx="15">
                  <c:v>1073701.5396703356</c:v>
                </c:pt>
                <c:pt idx="16">
                  <c:v>446375.95834881731</c:v>
                </c:pt>
                <c:pt idx="17">
                  <c:v>455695.35959492403</c:v>
                </c:pt>
                <c:pt idx="18">
                  <c:v>465226.85532832693</c:v>
                </c:pt>
                <c:pt idx="19">
                  <c:v>474975.45863264287</c:v>
                </c:pt>
                <c:pt idx="20">
                  <c:v>484946.30598897772</c:v>
                </c:pt>
                <c:pt idx="21">
                  <c:v>495144.6604379497</c:v>
                </c:pt>
                <c:pt idx="22">
                  <c:v>505575.91482577688</c:v>
                </c:pt>
                <c:pt idx="23">
                  <c:v>516245.59513673274</c:v>
                </c:pt>
                <c:pt idx="24">
                  <c:v>527159.36391434073</c:v>
                </c:pt>
                <c:pt idx="25">
                  <c:v>538323.02377374726</c:v>
                </c:pt>
                <c:pt idx="26">
                  <c:v>549742.52100777533</c:v>
                </c:pt>
                <c:pt idx="27">
                  <c:v>561423.94928924064</c:v>
                </c:pt>
                <c:pt idx="28">
                  <c:v>573373.55347217468</c:v>
                </c:pt>
                <c:pt idx="29">
                  <c:v>585597.73349468177</c:v>
                </c:pt>
                <c:pt idx="30">
                  <c:v>598103.04838623083</c:v>
                </c:pt>
              </c:numCache>
            </c:numRef>
          </c:val>
          <c:extLst>
            <c:ext xmlns:c16="http://schemas.microsoft.com/office/drawing/2014/chart" uri="{C3380CC4-5D6E-409C-BE32-E72D297353CC}">
              <c16:uniqueId val="{00000000-74D4-4ACB-AF2F-8E2BAABC6CBD}"/>
            </c:ext>
          </c:extLst>
        </c:ser>
        <c:dLbls>
          <c:showLegendKey val="0"/>
          <c:showVal val="0"/>
          <c:showCatName val="0"/>
          <c:showSerName val="0"/>
          <c:showPercent val="0"/>
          <c:showBubbleSize val="0"/>
        </c:dLbls>
        <c:axId val="72699784"/>
        <c:axId val="72700568"/>
      </c:areaChart>
      <c:lineChart>
        <c:grouping val="standard"/>
        <c:varyColors val="0"/>
        <c:ser>
          <c:idx val="0"/>
          <c:order val="0"/>
          <c:tx>
            <c:strRef>
              <c:f>'Annual Cash Flows &amp; Returns'!$R$4</c:f>
              <c:strCache>
                <c:ptCount val="1"/>
                <c:pt idx="0">
                  <c:v>Revenue + Tax Benefit/(Liability)</c:v>
                </c:pt>
              </c:strCache>
            </c:strRef>
          </c:tx>
          <c:marker>
            <c:symbol val="none"/>
          </c:marker>
          <c:cat>
            <c:numRef>
              <c:f>'Annual Cash Flows &amp; Returns'!$B$6:$B$36</c:f>
              <c:numCache>
                <c:formatCode>General</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'Annual Cash Flows &amp; Returns'!$R$6:$R$36</c:f>
              <c:numCache>
                <c:formatCode>"$"#,##0_);[Red]\("$"#,##0\)</c:formatCode>
                <c:ptCount val="31"/>
                <c:pt idx="1">
                  <c:v>5228627.6879872587</c:v>
                </c:pt>
                <c:pt idx="2">
                  <c:v>2060727.0710356168</c:v>
                </c:pt>
                <c:pt idx="3">
                  <c:v>1665627.0077170909</c:v>
                </c:pt>
                <c:pt idx="4">
                  <c:v>1425135.7777243392</c:v>
                </c:pt>
                <c:pt idx="5">
                  <c:v>1416649.7699358175</c:v>
                </c:pt>
                <c:pt idx="6">
                  <c:v>1233578.1476457242</c:v>
                </c:pt>
                <c:pt idx="7">
                  <c:v>1059622.0034520323</c:v>
                </c:pt>
                <c:pt idx="8">
                  <c:v>1050557.8225859166</c:v>
                </c:pt>
                <c:pt idx="9">
                  <c:v>1041028.8112862075</c:v>
                </c:pt>
                <c:pt idx="10">
                  <c:v>1030976.848905587</c:v>
                </c:pt>
                <c:pt idx="11">
                  <c:v>1020382.0023305429</c:v>
                </c:pt>
                <c:pt idx="12">
                  <c:v>1014246.479659565</c:v>
                </c:pt>
                <c:pt idx="13">
                  <c:v>1005033.8120405975</c:v>
                </c:pt>
                <c:pt idx="14">
                  <c:v>988537.57921277173</c:v>
                </c:pt>
                <c:pt idx="15">
                  <c:v>972798.83228511945</c:v>
                </c:pt>
                <c:pt idx="16">
                  <c:v>956744.26679131191</c:v>
                </c:pt>
                <c:pt idx="17">
                  <c:v>951809.31673281931</c:v>
                </c:pt>
                <c:pt idx="18">
                  <c:v>948696.50807945337</c:v>
                </c:pt>
                <c:pt idx="19">
                  <c:v>947365.28126079135</c:v>
                </c:pt>
                <c:pt idx="20">
                  <c:v>946116.88504118938</c:v>
                </c:pt>
                <c:pt idx="21">
                  <c:v>968489.58838392864</c:v>
                </c:pt>
                <c:pt idx="22">
                  <c:v>984223.55523201777</c:v>
                </c:pt>
                <c:pt idx="23">
                  <c:v>1001524.4034772583</c:v>
                </c:pt>
                <c:pt idx="24">
                  <c:v>1019039.927457468</c:v>
                </c:pt>
                <c:pt idx="25">
                  <c:v>1037001.1801785604</c:v>
                </c:pt>
                <c:pt idx="26">
                  <c:v>1055251.4957941861</c:v>
                </c:pt>
                <c:pt idx="27">
                  <c:v>1070702.6791259078</c:v>
                </c:pt>
                <c:pt idx="28">
                  <c:v>1069497.280826827</c:v>
                </c:pt>
                <c:pt idx="29">
                  <c:v>1068391.8879564248</c:v>
                </c:pt>
                <c:pt idx="30">
                  <c:v>1067388.230147084</c:v>
                </c:pt>
              </c:numCache>
            </c:numRef>
          </c:val>
          <c:smooth val="0"/>
          <c:extLst>
            <c:ext xmlns:c16="http://schemas.microsoft.com/office/drawing/2014/chart" uri="{C3380CC4-5D6E-409C-BE32-E72D297353CC}">
              <c16:uniqueId val="{00000001-74D4-4ACB-AF2F-8E2BAABC6CBD}"/>
            </c:ext>
          </c:extLst>
        </c:ser>
        <c:dLbls>
          <c:showLegendKey val="0"/>
          <c:showVal val="0"/>
          <c:showCatName val="0"/>
          <c:showSerName val="0"/>
          <c:showPercent val="0"/>
          <c:showBubbleSize val="0"/>
        </c:dLbls>
        <c:marker val="1"/>
        <c:smooth val="0"/>
        <c:axId val="72699784"/>
        <c:axId val="72700568"/>
      </c:lineChart>
      <c:catAx>
        <c:axId val="72699784"/>
        <c:scaling>
          <c:orientation val="minMax"/>
        </c:scaling>
        <c:delete val="0"/>
        <c:axPos val="b"/>
        <c:title>
          <c:tx>
            <c:rich>
              <a:bodyPr/>
              <a:lstStyle/>
              <a:p>
                <a:pPr>
                  <a:defRPr sz="1100"/>
                </a:pPr>
                <a:r>
                  <a:rPr lang="en-US" sz="1100"/>
                  <a:t>Project Year</a:t>
                </a:r>
              </a:p>
            </c:rich>
          </c:tx>
          <c:overlay val="0"/>
        </c:title>
        <c:numFmt formatCode="General" sourceLinked="1"/>
        <c:majorTickMark val="out"/>
        <c:minorTickMark val="none"/>
        <c:tickLblPos val="nextTo"/>
        <c:crossAx val="72700568"/>
        <c:crosses val="autoZero"/>
        <c:auto val="1"/>
        <c:lblAlgn val="ctr"/>
        <c:lblOffset val="100"/>
        <c:tickLblSkip val="5"/>
        <c:noMultiLvlLbl val="0"/>
      </c:catAx>
      <c:valAx>
        <c:axId val="72700568"/>
        <c:scaling>
          <c:orientation val="minMax"/>
        </c:scaling>
        <c:delete val="0"/>
        <c:axPos val="l"/>
        <c:title>
          <c:tx>
            <c:rich>
              <a:bodyPr rot="-5400000" vert="horz"/>
              <a:lstStyle/>
              <a:p>
                <a:pPr>
                  <a:defRPr sz="1100" b="1"/>
                </a:pPr>
                <a:r>
                  <a:rPr lang="en-US" sz="1100" b="1"/>
                  <a:t>( $)</a:t>
                </a:r>
              </a:p>
            </c:rich>
          </c:tx>
          <c:overlay val="0"/>
        </c:title>
        <c:numFmt formatCode="&quot;$&quot;#,##0" sourceLinked="0"/>
        <c:majorTickMark val="out"/>
        <c:minorTickMark val="none"/>
        <c:tickLblPos val="nextTo"/>
        <c:crossAx val="72699784"/>
        <c:crosses val="autoZero"/>
        <c:crossBetween val="between"/>
      </c:valAx>
      <c:spPr>
        <a:solidFill>
          <a:srgbClr val="FFFF99"/>
        </a:solidFill>
      </c:spPr>
    </c:plotArea>
    <c:legend>
      <c:legendPos val="r"/>
      <c:overlay val="1"/>
    </c:legend>
    <c:plotVisOnly val="1"/>
    <c:dispBlanksAs val="gap"/>
    <c:showDLblsOverMax val="0"/>
  </c:chart>
  <c:spPr>
    <a:solidFill>
      <a:srgbClr val="FFFF99"/>
    </a:solidFill>
  </c:spPr>
  <c:printSettings>
    <c:headerFooter/>
    <c:pageMargins b="0.75000000000001465" l="0.70000000000000062" r="0.70000000000000062" t="0.75000000000001465" header="0.30000000000000032" footer="0.30000000000000032"/>
    <c:pageSetup/>
  </c:printSettings>
</c:chartSpace>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249554</xdr:colOff>
      <xdr:row>1</xdr:row>
      <xdr:rowOff>167638</xdr:rowOff>
    </xdr:from>
    <xdr:to>
      <xdr:col>10</xdr:col>
      <xdr:colOff>25399</xdr:colOff>
      <xdr:row>29</xdr:row>
      <xdr:rowOff>68580</xdr:rowOff>
    </xdr:to>
    <xdr:sp macro="" textlink="">
      <xdr:nvSpPr>
        <xdr:cNvPr id="2" name="Rectangle 1">
          <a:extLst>
            <a:ext uri="{FF2B5EF4-FFF2-40B4-BE49-F238E27FC236}">
              <a16:creationId xmlns:a16="http://schemas.microsoft.com/office/drawing/2014/main" id="{441E560B-FD10-4A5D-8D57-3021A0E37FAA}"/>
            </a:ext>
          </a:extLst>
        </xdr:cNvPr>
        <xdr:cNvSpPr/>
      </xdr:nvSpPr>
      <xdr:spPr>
        <a:xfrm>
          <a:off x="249554" y="350518"/>
          <a:ext cx="5871845" cy="5021582"/>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a:solidFill>
                <a:schemeClr val="tx1"/>
              </a:solidFill>
            </a:rPr>
            <a:t>Instructions</a:t>
          </a:r>
          <a:r>
            <a:rPr lang="en-US" sz="1400" b="1" baseline="0">
              <a:solidFill>
                <a:schemeClr val="tx1"/>
              </a:solidFill>
            </a:rPr>
            <a:t>:</a:t>
          </a:r>
        </a:p>
        <a:p>
          <a:pPr algn="l"/>
          <a:endParaRPr lang="en-US" sz="1400" b="1" baseline="0">
            <a:solidFill>
              <a:schemeClr val="tx1"/>
            </a:solidFill>
          </a:endParaRPr>
        </a:p>
        <a:p>
          <a:pPr algn="l"/>
          <a:r>
            <a:rPr lang="en-US" sz="1400" baseline="0">
              <a:solidFill>
                <a:schemeClr val="tx1"/>
              </a:solidFill>
            </a:rPr>
            <a:t>This workbook contains the Cost of Renewable Energy Spreadsheet Tool (CREST) model used in SEA's modeling of potential 2024, 2025 and 2026 Program Year (PY) Ceiling Prices for the RI REG program. </a:t>
          </a:r>
        </a:p>
        <a:p>
          <a:pPr algn="l"/>
          <a:endParaRPr lang="en-US" sz="1400" baseline="0">
            <a:solidFill>
              <a:schemeClr val="tx1"/>
            </a:solidFill>
          </a:endParaRPr>
        </a:p>
        <a:p>
          <a:pPr algn="l"/>
          <a:r>
            <a:rPr lang="en-US" sz="1400" baseline="0">
              <a:solidFill>
                <a:schemeClr val="tx1"/>
              </a:solidFill>
            </a:rPr>
            <a:t>The "2024 Program Year Inputs" tab contains inputs for each ceiling price category for PY 2024 and may be entered on the "Active Inputs" tab. Inputs are formatted in </a:t>
          </a:r>
          <a:r>
            <a:rPr lang="en-US" sz="1400" b="1" baseline="0">
              <a:solidFill>
                <a:schemeClr val="accent1"/>
              </a:solidFill>
            </a:rPr>
            <a:t>blue</a:t>
          </a:r>
          <a:r>
            <a:rPr lang="en-US" sz="1400" baseline="0">
              <a:solidFill>
                <a:schemeClr val="tx1"/>
              </a:solidFill>
            </a:rPr>
            <a:t>. Please note that a number of the cells on this tab contain formulas (formatted in </a:t>
          </a:r>
          <a:r>
            <a:rPr lang="en-US" sz="1400" b="0" baseline="0">
              <a:solidFill>
                <a:schemeClr val="tx1"/>
              </a:solidFill>
            </a:rPr>
            <a:t>black</a:t>
          </a:r>
          <a:r>
            <a:rPr lang="en-US" sz="1400" baseline="0">
              <a:solidFill>
                <a:schemeClr val="tx1"/>
              </a:solidFill>
            </a:rPr>
            <a:t>), and should not be overwritten. To find the appropriate inputs for PY 2025 and 2026 and the Adders, cross-reference the relevant category in the "2024 Program Year Inputs" with associated modifications in the "Yearly Inputs" and "Adder Inputs" tabs.</a:t>
          </a:r>
        </a:p>
        <a:p>
          <a:pPr algn="l"/>
          <a:endParaRPr lang="en-US" sz="1400" baseline="0">
            <a:solidFill>
              <a:schemeClr val="tx1"/>
            </a:solidFill>
          </a:endParaRPr>
        </a:p>
        <a:p>
          <a:pPr algn="l"/>
          <a:r>
            <a:rPr lang="en-US" sz="1400" baseline="0">
              <a:solidFill>
                <a:schemeClr val="tx1"/>
              </a:solidFill>
            </a:rPr>
            <a:t>After all inputs are entered, navigate to the "Summary Results" tab and press F9 to calculate the Equivalent Nominal Levelized Tariff Rate for the applicable ceiling price category. Because the NREL CREST utilizes data tables as its solver mechanism, it may be necessary to press F9 more than once to arrive at the final result. </a:t>
          </a:r>
        </a:p>
        <a:p>
          <a:pPr algn="l"/>
          <a:endParaRPr lang="en-US" sz="1400" baseline="0">
            <a:solidFill>
              <a:schemeClr val="tx1"/>
            </a:solidFill>
          </a:endParaRPr>
        </a:p>
        <a:p>
          <a:pPr algn="l"/>
          <a:r>
            <a:rPr lang="en-US" sz="1400" baseline="0">
              <a:solidFill>
                <a:schemeClr val="tx1"/>
              </a:solidFill>
            </a:rPr>
            <a:t>The remaining worksheets contain all supporting calculations and are provided for transparency and your convenience.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588990</xdr:colOff>
      <xdr:row>1097</xdr:row>
      <xdr:rowOff>186690</xdr:rowOff>
    </xdr:from>
    <xdr:to>
      <xdr:col>21</xdr:col>
      <xdr:colOff>1198764</xdr:colOff>
      <xdr:row>1108</xdr:row>
      <xdr:rowOff>67368</xdr:rowOff>
    </xdr:to>
    <xdr:sp macro="" textlink="">
      <xdr:nvSpPr>
        <xdr:cNvPr id="2" name="Speech Bubble: Rectangle 1">
          <a:extLst>
            <a:ext uri="{FF2B5EF4-FFF2-40B4-BE49-F238E27FC236}">
              <a16:creationId xmlns:a16="http://schemas.microsoft.com/office/drawing/2014/main" id="{1622BCDB-710D-BA1C-193F-9CE2145B6B5D}"/>
            </a:ext>
          </a:extLst>
        </xdr:cNvPr>
        <xdr:cNvSpPr/>
      </xdr:nvSpPr>
      <xdr:spPr>
        <a:xfrm>
          <a:off x="16642945" y="233116235"/>
          <a:ext cx="4766137" cy="2166678"/>
        </a:xfrm>
        <a:prstGeom prst="wedgeRectCallout">
          <a:avLst>
            <a:gd name="adj1" fmla="val -106590"/>
            <a:gd name="adj2" fmla="val 46189"/>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800"/>
            <a:t>For the Large Wind and Large Wind CRDG cases, use the provided inputs but take the average of</a:t>
          </a:r>
          <a:r>
            <a:rPr lang="en-US" sz="1800" baseline="0"/>
            <a:t> the results given the following variations: </a:t>
          </a:r>
          <a:br>
            <a:rPr lang="en-US" sz="1800" baseline="0"/>
          </a:br>
          <a:r>
            <a:rPr lang="en-US" sz="1800" baseline="0"/>
            <a:t>(a) Federal Bonus Depreciation = "No" and % of Bonus Depreciation applied in Year 1 = "0%";</a:t>
          </a:r>
          <a:br>
            <a:rPr lang="en-US" sz="1800" baseline="0"/>
          </a:br>
          <a:r>
            <a:rPr lang="en-US" sz="1800" baseline="0"/>
            <a:t>(b) Federal Bonus Depreciation = "Yes" and % of Bonus Depreciation applied in Year 1 = "20%".</a:t>
          </a:r>
          <a:endParaRPr lang="en-US" sz="1800"/>
        </a:p>
      </xdr:txBody>
    </xdr:sp>
    <xdr:clientData/>
  </xdr:twoCellAnchor>
  <xdr:twoCellAnchor>
    <xdr:from>
      <xdr:col>19</xdr:col>
      <xdr:colOff>554182</xdr:colOff>
      <xdr:row>1184</xdr:row>
      <xdr:rowOff>1</xdr:rowOff>
    </xdr:from>
    <xdr:to>
      <xdr:col>21</xdr:col>
      <xdr:colOff>1167766</xdr:colOff>
      <xdr:row>1194</xdr:row>
      <xdr:rowOff>86592</xdr:rowOff>
    </xdr:to>
    <xdr:sp macro="" textlink="">
      <xdr:nvSpPr>
        <xdr:cNvPr id="3" name="Speech Bubble: Rectangle 2">
          <a:extLst>
            <a:ext uri="{FF2B5EF4-FFF2-40B4-BE49-F238E27FC236}">
              <a16:creationId xmlns:a16="http://schemas.microsoft.com/office/drawing/2014/main" id="{2BAC6580-6919-4FF5-94A1-52CD123E57D7}"/>
            </a:ext>
          </a:extLst>
        </xdr:cNvPr>
        <xdr:cNvSpPr/>
      </xdr:nvSpPr>
      <xdr:spPr>
        <a:xfrm>
          <a:off x="16608137" y="251390728"/>
          <a:ext cx="4769947" cy="2164773"/>
        </a:xfrm>
        <a:prstGeom prst="wedgeRectCallout">
          <a:avLst>
            <a:gd name="adj1" fmla="val -106590"/>
            <a:gd name="adj2" fmla="val 46189"/>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800"/>
            <a:t>For the Large Wind and Large Wind CRDG cases, use the provided inputs but take the average of</a:t>
          </a:r>
          <a:r>
            <a:rPr lang="en-US" sz="1800" baseline="0"/>
            <a:t> the results given the following variations: </a:t>
          </a:r>
          <a:br>
            <a:rPr lang="en-US" sz="1800" baseline="0"/>
          </a:br>
          <a:r>
            <a:rPr lang="en-US" sz="1800" baseline="0"/>
            <a:t>(a) Federal Bonus Depreciation = "No" and % of Bonus Depreciation applied in Year 1 = "0%";</a:t>
          </a:r>
          <a:br>
            <a:rPr lang="en-US" sz="1800" baseline="0"/>
          </a:br>
          <a:r>
            <a:rPr lang="en-US" sz="1800" baseline="0"/>
            <a:t>(b) Federal Bonus Depreciation = "Yes" and % of Bonus Depreciation applied in Year 1 = "20%".</a:t>
          </a:r>
          <a:endParaRPr lang="en-US" sz="18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83341</xdr:colOff>
      <xdr:row>37</xdr:row>
      <xdr:rowOff>130969</xdr:rowOff>
    </xdr:from>
    <xdr:to>
      <xdr:col>8</xdr:col>
      <xdr:colOff>452437</xdr:colOff>
      <xdr:row>61</xdr:row>
      <xdr:rowOff>35719</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535780</xdr:colOff>
      <xdr:row>37</xdr:row>
      <xdr:rowOff>154781</xdr:rowOff>
    </xdr:from>
    <xdr:to>
      <xdr:col>16</xdr:col>
      <xdr:colOff>23813</xdr:colOff>
      <xdr:row>61</xdr:row>
      <xdr:rowOff>71437</xdr:rowOff>
    </xdr:to>
    <xdr:graphicFrame macro="">
      <xdr:nvGraphicFramePr>
        <xdr:cNvPr id="4" name="Chart 3">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seadvantage.sharepoint.com/SEATeamsite/clientprojects/Shared%20Documents/RI%20OER/REG%20Support/2024%20CP%20Development/CREST%20Models/Second%20Meeting%20-%20Over%205%20MW%20and%20Adders/RI_REG_2024_CREST_Solar-Wind-Hydro_Adders_V2.xlsm" TargetMode="External"/><Relationship Id="rId1" Type="http://schemas.openxmlformats.org/officeDocument/2006/relationships/externalLinkPath" Target="https://seadvantage.sharepoint.com/SEATeamsite/clientprojects/Shared%20Documents/RI%20OER/REG%20Support/2024%20CP%20Development/CREST%20Models/Second%20Meeting%20-%20Over%205%20MW%20and%20Adders/RI_REG_2024_CREST_Solar-Wind-Hydro_Adders_V2.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seadvantage.sharepoint.com/SEATeamsite/clientprojects/Shared%20Documents/RI%20OER/REG%20Support/2024%20CP%20Development/CREST%20Models/Public%20Facing%20Models/RI_REG_2024_CREST_Solar-Wind-Hydro_Adders_V2_FOR%20PUBLIC%20MODEL.xlsm" TargetMode="External"/><Relationship Id="rId1" Type="http://schemas.openxmlformats.org/officeDocument/2006/relationships/externalLinkPath" Target="https://seadvantage.sharepoint.com/SEATeamsite/clientprojects/Shared%20Documents/RI%20OER/REG%20Support/2024%20CP%20Development/CREST%20Models/Public%20Facing%20Models/RI_REG_2024_CREST_Solar-Wind-Hydro_Adders_V2_FOR%20PUBLIC%20MODE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SULTS"/>
      <sheetName val="Input_Dashboard"/>
      <sheetName val="Adder Inputs"/>
      <sheetName val="Yearly Inputs"/>
      <sheetName val="Summary Results"/>
      <sheetName val="Annual Cash Flows &amp; Returns"/>
      <sheetName val="Inputs"/>
      <sheetName val="Cash Flow"/>
      <sheetName val="Complex Input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SULTS"/>
      <sheetName val="Inputs"/>
      <sheetName val="Input_Dashboard"/>
      <sheetName val="Adder Inputs"/>
      <sheetName val="Yearly Inputs"/>
      <sheetName val="Summary Results"/>
      <sheetName val="Annual Cash Flows &amp; Returns"/>
      <sheetName val="Cash Flow"/>
      <sheetName val="Complex Inputs"/>
    </sheetNames>
    <sheetDataSet>
      <sheetData sheetId="0">
        <row r="5">
          <cell r="E5">
            <v>2026</v>
          </cell>
        </row>
      </sheetData>
      <sheetData sheetId="1"/>
      <sheetData sheetId="2">
        <row r="141">
          <cell r="D141" t="str">
            <v>No</v>
          </cell>
        </row>
        <row r="142">
          <cell r="D142">
            <v>0</v>
          </cell>
        </row>
      </sheetData>
      <sheetData sheetId="3"/>
      <sheetData sheetId="4"/>
      <sheetData sheetId="5"/>
      <sheetData sheetId="6"/>
      <sheetData sheetId="7">
        <row r="45">
          <cell r="G45" t="str">
            <v/>
          </cell>
          <cell r="H45" t="str">
            <v/>
          </cell>
          <cell r="I45" t="str">
            <v/>
          </cell>
          <cell r="J45" t="str">
            <v/>
          </cell>
          <cell r="K45" t="str">
            <v/>
          </cell>
          <cell r="L45" t="str">
            <v/>
          </cell>
          <cell r="M45" t="str">
            <v/>
          </cell>
          <cell r="N45" t="str">
            <v/>
          </cell>
          <cell r="O45" t="str">
            <v/>
          </cell>
          <cell r="P45" t="str">
            <v/>
          </cell>
          <cell r="Q45" t="str">
            <v/>
          </cell>
          <cell r="R45" t="str">
            <v/>
          </cell>
          <cell r="S45">
            <v>13</v>
          </cell>
          <cell r="T45" t="str">
            <v/>
          </cell>
          <cell r="U45" t="str">
            <v/>
          </cell>
          <cell r="V45" t="str">
            <v/>
          </cell>
          <cell r="W45" t="str">
            <v/>
          </cell>
          <cell r="X45" t="str">
            <v/>
          </cell>
          <cell r="Y45" t="str">
            <v/>
          </cell>
          <cell r="Z45" t="str">
            <v/>
          </cell>
          <cell r="AA45" t="str">
            <v/>
          </cell>
          <cell r="AB45" t="str">
            <v/>
          </cell>
          <cell r="AC45" t="str">
            <v/>
          </cell>
          <cell r="AD45" t="str">
            <v/>
          </cell>
          <cell r="AE45" t="str">
            <v/>
          </cell>
          <cell r="AF45" t="str">
            <v/>
          </cell>
          <cell r="AG45" t="str">
            <v/>
          </cell>
          <cell r="AH45" t="str">
            <v/>
          </cell>
          <cell r="AI45" t="str">
            <v/>
          </cell>
          <cell r="AJ45" t="str">
            <v/>
          </cell>
        </row>
        <row r="131">
          <cell r="G131"/>
          <cell r="H131"/>
          <cell r="I131"/>
          <cell r="J131"/>
          <cell r="K131"/>
          <cell r="L131"/>
          <cell r="M131"/>
          <cell r="N131"/>
          <cell r="O131"/>
          <cell r="P131"/>
          <cell r="Q131"/>
          <cell r="R131"/>
          <cell r="S131"/>
          <cell r="T131"/>
          <cell r="U131"/>
          <cell r="V131"/>
          <cell r="W131"/>
          <cell r="X131"/>
          <cell r="Y131"/>
          <cell r="Z131"/>
          <cell r="AA131"/>
          <cell r="AB131"/>
          <cell r="AC131"/>
          <cell r="AD131"/>
          <cell r="AE131"/>
          <cell r="AF131"/>
          <cell r="AG131"/>
          <cell r="AH131"/>
          <cell r="AI131"/>
          <cell r="AJ131"/>
        </row>
        <row r="217">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row>
      </sheetData>
      <sheetData sheetId="8"/>
    </sheetDataSet>
  </externalBook>
</externalLink>
</file>

<file path=xl/persons/person.xml><?xml version="1.0" encoding="utf-8"?>
<personList xmlns="http://schemas.microsoft.com/office/spreadsheetml/2018/threadedcomments" xmlns:x="http://schemas.openxmlformats.org/spreadsheetml/2006/main">
  <person displayName="Kate Daniel" id="{D843B466-72FD-4CEE-80F2-3AB2A451E74E}" userId="S::kdaniel@seadvantage.com::acfed6ec-c1d0-4257-9597-4b64a8acd301" providerId="AD"/>
  <person displayName="Jacob Nichols" id="{557F0CA9-6687-4BA0-A38B-D277CDA7398F}" userId="S::jnichols@seadvantage.com::ab28c0c4-f438-4b4a-a777-3f4f7bf7bd7a"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213" dT="2023-12-04T23:28:33.17" personId="{557F0CA9-6687-4BA0-A38B-D277CDA7398F}" id="{38306DD5-DE73-47F8-84B0-1ABCE1DE1AF7}">
    <text>Unclear if this should be $28,000 (per the CREST model) or $30,753 (per the PPT).</text>
  </threadedComment>
</ThreadedComments>
</file>

<file path=xl/threadedComments/threadedComment2.xml><?xml version="1.0" encoding="utf-8"?>
<ThreadedComments xmlns="http://schemas.microsoft.com/office/spreadsheetml/2018/threadedcomments" xmlns:x="http://schemas.openxmlformats.org/spreadsheetml/2006/main">
  <threadedComment ref="C118" dT="2019-09-05T21:58:13.82" personId="{D843B466-72FD-4CEE-80F2-3AB2A451E74E}" id="{BA52F338-9655-4B6C-B1F7-74A3A23FD6F4}">
    <text>Confirm - should include adjustments for both state and federal grants?</text>
  </threadedComment>
  <threadedComment ref="C168" dT="2019-09-05T21:58:13.82" personId="{D843B466-72FD-4CEE-80F2-3AB2A451E74E}" id="{71DBFA3E-D441-4ABB-A36F-063B1A9780FD}">
    <text>Confirm - should include adjustments for both state and federal grants?</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 Id="rId4" Type="http://schemas.microsoft.com/office/2017/10/relationships/threadedComment" Target="../threadedComments/threadedComment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318E5-9DE8-4E1D-9D56-072314F554A8}">
  <sheetPr codeName="Sheet2">
    <tabColor rgb="FFFF0000"/>
  </sheetPr>
  <dimension ref="A1"/>
  <sheetViews>
    <sheetView workbookViewId="0">
      <selection activeCell="N19" sqref="N19"/>
    </sheetView>
  </sheetViews>
  <sheetFormatPr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10F98-C756-4B5E-A8B9-ECBB57017741}">
  <sheetPr>
    <tabColor theme="4"/>
  </sheetPr>
  <dimension ref="B2:AB1290"/>
  <sheetViews>
    <sheetView topLeftCell="A604" zoomScale="55" zoomScaleNormal="55" workbookViewId="0">
      <selection activeCell="W611" sqref="W611:W621"/>
    </sheetView>
  </sheetViews>
  <sheetFormatPr defaultRowHeight="15"/>
  <cols>
    <col min="1" max="1" width="3.5703125" customWidth="1"/>
    <col min="2" max="2" width="1" customWidth="1"/>
    <col min="3" max="3" width="7.85546875" customWidth="1"/>
    <col min="4" max="4" width="1.85546875" customWidth="1"/>
    <col min="5" max="5" width="54" customWidth="1"/>
    <col min="6" max="6" width="13.42578125" customWidth="1"/>
    <col min="7" max="7" width="24.140625" bestFit="1" customWidth="1"/>
    <col min="8" max="8" width="0.85546875" customWidth="1"/>
    <col min="9" max="9" width="6.85546875" customWidth="1"/>
    <col min="10" max="11" width="1.85546875" customWidth="1"/>
    <col min="12" max="12" width="1.140625" customWidth="1"/>
    <col min="13" max="13" width="7.85546875" customWidth="1"/>
    <col min="14" max="14" width="1" customWidth="1"/>
    <col min="15" max="15" width="55.42578125" customWidth="1"/>
    <col min="16" max="16" width="19" customWidth="1"/>
    <col min="17" max="17" width="24.140625" customWidth="1"/>
    <col min="18" max="18" width="0.85546875" customWidth="1"/>
    <col min="19" max="19" width="6.85546875" customWidth="1"/>
    <col min="20" max="20" width="11.140625" customWidth="1"/>
    <col min="21" max="21" width="49.42578125" customWidth="1"/>
    <col min="22" max="22" width="19.28515625" customWidth="1"/>
    <col min="23" max="23" width="20.85546875" customWidth="1"/>
    <col min="24" max="26" width="19.140625" customWidth="1"/>
    <col min="27" max="27" width="0.85546875" customWidth="1"/>
  </cols>
  <sheetData>
    <row r="2" spans="2:28" ht="36.75" thickBot="1">
      <c r="E2" s="731" t="s">
        <v>0</v>
      </c>
    </row>
    <row r="3" spans="2:28" ht="18.75" thickBot="1">
      <c r="B3" s="413"/>
      <c r="C3" s="772" t="s">
        <v>1</v>
      </c>
      <c r="D3" s="772"/>
      <c r="E3" s="772"/>
      <c r="F3" s="772"/>
      <c r="G3" s="772"/>
      <c r="H3" s="772"/>
      <c r="I3" s="772"/>
      <c r="J3" s="772"/>
      <c r="K3" s="772"/>
      <c r="L3" s="773"/>
      <c r="M3" s="773"/>
      <c r="N3" s="773"/>
      <c r="O3" s="773"/>
      <c r="P3" s="773"/>
      <c r="Q3" s="773"/>
      <c r="R3" s="773"/>
      <c r="S3" s="773"/>
      <c r="T3" s="773"/>
      <c r="U3" s="328"/>
      <c r="V3" s="329"/>
      <c r="W3" s="329"/>
      <c r="X3" s="329"/>
      <c r="Y3" s="329"/>
      <c r="Z3" s="329"/>
      <c r="AA3" s="329"/>
      <c r="AB3" s="330"/>
    </row>
    <row r="4" spans="2:28" ht="18">
      <c r="B4" s="11"/>
      <c r="C4" s="266"/>
      <c r="D4" s="266"/>
      <c r="E4" s="266"/>
      <c r="F4" s="266"/>
      <c r="G4" s="266"/>
      <c r="H4" s="266"/>
      <c r="I4" s="266"/>
      <c r="J4" s="266"/>
      <c r="K4" s="341"/>
      <c r="L4" s="265"/>
      <c r="M4" s="266"/>
      <c r="N4" s="266"/>
      <c r="O4" s="266"/>
      <c r="P4" s="266"/>
      <c r="Q4" s="266"/>
      <c r="R4" s="266"/>
      <c r="S4" s="266"/>
      <c r="T4" s="266"/>
      <c r="U4" s="266"/>
      <c r="V4" s="267"/>
      <c r="W4" s="267"/>
      <c r="X4" s="267"/>
      <c r="Y4" s="267"/>
      <c r="Z4" s="267"/>
      <c r="AA4" s="267"/>
      <c r="AB4" s="297"/>
    </row>
    <row r="5" spans="2:28" ht="18.75" thickBot="1">
      <c r="B5" s="11"/>
      <c r="C5" s="401" t="s">
        <v>2</v>
      </c>
      <c r="D5" s="14"/>
      <c r="E5" s="1"/>
      <c r="F5" s="15"/>
      <c r="G5" s="1"/>
      <c r="H5" s="392"/>
      <c r="I5" s="414" t="s">
        <v>3</v>
      </c>
      <c r="J5" s="1"/>
      <c r="K5" s="342"/>
      <c r="L5" s="298"/>
      <c r="M5" s="401" t="s">
        <v>2</v>
      </c>
      <c r="N5" s="15"/>
      <c r="O5" s="774" t="s">
        <v>4</v>
      </c>
      <c r="P5" s="774"/>
      <c r="Q5" s="420"/>
      <c r="R5" s="15"/>
      <c r="S5" s="401" t="s">
        <v>3</v>
      </c>
      <c r="T5" s="393"/>
      <c r="U5" s="14"/>
      <c r="V5" s="1"/>
      <c r="W5" s="1"/>
      <c r="X5" s="1"/>
      <c r="Y5" s="1"/>
      <c r="Z5" s="1"/>
      <c r="AA5" s="1"/>
      <c r="AB5" s="246"/>
    </row>
    <row r="6" spans="2:28" ht="18.75" thickBot="1">
      <c r="B6" s="415"/>
      <c r="C6" s="267"/>
      <c r="D6" s="267"/>
      <c r="E6" s="20"/>
      <c r="F6" s="16"/>
      <c r="G6" s="19"/>
      <c r="H6" s="416"/>
      <c r="I6" s="417"/>
      <c r="J6" s="418"/>
      <c r="K6" s="15"/>
      <c r="L6" s="415"/>
      <c r="M6" s="267"/>
      <c r="N6" s="267"/>
      <c r="O6" s="267"/>
      <c r="P6" s="267"/>
      <c r="Q6" s="267"/>
      <c r="R6" s="267"/>
      <c r="S6" s="267"/>
      <c r="T6" s="267"/>
      <c r="U6" s="267"/>
      <c r="V6" s="267"/>
      <c r="W6" s="267"/>
      <c r="X6" s="267"/>
      <c r="Y6" s="267"/>
      <c r="Z6" s="267"/>
      <c r="AA6" s="267"/>
      <c r="AB6" s="297"/>
    </row>
    <row r="7" spans="2:28" ht="21" thickBot="1">
      <c r="B7" s="11"/>
      <c r="C7" s="1"/>
      <c r="D7" s="1"/>
      <c r="E7" s="2" t="s">
        <v>5</v>
      </c>
      <c r="F7" s="347" t="s">
        <v>6</v>
      </c>
      <c r="G7" s="411" t="s">
        <v>7</v>
      </c>
      <c r="H7" s="57"/>
      <c r="I7" s="17"/>
      <c r="J7" s="402"/>
      <c r="K7" s="15"/>
      <c r="L7" s="11"/>
      <c r="M7" s="1"/>
      <c r="N7" s="1"/>
      <c r="O7" s="2" t="s">
        <v>8</v>
      </c>
      <c r="P7" s="347" t="s">
        <v>6</v>
      </c>
      <c r="Q7" s="411" t="s">
        <v>7</v>
      </c>
      <c r="R7" s="1"/>
      <c r="S7" s="1"/>
      <c r="T7" s="1"/>
      <c r="U7" s="645" t="s">
        <v>9</v>
      </c>
      <c r="V7" s="1"/>
      <c r="W7" s="1"/>
      <c r="X7" s="1"/>
      <c r="Y7" s="1"/>
      <c r="Z7" s="1"/>
      <c r="AA7" s="1"/>
      <c r="AB7" s="246"/>
    </row>
    <row r="8" spans="2:28" ht="15.75">
      <c r="B8" s="11"/>
      <c r="C8" s="317"/>
      <c r="D8" s="1"/>
      <c r="E8" s="458" t="s">
        <v>10</v>
      </c>
      <c r="F8" s="450" t="s">
        <v>11</v>
      </c>
      <c r="G8" s="717">
        <v>5.8</v>
      </c>
      <c r="H8" s="269"/>
      <c r="I8" s="12" t="s">
        <v>12</v>
      </c>
      <c r="J8" s="403"/>
      <c r="K8" s="15"/>
      <c r="L8" s="11"/>
      <c r="M8" s="371"/>
      <c r="N8" s="1">
        <f>IF(OR(Q8&lt;=0,Q8&gt;G12),1,0)</f>
        <v>0</v>
      </c>
      <c r="O8" s="458" t="s">
        <v>13</v>
      </c>
      <c r="P8" s="450" t="s">
        <v>14</v>
      </c>
      <c r="Q8" s="667">
        <v>15</v>
      </c>
      <c r="R8" s="272"/>
      <c r="S8" s="12" t="s">
        <v>12</v>
      </c>
      <c r="T8" s="340"/>
      <c r="U8" s="656" t="s">
        <v>15</v>
      </c>
      <c r="V8" s="657" t="s">
        <v>16</v>
      </c>
      <c r="W8" s="658" t="s">
        <v>17</v>
      </c>
      <c r="X8" s="1"/>
      <c r="Y8" s="1"/>
      <c r="Z8" s="1"/>
      <c r="AA8" s="1"/>
      <c r="AB8" s="246"/>
    </row>
    <row r="9" spans="2:28" ht="15.75">
      <c r="B9" s="11"/>
      <c r="C9" s="370"/>
      <c r="D9" s="1">
        <f>IF(OR(G9&lt;=0,G9&gt;1),1,0)</f>
        <v>0</v>
      </c>
      <c r="E9" s="451" t="s">
        <v>18</v>
      </c>
      <c r="F9" s="7" t="s">
        <v>19</v>
      </c>
      <c r="G9" s="472">
        <v>0.13400000000000001</v>
      </c>
      <c r="H9" s="270"/>
      <c r="I9" s="12" t="s">
        <v>12</v>
      </c>
      <c r="J9" s="403"/>
      <c r="K9" s="15"/>
      <c r="L9" s="11"/>
      <c r="M9" s="317"/>
      <c r="N9" s="1"/>
      <c r="O9" s="451" t="s">
        <v>20</v>
      </c>
      <c r="P9" s="7" t="s">
        <v>19</v>
      </c>
      <c r="Q9" s="472">
        <v>0</v>
      </c>
      <c r="R9" s="270">
        <v>0</v>
      </c>
      <c r="S9" s="12" t="s">
        <v>12</v>
      </c>
      <c r="T9" s="340"/>
      <c r="U9" s="474" t="s">
        <v>21</v>
      </c>
      <c r="V9" s="633" t="s">
        <v>22</v>
      </c>
      <c r="W9" s="646" t="s">
        <v>23</v>
      </c>
      <c r="X9" s="1"/>
      <c r="Y9" s="1"/>
      <c r="Z9" s="1"/>
      <c r="AA9" s="1"/>
      <c r="AB9" s="246"/>
    </row>
    <row r="10" spans="2:28" ht="16.5" thickBot="1">
      <c r="B10" s="11"/>
      <c r="C10" s="285"/>
      <c r="D10" s="1"/>
      <c r="E10" s="451" t="s">
        <v>24</v>
      </c>
      <c r="F10" s="8" t="s">
        <v>25</v>
      </c>
      <c r="G10" s="473"/>
      <c r="H10" s="271"/>
      <c r="I10" s="12" t="s">
        <v>12</v>
      </c>
      <c r="J10" s="403"/>
      <c r="K10" s="15"/>
      <c r="L10" s="11"/>
      <c r="M10" s="316"/>
      <c r="N10" s="1"/>
      <c r="O10" s="461" t="s">
        <v>26</v>
      </c>
      <c r="P10" s="466" t="s">
        <v>19</v>
      </c>
      <c r="Q10" s="472">
        <v>0</v>
      </c>
      <c r="R10" s="270"/>
      <c r="S10" s="12" t="s">
        <v>12</v>
      </c>
      <c r="T10" s="340"/>
      <c r="U10" s="451" t="s">
        <v>27</v>
      </c>
      <c r="V10" s="633" t="s">
        <v>22</v>
      </c>
      <c r="W10" s="646" t="s">
        <v>28</v>
      </c>
      <c r="X10" s="1"/>
      <c r="Y10" s="1"/>
      <c r="Z10" s="1"/>
      <c r="AA10" s="1"/>
      <c r="AB10" s="246"/>
    </row>
    <row r="11" spans="2:28" ht="16.5" thickBot="1">
      <c r="B11" s="11"/>
      <c r="C11" s="369"/>
      <c r="D11" s="1">
        <f>IF(OR(G11&lt;0,G11&gt;1),1,0)</f>
        <v>0</v>
      </c>
      <c r="E11" s="453" t="s">
        <v>29</v>
      </c>
      <c r="F11" s="7" t="s">
        <v>19</v>
      </c>
      <c r="G11" s="472">
        <v>0.01</v>
      </c>
      <c r="H11" s="270"/>
      <c r="I11" s="12" t="s">
        <v>12</v>
      </c>
      <c r="J11" s="403"/>
      <c r="K11" s="15"/>
      <c r="L11" s="298"/>
      <c r="M11" s="15"/>
      <c r="N11" s="15"/>
      <c r="O11" s="15"/>
      <c r="P11" s="15"/>
      <c r="Q11" s="15"/>
      <c r="R11" s="15"/>
      <c r="S11" s="15"/>
      <c r="T11" s="15"/>
      <c r="U11" s="639"/>
      <c r="V11" s="636"/>
      <c r="W11" s="640"/>
      <c r="X11" s="123"/>
      <c r="Y11" s="123"/>
      <c r="Z11" s="123"/>
      <c r="AA11" s="1"/>
      <c r="AB11" s="246"/>
    </row>
    <row r="12" spans="2:28" ht="16.5" thickBot="1">
      <c r="B12" s="11"/>
      <c r="C12" s="371"/>
      <c r="D12" s="1">
        <f>IF(OR(G12&lt;1,G12&gt;30),1,0)</f>
        <v>0</v>
      </c>
      <c r="E12" s="455" t="s">
        <v>30</v>
      </c>
      <c r="F12" s="466" t="s">
        <v>14</v>
      </c>
      <c r="G12" s="581">
        <v>25</v>
      </c>
      <c r="H12" s="272"/>
      <c r="I12" s="12" t="s">
        <v>12</v>
      </c>
      <c r="J12" s="403"/>
      <c r="K12" s="15"/>
      <c r="L12" s="298"/>
      <c r="M12" s="1"/>
      <c r="N12" s="1"/>
      <c r="O12" s="2" t="s">
        <v>31</v>
      </c>
      <c r="P12" s="3"/>
      <c r="Q12" s="4"/>
      <c r="R12" s="15"/>
      <c r="S12" s="12" t="s">
        <v>12</v>
      </c>
      <c r="T12" s="123"/>
      <c r="U12" s="474" t="s">
        <v>32</v>
      </c>
      <c r="V12" s="634" t="s">
        <v>33</v>
      </c>
      <c r="W12" s="669">
        <v>0</v>
      </c>
      <c r="X12" s="178"/>
      <c r="Y12" s="178"/>
      <c r="Z12" s="178"/>
      <c r="AA12" s="1"/>
      <c r="AB12" s="246"/>
    </row>
    <row r="13" spans="2:28" ht="16.5" thickBot="1">
      <c r="B13" s="11"/>
      <c r="C13" s="1"/>
      <c r="D13" s="1"/>
      <c r="E13" s="1"/>
      <c r="F13" s="1"/>
      <c r="G13" s="17"/>
      <c r="H13" s="17"/>
      <c r="I13" s="13"/>
      <c r="J13" s="403"/>
      <c r="K13" s="15"/>
      <c r="L13" s="298"/>
      <c r="M13" s="369"/>
      <c r="N13" s="1"/>
      <c r="O13" s="500" t="s">
        <v>34</v>
      </c>
      <c r="P13" s="501"/>
      <c r="Q13" s="502" t="s">
        <v>35</v>
      </c>
      <c r="R13" s="1"/>
      <c r="S13" s="345" t="s">
        <v>12</v>
      </c>
      <c r="T13" s="346">
        <f>IF(Q8&lt;G12,1,0)</f>
        <v>1</v>
      </c>
      <c r="U13" s="641" t="s">
        <v>36</v>
      </c>
      <c r="V13" s="635" t="s">
        <v>19</v>
      </c>
      <c r="W13" s="670">
        <v>0</v>
      </c>
      <c r="X13" s="1"/>
      <c r="Y13" s="123"/>
      <c r="Z13" s="123"/>
      <c r="AA13" s="1"/>
      <c r="AB13" s="246"/>
    </row>
    <row r="14" spans="2:28" ht="16.5" thickBot="1">
      <c r="B14" s="11"/>
      <c r="C14" s="1"/>
      <c r="D14" s="1"/>
      <c r="E14" s="10" t="s">
        <v>37</v>
      </c>
      <c r="F14" s="347" t="s">
        <v>6</v>
      </c>
      <c r="G14" s="411" t="s">
        <v>7</v>
      </c>
      <c r="H14" s="283"/>
      <c r="I14" s="13"/>
      <c r="J14" s="403"/>
      <c r="K14" s="15"/>
      <c r="L14" s="298"/>
      <c r="M14" s="369"/>
      <c r="N14" s="1">
        <f>IF(OR(Q14&lt;=0,Q14=""),1,0)</f>
        <v>0</v>
      </c>
      <c r="O14" s="503" t="s">
        <v>38</v>
      </c>
      <c r="P14" s="343" t="s">
        <v>39</v>
      </c>
      <c r="Q14" s="504">
        <v>5</v>
      </c>
      <c r="R14" s="1"/>
      <c r="S14" s="345" t="s">
        <v>12</v>
      </c>
      <c r="T14" s="346">
        <f>IF(AND($Q$8&lt;$G$12,$Q$13="Year One"),1,0)</f>
        <v>0</v>
      </c>
      <c r="U14" s="642"/>
      <c r="V14" s="637"/>
      <c r="W14" s="643"/>
      <c r="X14" s="1"/>
      <c r="Y14" s="123"/>
      <c r="Z14" s="123"/>
      <c r="AA14" s="1"/>
      <c r="AB14" s="246"/>
    </row>
    <row r="15" spans="2:28" ht="16.5" thickBot="1">
      <c r="B15" s="11"/>
      <c r="C15" s="318"/>
      <c r="D15" s="1"/>
      <c r="E15" s="438" t="s">
        <v>40</v>
      </c>
      <c r="F15" s="439"/>
      <c r="G15" s="440" t="s">
        <v>41</v>
      </c>
      <c r="H15" s="281"/>
      <c r="I15" s="12" t="s">
        <v>12</v>
      </c>
      <c r="J15" s="403"/>
      <c r="K15" s="15"/>
      <c r="L15" s="298"/>
      <c r="M15" s="369"/>
      <c r="N15" s="1">
        <f>IF(OR(Q15&lt;=0,Q15=""),1,0)</f>
        <v>0</v>
      </c>
      <c r="O15" s="505" t="s">
        <v>42</v>
      </c>
      <c r="P15" s="344" t="s">
        <v>19</v>
      </c>
      <c r="Q15" s="506">
        <v>0.03</v>
      </c>
      <c r="R15" s="1"/>
      <c r="S15" s="368" t="s">
        <v>12</v>
      </c>
      <c r="T15" s="346">
        <f>IF(AND($Q$8&lt;$G$12,$Q$13="Year One"),1,0)</f>
        <v>0</v>
      </c>
      <c r="U15" s="451" t="s">
        <v>43</v>
      </c>
      <c r="V15" s="633" t="s">
        <v>19</v>
      </c>
      <c r="W15" s="581">
        <v>0</v>
      </c>
      <c r="X15" s="1"/>
      <c r="Y15" s="123"/>
      <c r="Z15" s="123"/>
      <c r="AA15" s="1"/>
      <c r="AB15" s="246"/>
    </row>
    <row r="16" spans="2:28" ht="16.5" thickBot="1">
      <c r="B16" s="11"/>
      <c r="C16" s="319"/>
      <c r="D16" s="1"/>
      <c r="E16" s="441" t="s">
        <v>44</v>
      </c>
      <c r="F16" s="442" t="s">
        <v>33</v>
      </c>
      <c r="G16" s="443">
        <v>2500</v>
      </c>
      <c r="H16" s="273"/>
      <c r="I16" s="366" t="s">
        <v>12</v>
      </c>
      <c r="J16" s="404"/>
      <c r="K16" s="15"/>
      <c r="L16" s="298"/>
      <c r="M16" s="1"/>
      <c r="N16" s="1"/>
      <c r="O16" s="507" t="str">
        <f>IF(OR($Q$13="Year One",$Q$8=$G$12),"","Click Here for Complex Input Worksheet")</f>
        <v>Click Here for Complex Input Worksheet</v>
      </c>
      <c r="P16" s="508"/>
      <c r="Q16" s="509"/>
      <c r="R16" s="1"/>
      <c r="S16" s="366" t="s">
        <v>12</v>
      </c>
      <c r="T16" s="346">
        <f>IF(AND($Q$8&lt;$G$12,$Q$13="Year-by-Year"),1,0)</f>
        <v>1</v>
      </c>
      <c r="U16" s="451" t="s">
        <v>45</v>
      </c>
      <c r="V16" s="633" t="s">
        <v>19</v>
      </c>
      <c r="W16" s="669">
        <v>0</v>
      </c>
      <c r="X16" s="123"/>
      <c r="Y16" s="123"/>
      <c r="Z16" s="123"/>
      <c r="AA16" s="1"/>
      <c r="AB16" s="246"/>
    </row>
    <row r="17" spans="2:28" ht="16.5" thickBot="1">
      <c r="B17" s="11"/>
      <c r="C17" s="320"/>
      <c r="D17" s="1"/>
      <c r="E17" s="444" t="s">
        <v>46</v>
      </c>
      <c r="F17" s="343" t="s">
        <v>47</v>
      </c>
      <c r="G17" s="718">
        <v>25802.449351093783</v>
      </c>
      <c r="H17" s="274"/>
      <c r="I17" s="366" t="s">
        <v>12</v>
      </c>
      <c r="J17" s="403"/>
      <c r="K17" s="15"/>
      <c r="L17" s="298"/>
      <c r="M17" s="1"/>
      <c r="N17" s="1"/>
      <c r="O17" s="1"/>
      <c r="P17" s="1"/>
      <c r="Q17" s="1"/>
      <c r="R17" s="1"/>
      <c r="S17" s="1"/>
      <c r="T17" s="179"/>
      <c r="U17" s="644"/>
      <c r="V17" s="638"/>
      <c r="W17" s="643"/>
      <c r="X17" s="123"/>
      <c r="Y17" s="123"/>
      <c r="Z17" s="123"/>
      <c r="AA17" s="1"/>
      <c r="AB17" s="246"/>
    </row>
    <row r="18" spans="2:28" ht="16.5" thickBot="1">
      <c r="B18" s="11"/>
      <c r="C18" s="376"/>
      <c r="D18" s="1"/>
      <c r="E18" s="444" t="s">
        <v>48</v>
      </c>
      <c r="F18" s="343" t="s">
        <v>47</v>
      </c>
      <c r="G18" s="718">
        <v>0</v>
      </c>
      <c r="H18" s="274"/>
      <c r="I18" s="366" t="s">
        <v>12</v>
      </c>
      <c r="J18" s="403"/>
      <c r="K18" s="15"/>
      <c r="L18" s="298"/>
      <c r="M18" s="1"/>
      <c r="N18" s="1"/>
      <c r="O18" s="5" t="s">
        <v>49</v>
      </c>
      <c r="P18" s="347" t="s">
        <v>6</v>
      </c>
      <c r="Q18" s="411" t="s">
        <v>7</v>
      </c>
      <c r="R18" s="120"/>
      <c r="S18" s="13"/>
      <c r="T18" s="179"/>
      <c r="U18" s="641" t="s">
        <v>50</v>
      </c>
      <c r="V18" s="257" t="s">
        <v>47</v>
      </c>
      <c r="W18" s="581">
        <v>0</v>
      </c>
      <c r="X18" s="123"/>
      <c r="Y18" s="1"/>
      <c r="Z18" s="1"/>
      <c r="AA18" s="1"/>
      <c r="AB18" s="246"/>
    </row>
    <row r="19" spans="2:28" ht="16.5" thickBot="1">
      <c r="B19" s="11"/>
      <c r="C19" s="376"/>
      <c r="D19" s="1"/>
      <c r="E19" s="444" t="s">
        <v>51</v>
      </c>
      <c r="F19" s="343" t="s">
        <v>47</v>
      </c>
      <c r="G19" s="718">
        <v>0</v>
      </c>
      <c r="H19" s="274"/>
      <c r="I19" s="366" t="s">
        <v>12</v>
      </c>
      <c r="J19" s="403"/>
      <c r="K19" s="15"/>
      <c r="L19" s="298"/>
      <c r="M19" s="374"/>
      <c r="N19" s="1"/>
      <c r="O19" s="518" t="s">
        <v>52</v>
      </c>
      <c r="P19" s="519"/>
      <c r="Q19" s="520" t="s">
        <v>53</v>
      </c>
      <c r="R19" s="1"/>
      <c r="S19" s="12" t="s">
        <v>12</v>
      </c>
      <c r="T19" s="1"/>
      <c r="U19" s="489" t="s">
        <v>54</v>
      </c>
      <c r="V19" s="719" t="s">
        <v>55</v>
      </c>
      <c r="W19" s="720">
        <v>0</v>
      </c>
      <c r="X19" s="1"/>
      <c r="Y19" s="1"/>
      <c r="Z19" s="1"/>
      <c r="AA19" s="1"/>
      <c r="AB19" s="246"/>
    </row>
    <row r="20" spans="2:28" ht="15.75">
      <c r="B20" s="11"/>
      <c r="C20" s="376"/>
      <c r="D20" s="1"/>
      <c r="E20" s="604" t="s">
        <v>56</v>
      </c>
      <c r="F20" s="343" t="s">
        <v>47</v>
      </c>
      <c r="G20" s="721">
        <v>0</v>
      </c>
      <c r="H20" s="274"/>
      <c r="I20" s="366" t="s">
        <v>12</v>
      </c>
      <c r="J20" s="403"/>
      <c r="K20" s="15"/>
      <c r="L20" s="298"/>
      <c r="M20" s="374"/>
      <c r="N20" s="1"/>
      <c r="O20" s="458" t="s">
        <v>57</v>
      </c>
      <c r="P20" s="450"/>
      <c r="Q20" s="496" t="s">
        <v>58</v>
      </c>
      <c r="R20" s="15"/>
      <c r="S20" s="12" t="s">
        <v>12</v>
      </c>
      <c r="T20" s="15"/>
      <c r="U20" s="1"/>
      <c r="V20" s="1"/>
      <c r="W20" s="1"/>
      <c r="X20" s="1"/>
      <c r="Y20" s="1"/>
      <c r="Z20" s="1"/>
      <c r="AA20" s="1"/>
      <c r="AB20" s="246"/>
    </row>
    <row r="21" spans="2:28" ht="15.75">
      <c r="B21" s="11"/>
      <c r="C21" s="321"/>
      <c r="D21" s="1"/>
      <c r="E21" s="444" t="s">
        <v>59</v>
      </c>
      <c r="F21" s="343" t="s">
        <v>47</v>
      </c>
      <c r="G21" s="445"/>
      <c r="H21" s="275"/>
      <c r="I21" s="366" t="s">
        <v>12</v>
      </c>
      <c r="J21" s="403"/>
      <c r="K21" s="15"/>
      <c r="L21" s="298"/>
      <c r="M21" s="374"/>
      <c r="N21" s="1">
        <f>IF(OR(Q21&lt;0,Q21&gt;1,Q21=""),1,0)</f>
        <v>0</v>
      </c>
      <c r="O21" s="468" t="s">
        <v>60</v>
      </c>
      <c r="P21" s="6" t="s">
        <v>19</v>
      </c>
      <c r="Q21" s="674">
        <v>0.3</v>
      </c>
      <c r="R21" s="15"/>
      <c r="S21" s="12" t="s">
        <v>12</v>
      </c>
      <c r="T21" s="15"/>
      <c r="U21" s="1"/>
      <c r="V21" s="1"/>
      <c r="W21" s="1"/>
      <c r="X21" s="1"/>
      <c r="Y21" s="1"/>
      <c r="Z21" s="1"/>
      <c r="AA21" s="1"/>
      <c r="AB21" s="246"/>
    </row>
    <row r="22" spans="2:28" ht="16.5" thickBot="1">
      <c r="B22" s="11"/>
      <c r="C22" s="321"/>
      <c r="D22" s="1"/>
      <c r="E22" s="446" t="s">
        <v>61</v>
      </c>
      <c r="F22" s="447" t="str">
        <f>IF($G$15="Complex","$","")</f>
        <v/>
      </c>
      <c r="G22" s="448"/>
      <c r="H22" s="276"/>
      <c r="I22" s="366" t="s">
        <v>12</v>
      </c>
      <c r="J22" s="403"/>
      <c r="K22" s="15"/>
      <c r="L22" s="298"/>
      <c r="M22" s="369"/>
      <c r="N22" s="1">
        <f>IF(OR(Q22&lt;0,Q22&gt;1,Q22=""),1,0)</f>
        <v>0</v>
      </c>
      <c r="O22" s="483" t="s">
        <v>63</v>
      </c>
      <c r="P22" s="24" t="s">
        <v>19</v>
      </c>
      <c r="Q22" s="674">
        <v>1</v>
      </c>
      <c r="R22" s="121"/>
      <c r="S22" s="12" t="s">
        <v>12</v>
      </c>
      <c r="T22" s="367">
        <f>IF(AND($Q$19="Cost-Based",$Q$20="ITC"),1,0)</f>
        <v>1</v>
      </c>
      <c r="U22" s="1"/>
      <c r="V22" s="1"/>
      <c r="W22" s="1"/>
      <c r="X22" s="1"/>
      <c r="Y22" s="1"/>
      <c r="Z22" s="1"/>
      <c r="AA22" s="1"/>
      <c r="AB22" s="246"/>
    </row>
    <row r="23" spans="2:28" ht="16.5" thickBot="1">
      <c r="B23" s="11"/>
      <c r="C23" s="323"/>
      <c r="D23" s="1"/>
      <c r="E23" s="449" t="s">
        <v>44</v>
      </c>
      <c r="F23" s="450" t="s">
        <v>47</v>
      </c>
      <c r="G23" s="675"/>
      <c r="H23" s="276"/>
      <c r="I23" s="12" t="s">
        <v>12</v>
      </c>
      <c r="J23" s="403"/>
      <c r="K23" s="15"/>
      <c r="L23" s="298"/>
      <c r="M23" s="1"/>
      <c r="N23" s="1"/>
      <c r="O23" s="455" t="s">
        <v>64</v>
      </c>
      <c r="P23" s="462" t="s">
        <v>47</v>
      </c>
      <c r="Q23" s="676"/>
      <c r="R23" s="121"/>
      <c r="S23" s="12" t="s">
        <v>12</v>
      </c>
      <c r="T23" s="15"/>
      <c r="U23" s="1"/>
      <c r="V23" s="1"/>
      <c r="W23" s="1"/>
      <c r="X23" s="1"/>
      <c r="Y23" s="1"/>
      <c r="Z23" s="1"/>
      <c r="AA23" s="1"/>
      <c r="AB23" s="246"/>
    </row>
    <row r="24" spans="2:28" ht="15.75">
      <c r="B24" s="11"/>
      <c r="C24" s="323"/>
      <c r="D24" s="1"/>
      <c r="E24" s="451" t="s">
        <v>44</v>
      </c>
      <c r="F24" s="8" t="str">
        <f>F16</f>
        <v>$/kW</v>
      </c>
      <c r="G24" s="452"/>
      <c r="H24" s="284"/>
      <c r="I24" s="12" t="s">
        <v>12</v>
      </c>
      <c r="J24" s="403"/>
      <c r="K24" s="15"/>
      <c r="L24" s="298"/>
      <c r="M24" s="374"/>
      <c r="N24" s="1"/>
      <c r="O24" s="449" t="s">
        <v>65</v>
      </c>
      <c r="P24" s="522"/>
      <c r="Q24" s="510" t="s">
        <v>66</v>
      </c>
      <c r="R24" s="1"/>
      <c r="S24" s="12" t="s">
        <v>12</v>
      </c>
      <c r="T24" s="1"/>
      <c r="U24" s="1"/>
      <c r="V24" s="1"/>
      <c r="W24" s="1"/>
      <c r="X24" s="1"/>
      <c r="Y24" s="1"/>
      <c r="Z24" s="1"/>
      <c r="AA24" s="1"/>
      <c r="AB24" s="246"/>
    </row>
    <row r="25" spans="2:28" ht="15.75">
      <c r="B25" s="11"/>
      <c r="C25" s="322"/>
      <c r="D25" s="1"/>
      <c r="E25" s="453" t="s">
        <v>67</v>
      </c>
      <c r="F25" s="7" t="s">
        <v>47</v>
      </c>
      <c r="G25" s="454"/>
      <c r="H25" s="277"/>
      <c r="I25" s="12" t="s">
        <v>12</v>
      </c>
      <c r="J25" s="403"/>
      <c r="K25" s="15"/>
      <c r="L25" s="298"/>
      <c r="M25" s="369"/>
      <c r="N25" s="1"/>
      <c r="O25" s="451" t="s">
        <v>68</v>
      </c>
      <c r="P25" s="8" t="s">
        <v>39</v>
      </c>
      <c r="Q25" s="512">
        <v>0</v>
      </c>
      <c r="R25" s="15"/>
      <c r="S25" s="12" t="s">
        <v>12</v>
      </c>
      <c r="T25" s="15"/>
      <c r="U25" s="1"/>
      <c r="V25" s="1"/>
      <c r="W25" s="1"/>
      <c r="X25" s="1"/>
      <c r="Y25" s="1"/>
      <c r="Z25" s="1"/>
      <c r="AA25" s="1"/>
      <c r="AB25" s="246"/>
    </row>
    <row r="26" spans="2:28" ht="15.75">
      <c r="B26" s="11"/>
      <c r="C26" s="322"/>
      <c r="D26" s="1"/>
      <c r="E26" s="453" t="s">
        <v>69</v>
      </c>
      <c r="F26" s="7" t="s">
        <v>47</v>
      </c>
      <c r="G26" s="452"/>
      <c r="H26" s="276"/>
      <c r="I26" s="12" t="s">
        <v>12</v>
      </c>
      <c r="J26" s="403"/>
      <c r="K26" s="15"/>
      <c r="L26" s="298"/>
      <c r="M26" s="369"/>
      <c r="N26" s="1">
        <f>IF(OR(Q26&lt;0,Q26&gt;G12),1,0)</f>
        <v>0</v>
      </c>
      <c r="O26" s="451" t="s">
        <v>70</v>
      </c>
      <c r="P26" s="8" t="s">
        <v>71</v>
      </c>
      <c r="Q26" s="464">
        <v>0</v>
      </c>
      <c r="R26" s="15"/>
      <c r="S26" s="12" t="s">
        <v>12</v>
      </c>
      <c r="T26" s="15"/>
      <c r="U26" s="1"/>
      <c r="V26" s="1"/>
      <c r="W26" s="1"/>
      <c r="X26" s="1"/>
      <c r="Y26" s="1"/>
      <c r="Z26" s="1"/>
      <c r="AA26" s="1"/>
      <c r="AB26" s="246"/>
    </row>
    <row r="27" spans="2:28" ht="16.5" thickBot="1">
      <c r="B27" s="11"/>
      <c r="C27" s="323"/>
      <c r="D27" s="1"/>
      <c r="E27" s="455" t="s">
        <v>69</v>
      </c>
      <c r="F27" s="456" t="str">
        <f>F16</f>
        <v>$/kW</v>
      </c>
      <c r="G27" s="457"/>
      <c r="H27" s="284"/>
      <c r="I27" s="12" t="s">
        <v>12</v>
      </c>
      <c r="J27" s="403"/>
      <c r="K27" s="15"/>
      <c r="L27" s="298"/>
      <c r="M27" s="369"/>
      <c r="N27" s="1"/>
      <c r="O27" s="451" t="s">
        <v>72</v>
      </c>
      <c r="P27" s="6" t="s">
        <v>19</v>
      </c>
      <c r="Q27" s="497">
        <v>0</v>
      </c>
      <c r="R27" s="15"/>
      <c r="S27" s="12" t="s">
        <v>12</v>
      </c>
      <c r="T27" s="15"/>
      <c r="U27" s="1"/>
      <c r="V27" s="1"/>
      <c r="W27" s="1"/>
      <c r="X27" s="1"/>
      <c r="Y27" s="1"/>
      <c r="Z27" s="1"/>
      <c r="AA27" s="1"/>
      <c r="AB27" s="246"/>
    </row>
    <row r="28" spans="2:28" ht="16.5" thickBot="1">
      <c r="B28" s="11"/>
      <c r="C28" s="324"/>
      <c r="D28" s="1"/>
      <c r="E28" s="18"/>
      <c r="F28" s="1"/>
      <c r="G28" s="1"/>
      <c r="H28" s="1"/>
      <c r="I28" s="17"/>
      <c r="J28" s="403"/>
      <c r="K28" s="15"/>
      <c r="L28" s="298"/>
      <c r="M28" s="369"/>
      <c r="N28" s="1">
        <f>IF(OR(Q28&lt;0,Q28&gt;1),1,0)</f>
        <v>0</v>
      </c>
      <c r="O28" s="455" t="s">
        <v>73</v>
      </c>
      <c r="P28" s="462" t="s">
        <v>19</v>
      </c>
      <c r="Q28" s="523">
        <v>0</v>
      </c>
      <c r="R28" s="15"/>
      <c r="S28" s="12" t="s">
        <v>12</v>
      </c>
      <c r="T28" s="15"/>
      <c r="U28" s="1"/>
      <c r="V28" s="1"/>
      <c r="W28" s="1"/>
      <c r="X28" s="1"/>
      <c r="Y28" s="1"/>
      <c r="Z28" s="1"/>
      <c r="AA28" s="1"/>
      <c r="AB28" s="246"/>
    </row>
    <row r="29" spans="2:28" ht="16.5" thickBot="1">
      <c r="B29" s="11"/>
      <c r="C29" s="1"/>
      <c r="D29" s="1"/>
      <c r="E29" s="5" t="s">
        <v>74</v>
      </c>
      <c r="F29" s="347" t="s">
        <v>6</v>
      </c>
      <c r="G29" s="411" t="s">
        <v>7</v>
      </c>
      <c r="H29" s="285"/>
      <c r="I29" s="17"/>
      <c r="J29" s="403"/>
      <c r="K29" s="15"/>
      <c r="L29" s="298"/>
      <c r="M29" s="1"/>
      <c r="N29" s="1"/>
      <c r="O29" s="296" t="s">
        <v>75</v>
      </c>
      <c r="P29" s="521"/>
      <c r="Q29" s="514" t="s">
        <v>76</v>
      </c>
      <c r="R29" s="121"/>
      <c r="S29" s="12" t="s">
        <v>12</v>
      </c>
      <c r="T29" s="15"/>
      <c r="U29" s="1"/>
      <c r="V29" s="1"/>
      <c r="W29" s="1"/>
      <c r="X29" s="1"/>
      <c r="Y29" s="1"/>
      <c r="Z29" s="1"/>
      <c r="AA29" s="1"/>
      <c r="AB29" s="246"/>
    </row>
    <row r="30" spans="2:28" ht="16.5" thickBot="1">
      <c r="B30" s="11"/>
      <c r="C30" s="318"/>
      <c r="D30" s="1"/>
      <c r="E30" s="553" t="s">
        <v>40</v>
      </c>
      <c r="F30" s="554"/>
      <c r="G30" s="555" t="s">
        <v>41</v>
      </c>
      <c r="H30" s="281"/>
      <c r="I30" s="12" t="s">
        <v>12</v>
      </c>
      <c r="J30" s="403"/>
      <c r="K30" s="15"/>
      <c r="L30" s="11"/>
      <c r="M30" s="1"/>
      <c r="N30" s="1"/>
      <c r="O30" s="415"/>
      <c r="P30" s="267"/>
      <c r="Q30" s="297"/>
      <c r="R30" s="1"/>
      <c r="S30" s="1"/>
      <c r="T30" s="1"/>
      <c r="U30" s="1"/>
      <c r="V30" s="1"/>
      <c r="W30" s="1"/>
      <c r="X30" s="1"/>
      <c r="Y30" s="1"/>
      <c r="Z30" s="1"/>
      <c r="AA30" s="1"/>
      <c r="AB30" s="246"/>
    </row>
    <row r="31" spans="2:28" ht="15.75">
      <c r="B31" s="11"/>
      <c r="C31" s="325"/>
      <c r="D31" s="1"/>
      <c r="E31" s="458" t="s">
        <v>77</v>
      </c>
      <c r="F31" s="459" t="s">
        <v>78</v>
      </c>
      <c r="G31" s="460">
        <v>29</v>
      </c>
      <c r="H31" s="286"/>
      <c r="I31" s="12" t="s">
        <v>12</v>
      </c>
      <c r="J31" s="403"/>
      <c r="K31" s="15"/>
      <c r="L31" s="298"/>
      <c r="M31" s="369"/>
      <c r="N31" s="1"/>
      <c r="O31" s="515" t="s">
        <v>79</v>
      </c>
      <c r="P31" s="459" t="s">
        <v>47</v>
      </c>
      <c r="Q31" s="516">
        <v>0</v>
      </c>
      <c r="R31" s="121"/>
      <c r="S31" s="12" t="s">
        <v>12</v>
      </c>
      <c r="T31" s="1"/>
      <c r="U31" s="1"/>
      <c r="V31" s="1"/>
      <c r="W31" s="1"/>
      <c r="X31" s="1"/>
      <c r="Y31" s="1"/>
      <c r="Z31" s="1"/>
      <c r="AA31" s="1"/>
      <c r="AB31" s="246"/>
    </row>
    <row r="32" spans="2:28" ht="16.5" thickBot="1">
      <c r="B32" s="11"/>
      <c r="C32" s="369"/>
      <c r="D32" s="1"/>
      <c r="E32" s="453" t="s">
        <v>80</v>
      </c>
      <c r="F32" s="7" t="s">
        <v>81</v>
      </c>
      <c r="G32" s="512">
        <v>0</v>
      </c>
      <c r="H32" s="287"/>
      <c r="I32" s="12" t="s">
        <v>12</v>
      </c>
      <c r="J32" s="403"/>
      <c r="K32" s="15"/>
      <c r="L32" s="298"/>
      <c r="M32" s="374"/>
      <c r="N32" s="1"/>
      <c r="O32" s="455" t="s">
        <v>82</v>
      </c>
      <c r="P32" s="466"/>
      <c r="Q32" s="517" t="s">
        <v>83</v>
      </c>
      <c r="R32" s="21"/>
      <c r="S32" s="12" t="s">
        <v>12</v>
      </c>
      <c r="T32" s="1"/>
      <c r="U32" s="1"/>
      <c r="V32" s="1"/>
      <c r="W32" s="1"/>
      <c r="X32" s="1"/>
      <c r="Y32" s="1"/>
      <c r="Z32" s="1"/>
      <c r="AA32" s="1"/>
      <c r="AB32" s="246"/>
    </row>
    <row r="33" spans="2:28" ht="16.5" thickBot="1">
      <c r="B33" s="11"/>
      <c r="C33" s="326"/>
      <c r="D33" s="15"/>
      <c r="E33" s="474" t="s">
        <v>84</v>
      </c>
      <c r="F33" s="7" t="s">
        <v>19</v>
      </c>
      <c r="G33" s="475">
        <v>0.02</v>
      </c>
      <c r="H33" s="270"/>
      <c r="I33" s="12" t="s">
        <v>12</v>
      </c>
      <c r="J33" s="404"/>
      <c r="K33" s="15"/>
      <c r="L33" s="298"/>
      <c r="M33" s="1"/>
      <c r="N33" s="1"/>
      <c r="O33" s="1"/>
      <c r="P33" s="1"/>
      <c r="Q33" s="1"/>
      <c r="R33" s="1"/>
      <c r="S33" s="1"/>
      <c r="T33" s="1"/>
      <c r="U33" s="1"/>
      <c r="V33" s="1"/>
      <c r="W33" s="1"/>
      <c r="X33" s="1"/>
      <c r="Y33" s="1"/>
      <c r="Z33" s="1"/>
      <c r="AA33" s="1"/>
      <c r="AB33" s="246"/>
    </row>
    <row r="34" spans="2:28" ht="16.5" thickBot="1">
      <c r="B34" s="11"/>
      <c r="C34" s="317"/>
      <c r="D34" s="1"/>
      <c r="E34" s="451" t="s">
        <v>85</v>
      </c>
      <c r="F34" s="7" t="s">
        <v>86</v>
      </c>
      <c r="G34" s="582">
        <v>10</v>
      </c>
      <c r="H34" s="272"/>
      <c r="I34" s="12" t="s">
        <v>12</v>
      </c>
      <c r="J34" s="404"/>
      <c r="K34" s="15"/>
      <c r="L34" s="298"/>
      <c r="M34" s="1"/>
      <c r="N34" s="1"/>
      <c r="O34" s="5" t="s">
        <v>87</v>
      </c>
      <c r="P34" s="347" t="s">
        <v>6</v>
      </c>
      <c r="Q34" s="411" t="s">
        <v>7</v>
      </c>
      <c r="R34" s="15"/>
      <c r="S34" s="1"/>
      <c r="T34" s="412"/>
      <c r="U34" s="677"/>
      <c r="V34" s="1"/>
      <c r="W34" s="1"/>
      <c r="X34" s="1"/>
      <c r="Y34" s="1"/>
      <c r="Z34" s="1"/>
      <c r="AA34" s="1"/>
      <c r="AB34" s="246"/>
    </row>
    <row r="35" spans="2:28" ht="16.5" thickBot="1">
      <c r="B35" s="11"/>
      <c r="C35" s="326"/>
      <c r="D35" s="15"/>
      <c r="E35" s="465" t="s">
        <v>88</v>
      </c>
      <c r="F35" s="466" t="s">
        <v>19</v>
      </c>
      <c r="G35" s="475">
        <v>0.02</v>
      </c>
      <c r="H35" s="278"/>
      <c r="I35" s="12" t="s">
        <v>12</v>
      </c>
      <c r="J35" s="403"/>
      <c r="K35" s="15"/>
      <c r="L35" s="298"/>
      <c r="M35" s="374"/>
      <c r="N35" s="1"/>
      <c r="O35" s="568" t="s">
        <v>89</v>
      </c>
      <c r="P35" s="569"/>
      <c r="Q35" s="570" t="s">
        <v>90</v>
      </c>
      <c r="R35" s="1"/>
      <c r="S35" s="12" t="s">
        <v>12</v>
      </c>
      <c r="T35" s="1"/>
      <c r="U35" s="1"/>
      <c r="V35" s="1"/>
      <c r="W35" s="1"/>
      <c r="X35" s="1"/>
      <c r="Y35" s="1"/>
      <c r="Z35" s="1"/>
      <c r="AA35" s="1"/>
      <c r="AB35" s="246"/>
    </row>
    <row r="36" spans="2:28" ht="15.75">
      <c r="B36" s="11"/>
      <c r="C36" s="369"/>
      <c r="D36" s="1"/>
      <c r="E36" s="483" t="s">
        <v>91</v>
      </c>
      <c r="F36" s="6" t="s">
        <v>19</v>
      </c>
      <c r="G36" s="470">
        <v>0</v>
      </c>
      <c r="H36" s="270"/>
      <c r="I36" s="366" t="s">
        <v>12</v>
      </c>
      <c r="J36" s="403"/>
      <c r="K36" s="15"/>
      <c r="L36" s="298"/>
      <c r="M36" s="369"/>
      <c r="N36" s="1">
        <f>IF(OR(Q36&lt;0,Q36&gt;1),1,0)</f>
        <v>0</v>
      </c>
      <c r="O36" s="458" t="s">
        <v>92</v>
      </c>
      <c r="P36" s="450" t="s">
        <v>19</v>
      </c>
      <c r="Q36" s="600">
        <v>0</v>
      </c>
      <c r="R36" s="15">
        <f>IF(OR($Q$35="Performance-Based",$Q$35="Neither"),1,0)</f>
        <v>1</v>
      </c>
      <c r="S36" s="12" t="s">
        <v>12</v>
      </c>
      <c r="T36" s="15"/>
      <c r="U36" s="1"/>
      <c r="V36" s="1"/>
      <c r="W36" s="1"/>
      <c r="X36" s="1"/>
      <c r="Y36" s="1"/>
      <c r="Z36" s="1"/>
      <c r="AA36" s="1"/>
      <c r="AB36" s="246"/>
    </row>
    <row r="37" spans="2:28" ht="15.75">
      <c r="B37" s="11"/>
      <c r="C37" s="1"/>
      <c r="D37" s="1"/>
      <c r="E37" s="451" t="s">
        <v>93</v>
      </c>
      <c r="F37" s="7" t="s">
        <v>47</v>
      </c>
      <c r="G37" s="467"/>
      <c r="H37" s="275"/>
      <c r="I37" s="366" t="s">
        <v>12</v>
      </c>
      <c r="J37" s="403"/>
      <c r="K37" s="15"/>
      <c r="L37" s="298"/>
      <c r="M37" s="369"/>
      <c r="N37" s="1">
        <f>IF(OR(Q37&lt;0,Q37&gt;1),1,0)</f>
        <v>0</v>
      </c>
      <c r="O37" s="453" t="s">
        <v>94</v>
      </c>
      <c r="P37" s="7" t="s">
        <v>19</v>
      </c>
      <c r="Q37" s="601">
        <v>0</v>
      </c>
      <c r="R37" s="15"/>
      <c r="S37" s="12" t="s">
        <v>12</v>
      </c>
      <c r="T37" s="15"/>
      <c r="U37" s="15"/>
      <c r="V37" s="1"/>
      <c r="W37" s="1"/>
      <c r="X37" s="1"/>
      <c r="Y37" s="1"/>
      <c r="Z37" s="1"/>
      <c r="AA37" s="1"/>
      <c r="AB37" s="246"/>
    </row>
    <row r="38" spans="2:28" ht="15.75">
      <c r="B38" s="11"/>
      <c r="C38" s="369"/>
      <c r="D38" s="1"/>
      <c r="E38" s="468" t="s">
        <v>95</v>
      </c>
      <c r="F38" s="6" t="s">
        <v>96</v>
      </c>
      <c r="G38" s="469">
        <v>0</v>
      </c>
      <c r="H38" s="288"/>
      <c r="I38" s="366" t="s">
        <v>12</v>
      </c>
      <c r="J38" s="404"/>
      <c r="K38" s="15"/>
      <c r="L38" s="298"/>
      <c r="M38" s="369"/>
      <c r="N38" s="1">
        <f>IF(OR(Q38&lt;1,Q38&gt;G12),1,0)</f>
        <v>1</v>
      </c>
      <c r="O38" s="451" t="s">
        <v>97</v>
      </c>
      <c r="P38" s="8" t="s">
        <v>71</v>
      </c>
      <c r="Q38" s="602">
        <v>0</v>
      </c>
      <c r="R38" s="15"/>
      <c r="S38" s="12" t="s">
        <v>12</v>
      </c>
      <c r="T38" s="1"/>
      <c r="U38" s="678"/>
      <c r="V38" s="1"/>
      <c r="W38" s="1"/>
      <c r="X38" s="1"/>
      <c r="Y38" s="1"/>
      <c r="Z38" s="1"/>
      <c r="AA38" s="1"/>
      <c r="AB38" s="246"/>
    </row>
    <row r="39" spans="2:28" ht="16.5" thickBot="1">
      <c r="B39" s="11"/>
      <c r="C39" s="369"/>
      <c r="D39" s="1"/>
      <c r="E39" s="451" t="s">
        <v>98</v>
      </c>
      <c r="F39" s="6" t="s">
        <v>33</v>
      </c>
      <c r="G39" s="603">
        <v>0</v>
      </c>
      <c r="H39" s="288"/>
      <c r="I39" s="366" t="s">
        <v>12</v>
      </c>
      <c r="J39" s="403"/>
      <c r="K39" s="15"/>
      <c r="L39" s="11"/>
      <c r="M39" s="1"/>
      <c r="N39" s="1"/>
      <c r="O39" s="455" t="s">
        <v>50</v>
      </c>
      <c r="P39" s="456" t="s">
        <v>47</v>
      </c>
      <c r="Q39" s="572">
        <v>0</v>
      </c>
      <c r="R39" s="1"/>
      <c r="S39" s="12" t="s">
        <v>12</v>
      </c>
      <c r="T39" s="1"/>
      <c r="U39" s="1"/>
      <c r="V39" s="1"/>
      <c r="W39" s="1"/>
      <c r="X39" s="1"/>
      <c r="Y39" s="1"/>
      <c r="Z39" s="1"/>
      <c r="AA39" s="1"/>
      <c r="AB39" s="246"/>
    </row>
    <row r="40" spans="2:28" ht="15.75">
      <c r="B40" s="11"/>
      <c r="C40" s="369"/>
      <c r="D40" s="1"/>
      <c r="E40" s="451" t="s">
        <v>43</v>
      </c>
      <c r="F40" s="6" t="s">
        <v>19</v>
      </c>
      <c r="G40" s="583">
        <v>0</v>
      </c>
      <c r="H40" s="1"/>
      <c r="I40" s="366" t="s">
        <v>12</v>
      </c>
      <c r="J40" s="403"/>
      <c r="K40" s="15"/>
      <c r="L40" s="298"/>
      <c r="M40" s="374"/>
      <c r="N40" s="1"/>
      <c r="O40" s="483" t="s">
        <v>99</v>
      </c>
      <c r="P40" s="6"/>
      <c r="Q40" s="571" t="s">
        <v>66</v>
      </c>
      <c r="R40" s="15">
        <f>IF(OR($Q$35="Cost-Based",$Q$35="Neither"),1,0)</f>
        <v>1</v>
      </c>
      <c r="S40" s="12" t="s">
        <v>12</v>
      </c>
      <c r="T40" s="15"/>
      <c r="U40" s="21"/>
      <c r="V40" s="1"/>
      <c r="W40" s="1"/>
      <c r="X40" s="1"/>
      <c r="Y40" s="1"/>
      <c r="Z40" s="1"/>
      <c r="AA40" s="1"/>
      <c r="AB40" s="246"/>
    </row>
    <row r="41" spans="2:28" ht="15.75">
      <c r="B41" s="11"/>
      <c r="C41" s="369"/>
      <c r="D41" s="1"/>
      <c r="E41" s="451" t="s">
        <v>100</v>
      </c>
      <c r="F41" s="6" t="s">
        <v>96</v>
      </c>
      <c r="G41" s="469">
        <v>0</v>
      </c>
      <c r="H41" s="288"/>
      <c r="I41" s="366" t="s">
        <v>12</v>
      </c>
      <c r="J41" s="403"/>
      <c r="K41" s="15"/>
      <c r="L41" s="298"/>
      <c r="M41" s="374"/>
      <c r="N41" s="1"/>
      <c r="O41" s="451" t="s">
        <v>101</v>
      </c>
      <c r="P41" s="8"/>
      <c r="Q41" s="511" t="s">
        <v>102</v>
      </c>
      <c r="R41" s="346">
        <f>IF(OR($Q$35="Cost-Based",$Q$35="Neither",$Q$40="Tax Credit"),1,0)</f>
        <v>1</v>
      </c>
      <c r="S41" s="12" t="s">
        <v>12</v>
      </c>
      <c r="T41" s="1"/>
      <c r="U41" s="21"/>
      <c r="V41" s="1"/>
      <c r="W41" s="1"/>
      <c r="X41" s="1"/>
      <c r="Y41" s="1"/>
      <c r="Z41" s="1"/>
      <c r="AA41" s="1"/>
      <c r="AB41" s="246"/>
    </row>
    <row r="42" spans="2:28" ht="15.75">
      <c r="B42" s="11"/>
      <c r="C42" s="369"/>
      <c r="D42" s="1"/>
      <c r="E42" s="453" t="s">
        <v>103</v>
      </c>
      <c r="F42" s="6" t="s">
        <v>19</v>
      </c>
      <c r="G42" s="470">
        <v>0.02</v>
      </c>
      <c r="H42" s="270"/>
      <c r="I42" s="366" t="s">
        <v>12</v>
      </c>
      <c r="J42" s="403"/>
      <c r="K42" s="15"/>
      <c r="L42" s="298"/>
      <c r="M42" s="369"/>
      <c r="N42" s="1"/>
      <c r="O42" s="451" t="s">
        <v>68</v>
      </c>
      <c r="P42" s="55" t="s">
        <v>39</v>
      </c>
      <c r="Q42" s="512">
        <v>1.5</v>
      </c>
      <c r="R42" s="21"/>
      <c r="S42" s="12" t="s">
        <v>12</v>
      </c>
      <c r="T42" s="346"/>
      <c r="U42" s="679"/>
      <c r="V42" s="1"/>
      <c r="W42" s="1"/>
      <c r="X42" s="1"/>
      <c r="Y42" s="1"/>
      <c r="Z42" s="1"/>
      <c r="AA42" s="1"/>
      <c r="AB42" s="246"/>
    </row>
    <row r="43" spans="2:28" ht="16.5" thickBot="1">
      <c r="B43" s="11"/>
      <c r="C43" s="1"/>
      <c r="D43" s="1"/>
      <c r="E43" s="455"/>
      <c r="F43" s="466"/>
      <c r="G43" s="471"/>
      <c r="H43" s="275"/>
      <c r="I43" s="366" t="s">
        <v>12</v>
      </c>
      <c r="J43" s="246"/>
      <c r="K43" s="15"/>
      <c r="L43" s="298"/>
      <c r="M43" s="369"/>
      <c r="N43" s="1">
        <f>IF(OR(Q43&lt;0,Q43&gt;G12),1,0)</f>
        <v>0</v>
      </c>
      <c r="O43" s="451" t="s">
        <v>70</v>
      </c>
      <c r="P43" s="8" t="s">
        <v>71</v>
      </c>
      <c r="Q43" s="464">
        <v>10</v>
      </c>
      <c r="R43" s="21"/>
      <c r="S43" s="12" t="s">
        <v>12</v>
      </c>
      <c r="T43" s="1"/>
      <c r="U43" s="21"/>
      <c r="V43" s="1"/>
      <c r="W43" s="1"/>
      <c r="X43" s="1"/>
      <c r="Y43" s="1"/>
      <c r="Z43" s="1"/>
      <c r="AA43" s="1"/>
      <c r="AB43" s="246"/>
    </row>
    <row r="44" spans="2:28" ht="16.5" thickBot="1">
      <c r="B44" s="11"/>
      <c r="C44" s="327"/>
      <c r="D44" s="1"/>
      <c r="E44" s="1"/>
      <c r="F44" s="1"/>
      <c r="G44" s="1"/>
      <c r="H44" s="1"/>
      <c r="I44" s="17"/>
      <c r="J44" s="403"/>
      <c r="K44" s="15"/>
      <c r="L44" s="298"/>
      <c r="M44" s="369"/>
      <c r="N44" s="1"/>
      <c r="O44" s="451" t="s">
        <v>72</v>
      </c>
      <c r="P44" s="6" t="s">
        <v>19</v>
      </c>
      <c r="Q44" s="497">
        <v>0.02</v>
      </c>
      <c r="R44" s="15"/>
      <c r="S44" s="12" t="s">
        <v>12</v>
      </c>
      <c r="T44" s="346"/>
      <c r="U44" s="21"/>
      <c r="V44" s="1"/>
      <c r="W44" s="1"/>
      <c r="X44" s="1"/>
      <c r="Y44" s="1"/>
      <c r="Z44" s="1"/>
      <c r="AA44" s="1"/>
      <c r="AB44" s="246"/>
    </row>
    <row r="45" spans="2:28" ht="16.5" thickBot="1">
      <c r="B45" s="11"/>
      <c r="C45" s="327"/>
      <c r="D45" s="1"/>
      <c r="E45" s="5" t="s">
        <v>104</v>
      </c>
      <c r="F45" s="347" t="s">
        <v>6</v>
      </c>
      <c r="G45" s="411" t="s">
        <v>7</v>
      </c>
      <c r="H45" s="289"/>
      <c r="I45" s="17"/>
      <c r="J45" s="403"/>
      <c r="K45" s="15"/>
      <c r="L45" s="298"/>
      <c r="M45" s="369"/>
      <c r="N45" s="1">
        <f>IF(OR(Q45&lt;0,Q45&gt;1),1,0)</f>
        <v>0</v>
      </c>
      <c r="O45" s="455" t="s">
        <v>105</v>
      </c>
      <c r="P45" s="462" t="s">
        <v>19</v>
      </c>
      <c r="Q45" s="523">
        <v>1</v>
      </c>
      <c r="R45" s="15"/>
      <c r="S45" s="12" t="s">
        <v>12</v>
      </c>
      <c r="T45" s="21"/>
      <c r="U45" s="15"/>
      <c r="V45" s="1"/>
      <c r="W45" s="1"/>
      <c r="X45" s="1"/>
      <c r="Y45" s="1"/>
      <c r="Z45" s="1"/>
      <c r="AA45" s="1"/>
      <c r="AB45" s="246"/>
    </row>
    <row r="46" spans="2:28" ht="16.5" thickBot="1">
      <c r="B46" s="11"/>
      <c r="C46" s="372"/>
      <c r="D46" s="1"/>
      <c r="E46" s="463" t="s">
        <v>106</v>
      </c>
      <c r="F46" s="450" t="s">
        <v>107</v>
      </c>
      <c r="G46" s="556">
        <v>0</v>
      </c>
      <c r="H46" s="289"/>
      <c r="I46" s="12" t="s">
        <v>12</v>
      </c>
      <c r="J46" s="403"/>
      <c r="K46" s="15"/>
      <c r="L46" s="298"/>
      <c r="M46" s="15"/>
      <c r="N46" s="15"/>
      <c r="O46" s="524" t="s">
        <v>108</v>
      </c>
      <c r="P46" s="525"/>
      <c r="Q46" s="526" t="s">
        <v>76</v>
      </c>
      <c r="R46" s="15">
        <f>IF($Q$35="Neither",1,0)</f>
        <v>1</v>
      </c>
      <c r="S46" s="12" t="s">
        <v>12</v>
      </c>
      <c r="T46" s="21"/>
      <c r="U46" s="15"/>
      <c r="V46" s="1"/>
      <c r="W46" s="1"/>
      <c r="X46" s="1"/>
      <c r="Y46" s="1"/>
      <c r="Z46" s="1"/>
      <c r="AA46" s="1"/>
      <c r="AB46" s="246"/>
    </row>
    <row r="47" spans="2:28" ht="16.5" thickBot="1">
      <c r="B47" s="11"/>
      <c r="C47" s="372"/>
      <c r="D47" s="1"/>
      <c r="E47" s="474" t="s">
        <v>109</v>
      </c>
      <c r="F47" s="7" t="s">
        <v>19</v>
      </c>
      <c r="G47" s="548">
        <v>0</v>
      </c>
      <c r="H47" s="289"/>
      <c r="I47" s="12" t="s">
        <v>12</v>
      </c>
      <c r="J47" s="403"/>
      <c r="K47" s="15"/>
      <c r="L47" s="11"/>
      <c r="M47" s="1"/>
      <c r="N47" s="1"/>
      <c r="O47" s="415"/>
      <c r="P47" s="267"/>
      <c r="Q47" s="297"/>
      <c r="R47" s="1"/>
      <c r="S47" s="1"/>
      <c r="T47" s="1"/>
      <c r="U47" s="15"/>
      <c r="V47" s="1"/>
      <c r="W47" s="1"/>
      <c r="X47" s="1"/>
      <c r="Y47" s="1"/>
      <c r="Z47" s="1"/>
      <c r="AA47" s="1"/>
      <c r="AB47" s="246"/>
    </row>
    <row r="48" spans="2:28" ht="16.5" thickBot="1">
      <c r="B48" s="11"/>
      <c r="C48" s="327"/>
      <c r="D48" s="1"/>
      <c r="E48" s="465" t="s">
        <v>110</v>
      </c>
      <c r="F48" s="456" t="s">
        <v>47</v>
      </c>
      <c r="G48" s="471"/>
      <c r="H48" s="289"/>
      <c r="I48" s="12" t="s">
        <v>12</v>
      </c>
      <c r="J48" s="403"/>
      <c r="K48" s="15"/>
      <c r="L48" s="298"/>
      <c r="M48" s="369"/>
      <c r="N48" s="15"/>
      <c r="O48" s="515" t="s">
        <v>111</v>
      </c>
      <c r="P48" s="450" t="s">
        <v>47</v>
      </c>
      <c r="Q48" s="516">
        <v>0</v>
      </c>
      <c r="R48" s="1"/>
      <c r="S48" s="12" t="s">
        <v>12</v>
      </c>
      <c r="T48" s="15"/>
      <c r="U48" s="15"/>
      <c r="V48" s="1"/>
      <c r="W48" s="1"/>
      <c r="X48" s="1"/>
      <c r="Y48" s="1"/>
      <c r="Z48" s="1"/>
      <c r="AA48" s="1"/>
      <c r="AB48" s="246"/>
    </row>
    <row r="49" spans="2:28" ht="16.5" thickBot="1">
      <c r="B49" s="11"/>
      <c r="C49" s="1"/>
      <c r="D49" s="1"/>
      <c r="E49" s="1"/>
      <c r="F49" s="1"/>
      <c r="G49" s="182"/>
      <c r="H49" s="182"/>
      <c r="I49" s="17"/>
      <c r="J49" s="403"/>
      <c r="K49" s="15"/>
      <c r="L49" s="298"/>
      <c r="M49" s="374"/>
      <c r="N49" s="1"/>
      <c r="O49" s="455" t="s">
        <v>112</v>
      </c>
      <c r="P49" s="466"/>
      <c r="Q49" s="517" t="s">
        <v>83</v>
      </c>
      <c r="R49" s="21"/>
      <c r="S49" s="12" t="s">
        <v>12</v>
      </c>
      <c r="T49" s="15"/>
      <c r="U49" s="15"/>
      <c r="V49" s="1"/>
      <c r="W49" s="1"/>
      <c r="X49" s="1"/>
      <c r="Y49" s="1"/>
      <c r="Z49" s="1"/>
      <c r="AA49" s="1"/>
      <c r="AB49" s="246"/>
    </row>
    <row r="50" spans="2:28" ht="16.5" thickBot="1">
      <c r="B50" s="11"/>
      <c r="C50" s="327"/>
      <c r="D50" s="1"/>
      <c r="E50" s="480" t="s">
        <v>113</v>
      </c>
      <c r="F50" s="481" t="s">
        <v>6</v>
      </c>
      <c r="G50" s="482" t="s">
        <v>7</v>
      </c>
      <c r="H50" s="289"/>
      <c r="I50" s="405"/>
      <c r="J50" s="403"/>
      <c r="K50" s="15"/>
      <c r="L50" s="298"/>
      <c r="M50" s="1"/>
      <c r="N50" s="1"/>
      <c r="O50" s="1"/>
      <c r="P50" s="1"/>
      <c r="Q50" s="1"/>
      <c r="R50" s="1"/>
      <c r="S50" s="1"/>
      <c r="T50" s="15"/>
      <c r="U50" s="300"/>
      <c r="V50" s="1"/>
      <c r="W50" s="1"/>
      <c r="X50" s="1"/>
      <c r="Y50" s="1"/>
      <c r="Z50" s="1"/>
      <c r="AA50" s="1"/>
      <c r="AB50" s="246"/>
    </row>
    <row r="51" spans="2:28" ht="16.5" thickBot="1">
      <c r="B51" s="11"/>
      <c r="C51" s="369"/>
      <c r="D51" s="1">
        <f>IF(OR(G51="",G51&lt;0,G51&gt;1),1,0)</f>
        <v>0</v>
      </c>
      <c r="E51" s="449" t="s">
        <v>114</v>
      </c>
      <c r="F51" s="450" t="s">
        <v>19</v>
      </c>
      <c r="G51" s="476">
        <v>0.51</v>
      </c>
      <c r="H51" s="290"/>
      <c r="I51" s="12" t="s">
        <v>12</v>
      </c>
      <c r="J51" s="404"/>
      <c r="K51" s="15"/>
      <c r="L51" s="298"/>
      <c r="M51" s="15"/>
      <c r="N51" s="15"/>
      <c r="O51" s="5" t="s">
        <v>115</v>
      </c>
      <c r="P51" s="22"/>
      <c r="Q51" s="411"/>
      <c r="R51" s="15"/>
      <c r="S51" s="15"/>
      <c r="T51" s="15"/>
      <c r="U51" s="15"/>
      <c r="V51" s="1"/>
      <c r="W51" s="1"/>
      <c r="X51" s="1"/>
      <c r="Y51" s="1"/>
      <c r="Z51" s="1"/>
      <c r="AA51" s="1"/>
      <c r="AB51" s="246"/>
    </row>
    <row r="52" spans="2:28" ht="15.75">
      <c r="B52" s="11"/>
      <c r="C52" s="369"/>
      <c r="D52" s="1">
        <f>IF(OR(G52&lt;=0,G52&gt;G12),1,0)</f>
        <v>0</v>
      </c>
      <c r="E52" s="451" t="s">
        <v>116</v>
      </c>
      <c r="F52" s="7" t="s">
        <v>14</v>
      </c>
      <c r="G52" s="464">
        <v>13</v>
      </c>
      <c r="H52" s="272"/>
      <c r="I52" s="12" t="s">
        <v>12</v>
      </c>
      <c r="J52" s="404"/>
      <c r="K52" s="15"/>
      <c r="L52" s="298"/>
      <c r="M52" s="375"/>
      <c r="N52" s="15">
        <f>IF(OR(Q52&lt;1,Q52&gt;$G$12),1,0)</f>
        <v>0</v>
      </c>
      <c r="O52" s="463" t="s">
        <v>117</v>
      </c>
      <c r="P52" s="459" t="s">
        <v>86</v>
      </c>
      <c r="Q52" s="556">
        <v>12</v>
      </c>
      <c r="R52" s="15"/>
      <c r="S52" s="12" t="s">
        <v>12</v>
      </c>
      <c r="T52" s="15"/>
      <c r="U52" s="15"/>
      <c r="V52" s="1"/>
      <c r="W52" s="1"/>
      <c r="X52" s="1"/>
      <c r="Y52" s="1"/>
      <c r="Z52" s="1"/>
      <c r="AA52" s="1"/>
      <c r="AB52" s="246"/>
    </row>
    <row r="53" spans="2:28" ht="16.5" thickBot="1">
      <c r="B53" s="11"/>
      <c r="C53" s="372"/>
      <c r="D53" s="1">
        <f>IF(OR(G53&lt;0,G53=""),1,0)</f>
        <v>0</v>
      </c>
      <c r="E53" s="451" t="s">
        <v>118</v>
      </c>
      <c r="F53" s="7" t="s">
        <v>19</v>
      </c>
      <c r="G53" s="485">
        <v>7.6279911280101378E-2</v>
      </c>
      <c r="H53" s="291"/>
      <c r="I53" s="12" t="s">
        <v>12</v>
      </c>
      <c r="J53" s="404"/>
      <c r="K53" s="15"/>
      <c r="L53" s="298"/>
      <c r="M53" s="326"/>
      <c r="N53" s="15"/>
      <c r="O53" s="465" t="s">
        <v>119</v>
      </c>
      <c r="P53" s="456" t="str">
        <f>$F$16</f>
        <v>$/kW</v>
      </c>
      <c r="Q53" s="531">
        <v>50</v>
      </c>
      <c r="R53" s="15"/>
      <c r="S53" s="12" t="s">
        <v>12</v>
      </c>
      <c r="T53" s="15"/>
      <c r="U53" s="15"/>
      <c r="V53" s="1"/>
      <c r="W53" s="1"/>
      <c r="X53" s="1"/>
      <c r="Y53" s="1"/>
      <c r="Z53" s="1"/>
      <c r="AA53" s="1"/>
      <c r="AB53" s="246"/>
    </row>
    <row r="54" spans="2:28" ht="16.5" thickBot="1">
      <c r="B54" s="11"/>
      <c r="C54" s="369"/>
      <c r="D54" s="1">
        <f>IF(OR(G54&lt;0,G54=""),1,0)</f>
        <v>0</v>
      </c>
      <c r="E54" s="486" t="s">
        <v>120</v>
      </c>
      <c r="F54" s="466" t="s">
        <v>19</v>
      </c>
      <c r="G54" s="487">
        <v>4.2500000000000003E-2</v>
      </c>
      <c r="H54" s="270"/>
      <c r="I54" s="12" t="s">
        <v>12</v>
      </c>
      <c r="J54" s="403"/>
      <c r="K54" s="15"/>
      <c r="L54" s="298"/>
      <c r="M54" s="375"/>
      <c r="N54" s="15">
        <f>IF(OR(Q54&lt;Q52,Q54&gt;$G$12),1,0)</f>
        <v>0</v>
      </c>
      <c r="O54" s="529" t="s">
        <v>121</v>
      </c>
      <c r="P54" s="24" t="s">
        <v>86</v>
      </c>
      <c r="Q54" s="530">
        <v>12</v>
      </c>
      <c r="R54" s="15"/>
      <c r="S54" s="12" t="s">
        <v>12</v>
      </c>
      <c r="T54" s="15"/>
      <c r="U54" s="15"/>
      <c r="V54" s="1"/>
      <c r="W54" s="1"/>
      <c r="X54" s="1"/>
      <c r="Y54" s="1"/>
      <c r="Z54" s="1"/>
      <c r="AA54" s="1"/>
      <c r="AB54" s="246"/>
    </row>
    <row r="55" spans="2:28" ht="16.5" thickBot="1">
      <c r="B55" s="11"/>
      <c r="C55" s="369"/>
      <c r="D55" s="1"/>
      <c r="E55" s="483" t="s">
        <v>122</v>
      </c>
      <c r="F55" s="24"/>
      <c r="G55" s="484">
        <v>0</v>
      </c>
      <c r="H55" s="279"/>
      <c r="I55" s="12" t="s">
        <v>12</v>
      </c>
      <c r="J55" s="403"/>
      <c r="K55" s="15"/>
      <c r="L55" s="298"/>
      <c r="M55" s="326"/>
      <c r="N55" s="15"/>
      <c r="O55" s="465" t="s">
        <v>123</v>
      </c>
      <c r="P55" s="456" t="str">
        <f>$F$16</f>
        <v>$/kW</v>
      </c>
      <c r="Q55" s="531">
        <v>0</v>
      </c>
      <c r="R55" s="15"/>
      <c r="S55" s="12" t="s">
        <v>12</v>
      </c>
      <c r="T55" s="15"/>
      <c r="U55" s="15"/>
      <c r="V55" s="1"/>
      <c r="W55" s="1"/>
      <c r="X55" s="1"/>
      <c r="Y55" s="1"/>
      <c r="Z55" s="1"/>
      <c r="AA55" s="1"/>
      <c r="AB55" s="246"/>
    </row>
    <row r="56" spans="2:28" ht="15.75">
      <c r="B56" s="11"/>
      <c r="C56" s="1"/>
      <c r="D56" s="1"/>
      <c r="E56" s="451" t="s">
        <v>124</v>
      </c>
      <c r="F56" s="248">
        <f>MAX('[2]Cash Flow'!G45:AJ45)</f>
        <v>13</v>
      </c>
      <c r="G56" s="477"/>
      <c r="H56" s="280"/>
      <c r="I56" s="12" t="s">
        <v>12</v>
      </c>
      <c r="J56" s="403"/>
      <c r="K56" s="15"/>
      <c r="L56" s="298"/>
      <c r="M56" s="375"/>
      <c r="N56" s="15">
        <f>IF(OR(Q56&lt;Q54,Q56&gt;$G$12),1,0)</f>
        <v>0</v>
      </c>
      <c r="O56" s="474" t="s">
        <v>125</v>
      </c>
      <c r="P56" s="8" t="s">
        <v>86</v>
      </c>
      <c r="Q56" s="530">
        <v>12</v>
      </c>
      <c r="R56" s="15"/>
      <c r="S56" s="12" t="s">
        <v>12</v>
      </c>
      <c r="T56" s="15"/>
      <c r="U56" s="15"/>
      <c r="V56" s="1"/>
      <c r="W56" s="1"/>
      <c r="X56" s="1"/>
      <c r="Y56" s="1"/>
      <c r="Z56" s="1"/>
      <c r="AA56" s="1"/>
      <c r="AB56" s="246"/>
    </row>
    <row r="57" spans="2:28" ht="16.5" thickBot="1">
      <c r="B57" s="11"/>
      <c r="C57" s="369"/>
      <c r="D57" s="1"/>
      <c r="E57" s="451" t="s">
        <v>126</v>
      </c>
      <c r="F57" s="8" t="s">
        <v>127</v>
      </c>
      <c r="G57" s="478"/>
      <c r="H57" s="406"/>
      <c r="I57" s="12" t="s">
        <v>12</v>
      </c>
      <c r="J57" s="404"/>
      <c r="K57" s="15"/>
      <c r="L57" s="298"/>
      <c r="M57" s="326"/>
      <c r="N57" s="15"/>
      <c r="O57" s="465" t="s">
        <v>128</v>
      </c>
      <c r="P57" s="456" t="str">
        <f>$F$16</f>
        <v>$/kW</v>
      </c>
      <c r="Q57" s="531">
        <v>0</v>
      </c>
      <c r="R57" s="15"/>
      <c r="S57" s="12" t="s">
        <v>12</v>
      </c>
      <c r="T57" s="1"/>
      <c r="U57" s="1"/>
      <c r="V57" s="1"/>
      <c r="W57" s="1"/>
      <c r="X57" s="1"/>
      <c r="Y57" s="1"/>
      <c r="Z57" s="1"/>
      <c r="AA57" s="1"/>
      <c r="AB57" s="246"/>
    </row>
    <row r="58" spans="2:28" ht="15.75">
      <c r="B58" s="11"/>
      <c r="C58" s="369"/>
      <c r="D58" s="1"/>
      <c r="E58" s="451" t="s">
        <v>129</v>
      </c>
      <c r="F58" s="8"/>
      <c r="G58" s="680">
        <v>0</v>
      </c>
      <c r="H58" s="279"/>
      <c r="I58" s="12" t="s">
        <v>12</v>
      </c>
      <c r="J58" s="403"/>
      <c r="K58" s="15"/>
      <c r="L58" s="298"/>
      <c r="M58" s="375"/>
      <c r="N58" s="15">
        <f>IF(OR(Q58&lt;Q56,Q58&gt;$G$12),1,0)</f>
        <v>0</v>
      </c>
      <c r="O58" s="474" t="s">
        <v>130</v>
      </c>
      <c r="P58" s="8" t="s">
        <v>86</v>
      </c>
      <c r="Q58" s="530">
        <v>12</v>
      </c>
      <c r="R58" s="15"/>
      <c r="S58" s="12" t="s">
        <v>12</v>
      </c>
      <c r="T58" s="1"/>
      <c r="U58" s="1"/>
      <c r="V58" s="1"/>
      <c r="W58" s="1"/>
      <c r="X58" s="1"/>
      <c r="Y58" s="1"/>
      <c r="Z58" s="1"/>
      <c r="AA58" s="1"/>
      <c r="AB58" s="246"/>
    </row>
    <row r="59" spans="2:28" ht="16.5" thickBot="1">
      <c r="B59" s="11"/>
      <c r="C59" s="1"/>
      <c r="D59" s="1"/>
      <c r="E59" s="451" t="s">
        <v>131</v>
      </c>
      <c r="F59" s="248"/>
      <c r="G59" s="477"/>
      <c r="H59" s="280"/>
      <c r="I59" s="12" t="s">
        <v>12</v>
      </c>
      <c r="J59" s="403"/>
      <c r="K59" s="15"/>
      <c r="L59" s="298"/>
      <c r="M59" s="326"/>
      <c r="N59" s="15"/>
      <c r="O59" s="465" t="s">
        <v>132</v>
      </c>
      <c r="P59" s="456" t="str">
        <f>$F$16</f>
        <v>$/kW</v>
      </c>
      <c r="Q59" s="531">
        <v>0</v>
      </c>
      <c r="R59" s="15"/>
      <c r="S59" s="12" t="s">
        <v>12</v>
      </c>
      <c r="T59" s="1"/>
      <c r="U59" s="1"/>
      <c r="V59" s="1"/>
      <c r="W59" s="1"/>
      <c r="X59" s="1"/>
      <c r="Y59" s="1"/>
      <c r="Z59" s="1"/>
      <c r="AA59" s="1"/>
      <c r="AB59" s="246"/>
    </row>
    <row r="60" spans="2:28" ht="16.5" thickBot="1">
      <c r="B60" s="11"/>
      <c r="C60" s="369"/>
      <c r="D60" s="1"/>
      <c r="E60" s="455" t="s">
        <v>133</v>
      </c>
      <c r="F60" s="456" t="s">
        <v>127</v>
      </c>
      <c r="G60" s="479"/>
      <c r="H60" s="406"/>
      <c r="I60" s="12" t="s">
        <v>12</v>
      </c>
      <c r="J60" s="403"/>
      <c r="K60" s="15"/>
      <c r="L60" s="298"/>
      <c r="M60" s="1"/>
      <c r="N60" s="1"/>
      <c r="O60" s="1"/>
      <c r="P60" s="1"/>
      <c r="Q60" s="1"/>
      <c r="R60" s="1"/>
      <c r="S60" s="1"/>
      <c r="T60" s="1"/>
      <c r="U60" s="1"/>
      <c r="V60" s="1"/>
      <c r="W60" s="1"/>
      <c r="X60" s="1"/>
      <c r="Y60" s="1"/>
      <c r="Z60" s="1"/>
      <c r="AA60" s="1"/>
      <c r="AB60" s="246"/>
    </row>
    <row r="61" spans="2:28" ht="16.5" thickBot="1">
      <c r="B61" s="11"/>
      <c r="C61" s="1"/>
      <c r="D61" s="1"/>
      <c r="E61" s="449" t="s">
        <v>134</v>
      </c>
      <c r="F61" s="450" t="s">
        <v>19</v>
      </c>
      <c r="G61" s="488"/>
      <c r="H61" s="292"/>
      <c r="I61" s="12" t="s">
        <v>12</v>
      </c>
      <c r="J61" s="403"/>
      <c r="K61" s="15"/>
      <c r="L61" s="298"/>
      <c r="M61" s="15"/>
      <c r="N61" s="15"/>
      <c r="O61" s="5" t="s">
        <v>135</v>
      </c>
      <c r="P61" s="347" t="s">
        <v>6</v>
      </c>
      <c r="Q61" s="411" t="s">
        <v>7</v>
      </c>
      <c r="R61" s="15"/>
      <c r="S61" s="15"/>
      <c r="T61" s="15"/>
      <c r="U61" s="15"/>
      <c r="V61" s="1"/>
      <c r="W61" s="1"/>
      <c r="X61" s="1"/>
      <c r="Y61" s="1"/>
      <c r="Z61" s="1"/>
      <c r="AA61" s="1"/>
      <c r="AB61" s="246"/>
    </row>
    <row r="62" spans="2:28" ht="16.5" thickBot="1">
      <c r="B62" s="11"/>
      <c r="C62" s="369"/>
      <c r="D62" s="1">
        <f>IF(OR(G62&lt;0,G62=""),1,0)</f>
        <v>0</v>
      </c>
      <c r="E62" s="489" t="s">
        <v>136</v>
      </c>
      <c r="F62" s="466" t="s">
        <v>19</v>
      </c>
      <c r="G62" s="722">
        <v>7.0000000000000007E-2</v>
      </c>
      <c r="H62" s="291"/>
      <c r="I62" s="12" t="s">
        <v>12</v>
      </c>
      <c r="J62" s="403"/>
      <c r="K62" s="15"/>
      <c r="L62" s="298"/>
      <c r="M62" s="15"/>
      <c r="N62" s="15"/>
      <c r="O62" s="532" t="s">
        <v>137</v>
      </c>
      <c r="P62" s="533"/>
      <c r="Q62" s="534"/>
      <c r="R62" s="15"/>
      <c r="S62" s="15"/>
      <c r="T62" s="15"/>
      <c r="U62" s="1"/>
      <c r="V62" s="1"/>
      <c r="W62" s="1"/>
      <c r="X62" s="1"/>
      <c r="Y62" s="1"/>
      <c r="Z62" s="1"/>
      <c r="AA62" s="1"/>
      <c r="AB62" s="246"/>
    </row>
    <row r="63" spans="2:28" ht="15.75">
      <c r="B63" s="11"/>
      <c r="C63" s="1"/>
      <c r="D63" s="1"/>
      <c r="E63" s="449" t="s">
        <v>138</v>
      </c>
      <c r="F63" s="450" t="s">
        <v>19</v>
      </c>
      <c r="G63" s="681"/>
      <c r="H63" s="1"/>
      <c r="I63" s="12" t="s">
        <v>12</v>
      </c>
      <c r="J63" s="246"/>
      <c r="K63" s="15"/>
      <c r="L63" s="298"/>
      <c r="M63" s="374"/>
      <c r="N63" s="15"/>
      <c r="O63" s="535" t="s">
        <v>139</v>
      </c>
      <c r="P63" s="23"/>
      <c r="Q63" s="511" t="s">
        <v>140</v>
      </c>
      <c r="R63" s="15"/>
      <c r="S63" s="12" t="s">
        <v>12</v>
      </c>
      <c r="T63" s="15"/>
      <c r="U63" s="15"/>
      <c r="V63" s="1"/>
      <c r="W63" s="1"/>
      <c r="X63" s="1"/>
      <c r="Y63" s="1"/>
      <c r="Z63" s="1"/>
      <c r="AA63" s="1"/>
      <c r="AB63" s="246"/>
    </row>
    <row r="64" spans="2:28" ht="16.5" thickBot="1">
      <c r="B64" s="11"/>
      <c r="C64" s="369"/>
      <c r="D64" s="1"/>
      <c r="E64" s="486" t="s">
        <v>141</v>
      </c>
      <c r="F64" s="466" t="s">
        <v>47</v>
      </c>
      <c r="G64" s="490">
        <v>0</v>
      </c>
      <c r="H64" s="288"/>
      <c r="I64" s="12" t="s">
        <v>12</v>
      </c>
      <c r="J64" s="246"/>
      <c r="K64" s="15"/>
      <c r="L64" s="298"/>
      <c r="M64" s="375"/>
      <c r="N64" s="15"/>
      <c r="O64" s="465" t="s">
        <v>142</v>
      </c>
      <c r="P64" s="456" t="s">
        <v>47</v>
      </c>
      <c r="Q64" s="588">
        <v>0</v>
      </c>
      <c r="R64" s="15"/>
      <c r="S64" s="12" t="s">
        <v>12</v>
      </c>
      <c r="T64" s="15"/>
      <c r="U64" s="385"/>
      <c r="V64" s="1"/>
      <c r="W64" s="1"/>
      <c r="X64" s="1"/>
      <c r="Y64" s="1"/>
      <c r="Z64" s="1"/>
      <c r="AA64" s="1"/>
      <c r="AB64" s="246"/>
    </row>
    <row r="65" spans="2:28" ht="16.5" thickBot="1">
      <c r="B65" s="11"/>
      <c r="C65" s="1"/>
      <c r="D65" s="1"/>
      <c r="E65" s="1"/>
      <c r="F65" s="1"/>
      <c r="G65" s="1"/>
      <c r="H65" s="1"/>
      <c r="I65" s="1"/>
      <c r="J65" s="246"/>
      <c r="K65" s="15"/>
      <c r="L65" s="298"/>
      <c r="M65" s="1"/>
      <c r="N65" s="1"/>
      <c r="O65" s="1"/>
      <c r="P65" s="1"/>
      <c r="Q65" s="1"/>
      <c r="R65" s="1"/>
      <c r="S65" s="1"/>
      <c r="T65" s="1"/>
      <c r="U65" s="385"/>
      <c r="V65" s="1"/>
      <c r="W65" s="1"/>
      <c r="X65" s="1"/>
      <c r="Y65" s="1"/>
      <c r="Z65" s="1"/>
      <c r="AA65" s="1"/>
      <c r="AB65" s="246"/>
    </row>
    <row r="66" spans="2:28" ht="16.5" thickBot="1">
      <c r="B66" s="298"/>
      <c r="C66" s="1"/>
      <c r="D66" s="1"/>
      <c r="E66" s="314" t="s">
        <v>143</v>
      </c>
      <c r="F66" s="22"/>
      <c r="G66" s="315"/>
      <c r="H66" s="1"/>
      <c r="I66" s="1"/>
      <c r="J66" s="246"/>
      <c r="K66" s="1"/>
      <c r="L66" s="298"/>
      <c r="M66" s="15"/>
      <c r="N66" s="15"/>
      <c r="O66" s="5" t="s">
        <v>144</v>
      </c>
      <c r="P66" s="347" t="s">
        <v>6</v>
      </c>
      <c r="Q66" s="411" t="s">
        <v>7</v>
      </c>
      <c r="R66" s="15"/>
      <c r="S66" s="15"/>
      <c r="T66" s="15"/>
      <c r="U66" s="378"/>
      <c r="V66" s="1"/>
      <c r="W66" s="1"/>
      <c r="X66" s="1"/>
      <c r="Y66" s="1"/>
      <c r="Z66" s="1"/>
      <c r="AA66" s="1"/>
      <c r="AB66" s="246"/>
    </row>
    <row r="67" spans="2:28" ht="15.75">
      <c r="B67" s="298"/>
      <c r="C67" s="1"/>
      <c r="D67" s="1"/>
      <c r="E67" s="449" t="s">
        <v>145</v>
      </c>
      <c r="F67" s="574"/>
      <c r="G67" s="491"/>
      <c r="H67" s="1"/>
      <c r="I67" s="12" t="s">
        <v>12</v>
      </c>
      <c r="J67" s="246"/>
      <c r="K67" s="15"/>
      <c r="L67" s="298"/>
      <c r="M67" s="15"/>
      <c r="N67" s="15"/>
      <c r="O67" s="536" t="s">
        <v>146</v>
      </c>
      <c r="P67" s="527"/>
      <c r="Q67" s="528"/>
      <c r="R67" s="15"/>
      <c r="S67" s="15"/>
      <c r="T67" s="15"/>
      <c r="U67" s="15"/>
      <c r="V67" s="1"/>
      <c r="W67" s="1"/>
      <c r="X67" s="1"/>
      <c r="Y67" s="1"/>
      <c r="Z67" s="1"/>
      <c r="AA67" s="1"/>
      <c r="AB67" s="246"/>
    </row>
    <row r="68" spans="2:28" ht="15.75">
      <c r="B68" s="298"/>
      <c r="C68" s="1"/>
      <c r="D68" s="1"/>
      <c r="E68" s="451" t="s">
        <v>147</v>
      </c>
      <c r="F68" s="573"/>
      <c r="G68" s="467"/>
      <c r="H68" s="1"/>
      <c r="I68" s="12" t="s">
        <v>12</v>
      </c>
      <c r="J68" s="246"/>
      <c r="K68" s="1"/>
      <c r="L68" s="298"/>
      <c r="M68" s="375"/>
      <c r="N68" s="15"/>
      <c r="O68" s="451" t="s">
        <v>148</v>
      </c>
      <c r="P68" s="7" t="s">
        <v>107</v>
      </c>
      <c r="Q68" s="584">
        <v>0</v>
      </c>
      <c r="R68" s="15"/>
      <c r="S68" s="12" t="s">
        <v>12</v>
      </c>
      <c r="T68" s="15"/>
      <c r="U68" s="15"/>
      <c r="V68" s="1"/>
      <c r="W68" s="1"/>
      <c r="X68" s="1"/>
      <c r="Y68" s="1"/>
      <c r="Z68" s="1"/>
      <c r="AA68" s="1"/>
      <c r="AB68" s="246"/>
    </row>
    <row r="69" spans="2:28" ht="16.5" thickBot="1">
      <c r="B69" s="11"/>
      <c r="C69" s="1"/>
      <c r="D69" s="1"/>
      <c r="E69" s="492" t="s">
        <v>149</v>
      </c>
      <c r="F69" s="575"/>
      <c r="G69" s="493"/>
      <c r="H69" s="1"/>
      <c r="I69" s="12" t="s">
        <v>12</v>
      </c>
      <c r="J69" s="246"/>
      <c r="K69" s="1"/>
      <c r="L69" s="298"/>
      <c r="M69" s="15"/>
      <c r="N69" s="15"/>
      <c r="O69" s="455" t="s">
        <v>150</v>
      </c>
      <c r="P69" s="466" t="s">
        <v>47</v>
      </c>
      <c r="Q69" s="537"/>
      <c r="R69" s="15"/>
      <c r="S69" s="12" t="s">
        <v>12</v>
      </c>
      <c r="T69" s="15"/>
      <c r="U69" s="15"/>
      <c r="V69" s="1"/>
      <c r="W69" s="1"/>
      <c r="X69" s="1"/>
      <c r="Y69" s="1"/>
      <c r="Z69" s="1"/>
      <c r="AA69" s="1"/>
      <c r="AB69" s="246"/>
    </row>
    <row r="70" spans="2:28" ht="17.25" thickTop="1" thickBot="1">
      <c r="B70" s="298"/>
      <c r="C70" s="1"/>
      <c r="D70" s="1"/>
      <c r="E70" s="494" t="s">
        <v>44</v>
      </c>
      <c r="F70" s="462" t="s">
        <v>47</v>
      </c>
      <c r="G70" s="495"/>
      <c r="H70" s="1"/>
      <c r="I70" s="12" t="s">
        <v>12</v>
      </c>
      <c r="J70" s="246"/>
      <c r="K70" s="1"/>
      <c r="L70" s="298"/>
      <c r="M70" s="15"/>
      <c r="N70" s="15"/>
      <c r="O70" s="536" t="s">
        <v>151</v>
      </c>
      <c r="P70" s="527"/>
      <c r="Q70" s="538"/>
      <c r="R70" s="15"/>
      <c r="S70" s="15"/>
      <c r="T70" s="15"/>
      <c r="U70" s="15"/>
      <c r="V70" s="1"/>
      <c r="W70" s="1"/>
      <c r="X70" s="1"/>
      <c r="Y70" s="1"/>
      <c r="Z70" s="1"/>
      <c r="AA70" s="1"/>
      <c r="AB70" s="246"/>
    </row>
    <row r="71" spans="2:28" ht="16.5" thickBot="1">
      <c r="B71" s="11"/>
      <c r="C71" s="1"/>
      <c r="D71" s="1"/>
      <c r="E71" s="1"/>
      <c r="F71" s="1"/>
      <c r="G71" s="1"/>
      <c r="H71" s="1"/>
      <c r="I71" s="1"/>
      <c r="J71" s="246"/>
      <c r="K71" s="1"/>
      <c r="L71" s="298"/>
      <c r="M71" s="375"/>
      <c r="N71" s="15"/>
      <c r="O71" s="474" t="s">
        <v>152</v>
      </c>
      <c r="P71" s="7" t="s">
        <v>107</v>
      </c>
      <c r="Q71" s="584">
        <v>0</v>
      </c>
      <c r="R71" s="15"/>
      <c r="S71" s="12" t="s">
        <v>12</v>
      </c>
      <c r="T71" s="15"/>
      <c r="U71" s="1"/>
      <c r="V71" s="1"/>
      <c r="W71" s="1"/>
      <c r="X71" s="1"/>
      <c r="Y71" s="1"/>
      <c r="Z71" s="1"/>
      <c r="AA71" s="1"/>
      <c r="AB71" s="246"/>
    </row>
    <row r="72" spans="2:28" ht="16.5" thickBot="1">
      <c r="B72" s="11"/>
      <c r="C72" s="1"/>
      <c r="D72" s="1"/>
      <c r="E72" s="5" t="s">
        <v>153</v>
      </c>
      <c r="F72" s="347" t="s">
        <v>6</v>
      </c>
      <c r="G72" s="411" t="s">
        <v>7</v>
      </c>
      <c r="H72" s="293"/>
      <c r="I72" s="17"/>
      <c r="J72" s="246"/>
      <c r="K72" s="1"/>
      <c r="L72" s="298"/>
      <c r="M72" s="15"/>
      <c r="N72" s="15"/>
      <c r="O72" s="465" t="s">
        <v>154</v>
      </c>
      <c r="P72" s="466" t="s">
        <v>47</v>
      </c>
      <c r="Q72" s="537"/>
      <c r="R72" s="15"/>
      <c r="S72" s="12" t="s">
        <v>12</v>
      </c>
      <c r="T72" s="15"/>
      <c r="U72" s="15"/>
      <c r="V72" s="1"/>
      <c r="W72" s="1"/>
      <c r="X72" s="1"/>
      <c r="Y72" s="1"/>
      <c r="Z72" s="1"/>
      <c r="AA72" s="1"/>
      <c r="AB72" s="246"/>
    </row>
    <row r="73" spans="2:28" ht="16.5" thickBot="1">
      <c r="B73" s="11"/>
      <c r="C73" s="373"/>
      <c r="D73" s="1"/>
      <c r="E73" s="438" t="s">
        <v>155</v>
      </c>
      <c r="F73" s="525"/>
      <c r="G73" s="547" t="s">
        <v>83</v>
      </c>
      <c r="H73" s="282"/>
      <c r="I73" s="12" t="s">
        <v>12</v>
      </c>
      <c r="J73" s="246"/>
      <c r="K73" s="1"/>
      <c r="L73" s="298"/>
      <c r="M73" s="375"/>
      <c r="N73" s="15"/>
      <c r="O73" s="540" t="s">
        <v>156</v>
      </c>
      <c r="P73" s="439" t="s">
        <v>19</v>
      </c>
      <c r="Q73" s="539">
        <v>0.02</v>
      </c>
      <c r="R73" s="15"/>
      <c r="S73" s="12" t="s">
        <v>12</v>
      </c>
      <c r="T73" s="15"/>
      <c r="U73" s="1"/>
      <c r="V73" s="1"/>
      <c r="W73" s="1"/>
      <c r="X73" s="1"/>
      <c r="Y73" s="1"/>
      <c r="Z73" s="1"/>
      <c r="AA73" s="1"/>
      <c r="AB73" s="246"/>
    </row>
    <row r="74" spans="2:28" ht="16.5" thickBot="1">
      <c r="B74" s="11"/>
      <c r="C74" s="369"/>
      <c r="D74" s="1">
        <f>IF(OR(G74&lt;0,G74=""),1,0)</f>
        <v>0</v>
      </c>
      <c r="E74" s="458" t="s">
        <v>157</v>
      </c>
      <c r="F74" s="450" t="s">
        <v>19</v>
      </c>
      <c r="G74" s="548">
        <v>7.3319999999999996E-2</v>
      </c>
      <c r="H74" s="270"/>
      <c r="I74" s="12" t="s">
        <v>12</v>
      </c>
      <c r="J74" s="403"/>
      <c r="K74" s="1"/>
      <c r="L74" s="11"/>
      <c r="M74" s="1"/>
      <c r="N74" s="1"/>
      <c r="O74" s="1"/>
      <c r="P74" s="1"/>
      <c r="Q74" s="1"/>
      <c r="R74" s="1"/>
      <c r="S74" s="1"/>
      <c r="T74" s="1"/>
      <c r="U74" s="1"/>
      <c r="V74" s="1"/>
      <c r="W74" s="1"/>
      <c r="X74" s="1"/>
      <c r="Y74" s="1"/>
      <c r="Z74" s="1"/>
      <c r="AA74" s="1"/>
      <c r="AB74" s="246"/>
    </row>
    <row r="75" spans="2:28" ht="16.5" thickBot="1">
      <c r="B75" s="11"/>
      <c r="C75" s="373"/>
      <c r="D75" s="1"/>
      <c r="E75" s="513" t="s">
        <v>75</v>
      </c>
      <c r="F75" s="549"/>
      <c r="G75" s="517" t="s">
        <v>76</v>
      </c>
      <c r="H75" s="282"/>
      <c r="I75" s="12" t="s">
        <v>12</v>
      </c>
      <c r="J75" s="246"/>
      <c r="K75" s="1"/>
      <c r="L75" s="11"/>
      <c r="M75" s="15"/>
      <c r="N75" s="15"/>
      <c r="O75" s="348" t="s">
        <v>158</v>
      </c>
      <c r="P75" s="432" t="s">
        <v>159</v>
      </c>
      <c r="Q75" s="432"/>
      <c r="R75" s="432"/>
      <c r="S75" s="432"/>
      <c r="T75" s="432"/>
      <c r="U75" s="432"/>
      <c r="V75" s="432"/>
      <c r="W75" s="432"/>
      <c r="X75" s="432"/>
      <c r="Y75" s="432"/>
      <c r="Z75" s="315"/>
      <c r="AA75" s="1"/>
      <c r="AB75" s="246"/>
    </row>
    <row r="76" spans="2:28" ht="15.75">
      <c r="B76" s="11"/>
      <c r="C76" s="369"/>
      <c r="D76" s="1">
        <f>IF(OR(G76&lt;0,G76=""),1,0)</f>
        <v>0</v>
      </c>
      <c r="E76" s="458" t="s">
        <v>160</v>
      </c>
      <c r="F76" s="450" t="s">
        <v>19</v>
      </c>
      <c r="G76" s="682">
        <v>2.8912E-2</v>
      </c>
      <c r="H76" s="270"/>
      <c r="I76" s="12" t="s">
        <v>12</v>
      </c>
      <c r="J76" s="403"/>
      <c r="K76" s="1"/>
      <c r="L76" s="11"/>
      <c r="M76" s="373"/>
      <c r="N76" s="15"/>
      <c r="O76" s="515" t="s">
        <v>161</v>
      </c>
      <c r="P76" s="496" t="str">
        <f>[2]Input_Dashboard!$D$141</f>
        <v>No</v>
      </c>
      <c r="Q76" s="1"/>
      <c r="R76" s="1"/>
      <c r="S76" s="419" t="s">
        <v>12</v>
      </c>
      <c r="T76" s="1"/>
      <c r="U76" s="1"/>
      <c r="V76" s="1"/>
      <c r="W76" s="1"/>
      <c r="X76" s="1"/>
      <c r="Y76" s="1"/>
      <c r="Z76" s="246"/>
      <c r="AA76" s="1"/>
      <c r="AB76" s="246"/>
    </row>
    <row r="77" spans="2:28" ht="16.5" thickBot="1">
      <c r="B77" s="11"/>
      <c r="C77" s="373"/>
      <c r="D77" s="1"/>
      <c r="E77" s="513" t="s">
        <v>162</v>
      </c>
      <c r="F77" s="549"/>
      <c r="G77" s="517" t="s">
        <v>76</v>
      </c>
      <c r="H77" s="282"/>
      <c r="I77" s="12" t="s">
        <v>12</v>
      </c>
      <c r="J77" s="403"/>
      <c r="K77" s="1"/>
      <c r="L77" s="11"/>
      <c r="M77" s="375"/>
      <c r="N77" s="1"/>
      <c r="O77" s="455" t="s">
        <v>163</v>
      </c>
      <c r="P77" s="683">
        <f>[2]Input_Dashboard!D142</f>
        <v>0</v>
      </c>
      <c r="Q77" s="1"/>
      <c r="R77" s="1"/>
      <c r="S77" s="12" t="s">
        <v>12</v>
      </c>
      <c r="T77" s="1"/>
      <c r="U77" s="1"/>
      <c r="V77" s="1"/>
      <c r="W77" s="1"/>
      <c r="X77" s="1"/>
      <c r="Y77" s="1"/>
      <c r="Z77" s="246"/>
      <c r="AA77" s="1"/>
      <c r="AB77" s="246"/>
    </row>
    <row r="78" spans="2:28" ht="16.5" thickBot="1">
      <c r="B78" s="11"/>
      <c r="C78" s="1"/>
      <c r="D78" s="1"/>
      <c r="E78" s="550" t="s">
        <v>164</v>
      </c>
      <c r="F78" s="551" t="s">
        <v>19</v>
      </c>
      <c r="G78" s="552"/>
      <c r="H78" s="295"/>
      <c r="I78" s="12" t="s">
        <v>12</v>
      </c>
      <c r="J78" s="403"/>
      <c r="K78" s="1"/>
      <c r="L78" s="11"/>
      <c r="M78" s="1"/>
      <c r="N78" s="1"/>
      <c r="O78" s="296"/>
      <c r="P78" s="40"/>
      <c r="Q78" s="40"/>
      <c r="R78" s="40"/>
      <c r="S78" s="40"/>
      <c r="T78" s="40"/>
      <c r="U78" s="40"/>
      <c r="V78" s="40"/>
      <c r="W78" s="40"/>
      <c r="X78" s="40"/>
      <c r="Y78" s="40"/>
      <c r="Z78" s="305"/>
      <c r="AA78" s="1"/>
      <c r="AB78" s="246"/>
    </row>
    <row r="79" spans="2:28" ht="16.5" thickBot="1">
      <c r="B79" s="11"/>
      <c r="C79" s="1"/>
      <c r="D79" s="1"/>
      <c r="E79" s="455" t="s">
        <v>158</v>
      </c>
      <c r="F79" s="498"/>
      <c r="G79" s="499" t="s">
        <v>165</v>
      </c>
      <c r="H79" s="55"/>
      <c r="I79" s="12" t="s">
        <v>12</v>
      </c>
      <c r="J79" s="246"/>
      <c r="K79" s="1"/>
      <c r="L79" s="11"/>
      <c r="M79" s="15"/>
      <c r="N79" s="15"/>
      <c r="O79" s="542" t="s">
        <v>166</v>
      </c>
      <c r="P79" s="543" t="s">
        <v>167</v>
      </c>
      <c r="Q79" s="648" t="s">
        <v>168</v>
      </c>
      <c r="R79" s="775" t="s">
        <v>169</v>
      </c>
      <c r="S79" s="776"/>
      <c r="T79" s="777"/>
      <c r="U79" s="543" t="s">
        <v>170</v>
      </c>
      <c r="V79" s="543" t="s">
        <v>171</v>
      </c>
      <c r="W79" s="543" t="s">
        <v>172</v>
      </c>
      <c r="X79" s="543" t="s">
        <v>173</v>
      </c>
      <c r="Y79" s="543" t="s">
        <v>174</v>
      </c>
      <c r="Z79" s="544" t="s">
        <v>175</v>
      </c>
      <c r="AA79" s="1"/>
      <c r="AB79" s="246"/>
    </row>
    <row r="80" spans="2:28" ht="16.5" thickBot="1">
      <c r="B80" s="11"/>
      <c r="C80" s="1"/>
      <c r="D80" s="1"/>
      <c r="E80" s="1"/>
      <c r="F80" s="1"/>
      <c r="G80" s="1"/>
      <c r="H80" s="1"/>
      <c r="I80" s="1"/>
      <c r="J80" s="246"/>
      <c r="K80" s="1"/>
      <c r="L80" s="11">
        <f>IF(AND($G$73="Yes",$G$15="Simple"),1,0)</f>
        <v>0</v>
      </c>
      <c r="M80" s="15"/>
      <c r="N80" s="230">
        <f>IF(AND($G$15="Simple",SUM(P80:Z80)=1),1,IF(AND($G$15="Simple",SUM(P80:Z80)&lt;&gt;1),2,0))</f>
        <v>0</v>
      </c>
      <c r="O80" s="545" t="str">
        <f t="shared" ref="O80:O85" si="0">E16</f>
        <v>Total Installed Cost</v>
      </c>
      <c r="P80" s="590">
        <v>0.94</v>
      </c>
      <c r="Q80" s="649">
        <v>0</v>
      </c>
      <c r="R80" s="778">
        <v>1.4999999999999999E-2</v>
      </c>
      <c r="S80" s="779"/>
      <c r="T80" s="780"/>
      <c r="U80" s="590">
        <v>0.01</v>
      </c>
      <c r="V80" s="590">
        <v>0</v>
      </c>
      <c r="W80" s="590">
        <v>0</v>
      </c>
      <c r="X80" s="590">
        <v>0.01</v>
      </c>
      <c r="Y80" s="590">
        <v>0</v>
      </c>
      <c r="Z80" s="593">
        <v>2.5000000000000001E-2</v>
      </c>
      <c r="AA80" s="1"/>
      <c r="AB80" s="294" t="s">
        <v>12</v>
      </c>
    </row>
    <row r="81" spans="2:28" ht="16.5" thickBot="1">
      <c r="B81" s="296"/>
      <c r="C81" s="40"/>
      <c r="D81" s="40"/>
      <c r="E81" s="40"/>
      <c r="F81" s="40"/>
      <c r="G81" s="40"/>
      <c r="H81" s="40"/>
      <c r="I81" s="40"/>
      <c r="J81" s="305"/>
      <c r="K81" s="1"/>
      <c r="L81" s="11">
        <f>IF(AND($G$73="Yes",$G$15="Intermediate"),1,0)</f>
        <v>1</v>
      </c>
      <c r="M81" s="15"/>
      <c r="N81" s="230">
        <f>IF(AND($G$15="Intermediate",SUM(P81:Z81)=1),1,IF(AND($G$15="Intermediate",SUM(P81:Z81)&lt;&gt;1),2,0))</f>
        <v>1</v>
      </c>
      <c r="O81" s="595" t="str">
        <f t="shared" si="0"/>
        <v>Generation Equipment</v>
      </c>
      <c r="P81" s="725">
        <v>0</v>
      </c>
      <c r="Q81" s="757">
        <v>0</v>
      </c>
      <c r="R81" s="781">
        <v>0</v>
      </c>
      <c r="S81" s="782"/>
      <c r="T81" s="783"/>
      <c r="U81" s="725">
        <v>0</v>
      </c>
      <c r="V81" s="725">
        <v>0</v>
      </c>
      <c r="W81" s="725">
        <v>0</v>
      </c>
      <c r="X81" s="725">
        <v>0</v>
      </c>
      <c r="Y81" s="725">
        <v>0</v>
      </c>
      <c r="Z81" s="726">
        <v>1</v>
      </c>
      <c r="AA81" s="1"/>
      <c r="AB81" s="294" t="s">
        <v>12</v>
      </c>
    </row>
    <row r="82" spans="2:28" ht="15.75">
      <c r="B82" s="1"/>
      <c r="C82" s="1"/>
      <c r="D82" s="1"/>
      <c r="E82" s="1"/>
      <c r="F82" s="1"/>
      <c r="G82" s="1"/>
      <c r="H82" s="1"/>
      <c r="I82" s="1"/>
      <c r="J82" s="1"/>
      <c r="K82" s="1"/>
      <c r="L82" s="11">
        <f>IF(AND($G$73="Yes",$G$15="Intermediate"),1,0)</f>
        <v>1</v>
      </c>
      <c r="M82" s="15"/>
      <c r="N82" s="230">
        <f>IF(AND($G$15="Intermediate",SUM(P82:Z82)=1),1,IF(AND($G$15="Intermediate",SUM(P82:Z82)&lt;&gt;1),2,0))</f>
        <v>1</v>
      </c>
      <c r="O82" s="596" t="str">
        <f t="shared" si="0"/>
        <v>Balance of Plant</v>
      </c>
      <c r="P82" s="724">
        <v>0</v>
      </c>
      <c r="Q82" s="724">
        <v>0</v>
      </c>
      <c r="R82" s="784">
        <v>0</v>
      </c>
      <c r="S82" s="785"/>
      <c r="T82" s="786"/>
      <c r="U82" s="724">
        <v>0</v>
      </c>
      <c r="V82" s="724">
        <v>0</v>
      </c>
      <c r="W82" s="724">
        <v>0</v>
      </c>
      <c r="X82" s="724">
        <v>0</v>
      </c>
      <c r="Y82" s="724">
        <v>0</v>
      </c>
      <c r="Z82" s="727">
        <v>1</v>
      </c>
      <c r="AA82" s="1"/>
      <c r="AB82" s="294" t="s">
        <v>12</v>
      </c>
    </row>
    <row r="83" spans="2:28" ht="15.75">
      <c r="B83" s="1"/>
      <c r="C83" s="1"/>
      <c r="D83" s="1"/>
      <c r="E83" s="1"/>
      <c r="F83" s="1"/>
      <c r="G83" s="1"/>
      <c r="H83" s="1"/>
      <c r="I83" s="1"/>
      <c r="J83" s="1"/>
      <c r="K83" s="1"/>
      <c r="L83" s="11">
        <f>IF(AND($G$73="Yes",$G$15="Intermediate"),1,0)</f>
        <v>1</v>
      </c>
      <c r="M83" s="15"/>
      <c r="N83" s="230">
        <f>IF(AND($G$15="Intermediate",SUM(P83:Z83)=1),1,IF(AND($G$15="Intermediate",SUM(P83:Z83)&lt;&gt;1),2,0))</f>
        <v>1</v>
      </c>
      <c r="O83" s="596" t="str">
        <f t="shared" si="0"/>
        <v>Interconnection</v>
      </c>
      <c r="P83" s="724">
        <v>0</v>
      </c>
      <c r="Q83" s="724">
        <v>0</v>
      </c>
      <c r="R83" s="784">
        <v>0</v>
      </c>
      <c r="S83" s="785"/>
      <c r="T83" s="786"/>
      <c r="U83" s="724">
        <v>0</v>
      </c>
      <c r="V83" s="724">
        <v>0</v>
      </c>
      <c r="W83" s="724">
        <v>0</v>
      </c>
      <c r="X83" s="724">
        <v>0</v>
      </c>
      <c r="Y83" s="724">
        <v>0</v>
      </c>
      <c r="Z83" s="727">
        <v>1</v>
      </c>
      <c r="AA83" s="1"/>
      <c r="AB83" s="294" t="s">
        <v>12</v>
      </c>
    </row>
    <row r="84" spans="2:28" ht="15.75">
      <c r="B84" s="1"/>
      <c r="C84" s="1"/>
      <c r="D84" s="1"/>
      <c r="E84" s="1"/>
      <c r="F84" s="1"/>
      <c r="G84" s="1"/>
      <c r="H84" s="1"/>
      <c r="I84" s="1"/>
      <c r="J84" s="1"/>
      <c r="K84" s="1"/>
      <c r="L84" s="11">
        <f>IF(AND($G$73="Yes",$G$15="Intermediate"),1,0)</f>
        <v>1</v>
      </c>
      <c r="M84" s="15"/>
      <c r="N84" s="230">
        <f>IF(AND($G$15="Intermediate",SUM(P84:Z84)=1),1,IF(AND($G$15="Intermediate",SUM(P84:Z84)&lt;&gt;1),2,0))</f>
        <v>1</v>
      </c>
      <c r="O84" s="596" t="str">
        <f t="shared" si="0"/>
        <v>Development Costs &amp; Fee</v>
      </c>
      <c r="P84" s="724">
        <v>0</v>
      </c>
      <c r="Q84" s="724">
        <v>0</v>
      </c>
      <c r="R84" s="784">
        <v>0</v>
      </c>
      <c r="S84" s="785"/>
      <c r="T84" s="786"/>
      <c r="U84" s="724">
        <v>0</v>
      </c>
      <c r="V84" s="724">
        <v>0</v>
      </c>
      <c r="W84" s="724">
        <v>0</v>
      </c>
      <c r="X84" s="724">
        <v>0</v>
      </c>
      <c r="Y84" s="724">
        <v>0</v>
      </c>
      <c r="Z84" s="727">
        <v>1</v>
      </c>
      <c r="AA84" s="1"/>
      <c r="AB84" s="294" t="s">
        <v>12</v>
      </c>
    </row>
    <row r="85" spans="2:28" ht="16.5" thickBot="1">
      <c r="B85" s="1"/>
      <c r="C85" s="1"/>
      <c r="D85" s="1"/>
      <c r="E85" s="1"/>
      <c r="F85" s="1"/>
      <c r="G85" s="1"/>
      <c r="H85" s="1"/>
      <c r="I85" s="1"/>
      <c r="J85" s="1"/>
      <c r="K85" s="1"/>
      <c r="L85" s="11">
        <f>IF(AND($G$73="Yes",$G$15="Intermediate"),1,0)</f>
        <v>1</v>
      </c>
      <c r="M85" s="15"/>
      <c r="N85" s="230">
        <f>IF(AND($G$15="Intermediate",SUM(P85:Z85)=1),1,IF(AND($G$15="Intermediate",SUM(P85:Z85)&lt;&gt;1),2,0))</f>
        <v>1</v>
      </c>
      <c r="O85" s="597" t="str">
        <f t="shared" si="0"/>
        <v>Reserves &amp; Financing Costs</v>
      </c>
      <c r="P85" s="729">
        <v>0</v>
      </c>
      <c r="Q85" s="729">
        <v>0</v>
      </c>
      <c r="R85" s="766">
        <v>0</v>
      </c>
      <c r="S85" s="767"/>
      <c r="T85" s="768"/>
      <c r="U85" s="729">
        <v>0</v>
      </c>
      <c r="V85" s="729">
        <v>0</v>
      </c>
      <c r="W85" s="729">
        <v>0</v>
      </c>
      <c r="X85" s="729">
        <v>0</v>
      </c>
      <c r="Y85" s="729">
        <v>0</v>
      </c>
      <c r="Z85" s="730">
        <v>1</v>
      </c>
      <c r="AA85" s="1"/>
      <c r="AB85" s="294" t="s">
        <v>12</v>
      </c>
    </row>
    <row r="86" spans="2:28" ht="16.5" thickBot="1">
      <c r="B86" s="1"/>
      <c r="C86" s="1"/>
      <c r="D86" s="1"/>
      <c r="E86" s="1"/>
      <c r="F86" s="1"/>
      <c r="G86" s="1"/>
      <c r="H86" s="1"/>
      <c r="I86" s="1"/>
      <c r="J86" s="1"/>
      <c r="K86" s="1"/>
      <c r="L86" s="296">
        <f>IF(AND($G$73="Yes",$G$15="Complex"),1,0)</f>
        <v>0</v>
      </c>
      <c r="M86" s="647"/>
      <c r="N86" s="647"/>
      <c r="O86" s="546" t="s">
        <v>176</v>
      </c>
      <c r="P86" s="591"/>
      <c r="Q86" s="592"/>
      <c r="R86" s="769"/>
      <c r="S86" s="770"/>
      <c r="T86" s="771"/>
      <c r="U86" s="591"/>
      <c r="V86" s="591"/>
      <c r="W86" s="591"/>
      <c r="X86" s="591"/>
      <c r="Y86" s="591"/>
      <c r="Z86" s="594"/>
      <c r="AA86" s="40"/>
      <c r="AB86" s="421" t="s">
        <v>12</v>
      </c>
    </row>
    <row r="88" spans="2:28" ht="36.75" thickBot="1">
      <c r="E88" s="731" t="s">
        <v>177</v>
      </c>
    </row>
    <row r="89" spans="2:28" ht="18.75" thickBot="1">
      <c r="B89" s="413"/>
      <c r="C89" s="772" t="s">
        <v>1</v>
      </c>
      <c r="D89" s="772"/>
      <c r="E89" s="772"/>
      <c r="F89" s="772"/>
      <c r="G89" s="772"/>
      <c r="H89" s="772"/>
      <c r="I89" s="772"/>
      <c r="J89" s="772"/>
      <c r="K89" s="772"/>
      <c r="L89" s="773"/>
      <c r="M89" s="773"/>
      <c r="N89" s="773"/>
      <c r="O89" s="773"/>
      <c r="P89" s="773"/>
      <c r="Q89" s="773"/>
      <c r="R89" s="773"/>
      <c r="S89" s="773"/>
      <c r="T89" s="773"/>
      <c r="U89" s="328"/>
      <c r="V89" s="329"/>
      <c r="W89" s="329"/>
      <c r="X89" s="329"/>
      <c r="Y89" s="329"/>
      <c r="Z89" s="329"/>
      <c r="AA89" s="329"/>
      <c r="AB89" s="330"/>
    </row>
    <row r="90" spans="2:28" ht="18">
      <c r="B90" s="11"/>
      <c r="C90" s="266"/>
      <c r="D90" s="266"/>
      <c r="E90" s="266"/>
      <c r="F90" s="266"/>
      <c r="G90" s="266"/>
      <c r="H90" s="266"/>
      <c r="I90" s="266"/>
      <c r="J90" s="266"/>
      <c r="K90" s="341"/>
      <c r="L90" s="265"/>
      <c r="M90" s="266"/>
      <c r="N90" s="266"/>
      <c r="O90" s="266"/>
      <c r="P90" s="266"/>
      <c r="Q90" s="266"/>
      <c r="R90" s="266"/>
      <c r="S90" s="266"/>
      <c r="T90" s="266"/>
      <c r="U90" s="266"/>
      <c r="V90" s="267"/>
      <c r="W90" s="267"/>
      <c r="X90" s="267"/>
      <c r="Y90" s="267"/>
      <c r="Z90" s="267"/>
      <c r="AA90" s="267"/>
      <c r="AB90" s="297"/>
    </row>
    <row r="91" spans="2:28" ht="18.75" thickBot="1">
      <c r="B91" s="11"/>
      <c r="C91" s="401" t="s">
        <v>2</v>
      </c>
      <c r="D91" s="14"/>
      <c r="E91" s="1"/>
      <c r="F91" s="15"/>
      <c r="G91" s="1"/>
      <c r="H91" s="392"/>
      <c r="I91" s="414" t="s">
        <v>3</v>
      </c>
      <c r="J91" s="1"/>
      <c r="K91" s="342"/>
      <c r="L91" s="298"/>
      <c r="M91" s="401" t="s">
        <v>2</v>
      </c>
      <c r="N91" s="15"/>
      <c r="O91" s="774" t="s">
        <v>4</v>
      </c>
      <c r="P91" s="774"/>
      <c r="Q91" s="420"/>
      <c r="R91" s="15"/>
      <c r="S91" s="401" t="s">
        <v>3</v>
      </c>
      <c r="T91" s="393"/>
      <c r="U91" s="14"/>
      <c r="V91" s="1"/>
      <c r="W91" s="1"/>
      <c r="X91" s="1"/>
      <c r="Y91" s="1"/>
      <c r="Z91" s="1"/>
      <c r="AA91" s="1"/>
      <c r="AB91" s="246"/>
    </row>
    <row r="92" spans="2:28" ht="18.75" thickBot="1">
      <c r="B92" s="415"/>
      <c r="C92" s="267"/>
      <c r="D92" s="267"/>
      <c r="E92" s="20"/>
      <c r="F92" s="16"/>
      <c r="G92" s="19"/>
      <c r="H92" s="416"/>
      <c r="I92" s="417"/>
      <c r="J92" s="418"/>
      <c r="K92" s="15"/>
      <c r="L92" s="415"/>
      <c r="M92" s="267"/>
      <c r="N92" s="267"/>
      <c r="O92" s="267"/>
      <c r="P92" s="267"/>
      <c r="Q92" s="267"/>
      <c r="R92" s="267"/>
      <c r="S92" s="267"/>
      <c r="T92" s="267"/>
      <c r="U92" s="267"/>
      <c r="V92" s="267"/>
      <c r="W92" s="267"/>
      <c r="X92" s="267"/>
      <c r="Y92" s="267"/>
      <c r="Z92" s="267"/>
      <c r="AA92" s="267"/>
      <c r="AB92" s="297"/>
    </row>
    <row r="93" spans="2:28" ht="21" thickBot="1">
      <c r="B93" s="11"/>
      <c r="C93" s="1"/>
      <c r="D93" s="1"/>
      <c r="E93" s="2" t="s">
        <v>5</v>
      </c>
      <c r="F93" s="347" t="s">
        <v>6</v>
      </c>
      <c r="G93" s="411" t="s">
        <v>7</v>
      </c>
      <c r="H93" s="57"/>
      <c r="I93" s="17"/>
      <c r="J93" s="402"/>
      <c r="K93" s="15"/>
      <c r="L93" s="11"/>
      <c r="M93" s="1"/>
      <c r="N93" s="1"/>
      <c r="O93" s="2" t="s">
        <v>8</v>
      </c>
      <c r="P93" s="347" t="s">
        <v>6</v>
      </c>
      <c r="Q93" s="411" t="s">
        <v>7</v>
      </c>
      <c r="R93" s="1"/>
      <c r="S93" s="1"/>
      <c r="T93" s="1"/>
      <c r="U93" s="645" t="s">
        <v>9</v>
      </c>
      <c r="V93" s="1"/>
      <c r="W93" s="1"/>
      <c r="X93" s="1"/>
      <c r="Y93" s="1"/>
      <c r="Z93" s="1"/>
      <c r="AA93" s="1"/>
      <c r="AB93" s="246"/>
    </row>
    <row r="94" spans="2:28" ht="15.75">
      <c r="B94" s="11"/>
      <c r="C94" s="317"/>
      <c r="D94" s="1"/>
      <c r="E94" s="458" t="s">
        <v>10</v>
      </c>
      <c r="F94" s="450" t="s">
        <v>11</v>
      </c>
      <c r="G94" s="717">
        <v>25</v>
      </c>
      <c r="H94" s="269"/>
      <c r="I94" s="12" t="s">
        <v>12</v>
      </c>
      <c r="J94" s="403"/>
      <c r="K94" s="15"/>
      <c r="L94" s="11"/>
      <c r="M94" s="371"/>
      <c r="N94" s="1">
        <f>IF(OR(Q94&lt;=0,Q94&gt;G98),1,0)</f>
        <v>0</v>
      </c>
      <c r="O94" s="458" t="s">
        <v>13</v>
      </c>
      <c r="P94" s="450" t="s">
        <v>14</v>
      </c>
      <c r="Q94" s="667">
        <v>20</v>
      </c>
      <c r="R94" s="272"/>
      <c r="S94" s="12" t="s">
        <v>12</v>
      </c>
      <c r="T94" s="340"/>
      <c r="U94" s="656" t="s">
        <v>15</v>
      </c>
      <c r="V94" s="657" t="s">
        <v>16</v>
      </c>
      <c r="W94" s="658" t="s">
        <v>17</v>
      </c>
      <c r="X94" s="1"/>
      <c r="Y94" s="1"/>
      <c r="Z94" s="1"/>
      <c r="AA94" s="1"/>
      <c r="AB94" s="246"/>
    </row>
    <row r="95" spans="2:28" ht="15.75">
      <c r="B95" s="11"/>
      <c r="C95" s="370"/>
      <c r="D95" s="1">
        <f>IF(OR(G95&lt;=0,G95&gt;1),1,0)</f>
        <v>0</v>
      </c>
      <c r="E95" s="451" t="s">
        <v>18</v>
      </c>
      <c r="F95" s="7" t="s">
        <v>19</v>
      </c>
      <c r="G95" s="472">
        <v>0.13400000000000001</v>
      </c>
      <c r="H95" s="270"/>
      <c r="I95" s="12" t="s">
        <v>12</v>
      </c>
      <c r="J95" s="403"/>
      <c r="K95" s="15"/>
      <c r="L95" s="11"/>
      <c r="M95" s="317"/>
      <c r="N95" s="1"/>
      <c r="O95" s="451" t="s">
        <v>20</v>
      </c>
      <c r="P95" s="7" t="s">
        <v>19</v>
      </c>
      <c r="Q95" s="472">
        <v>0</v>
      </c>
      <c r="R95" s="270">
        <v>0</v>
      </c>
      <c r="S95" s="12" t="s">
        <v>12</v>
      </c>
      <c r="T95" s="340"/>
      <c r="U95" s="474" t="s">
        <v>21</v>
      </c>
      <c r="V95" s="633" t="s">
        <v>22</v>
      </c>
      <c r="W95" s="646" t="s">
        <v>23</v>
      </c>
      <c r="X95" s="1"/>
      <c r="Y95" s="1"/>
      <c r="Z95" s="1"/>
      <c r="AA95" s="1"/>
      <c r="AB95" s="246"/>
    </row>
    <row r="96" spans="2:28" ht="16.5" thickBot="1">
      <c r="B96" s="11"/>
      <c r="C96" s="285"/>
      <c r="D96" s="1"/>
      <c r="E96" s="451" t="s">
        <v>24</v>
      </c>
      <c r="F96" s="8" t="s">
        <v>25</v>
      </c>
      <c r="G96" s="473"/>
      <c r="H96" s="271"/>
      <c r="I96" s="12" t="s">
        <v>12</v>
      </c>
      <c r="J96" s="403"/>
      <c r="K96" s="15"/>
      <c r="L96" s="11"/>
      <c r="M96" s="316"/>
      <c r="N96" s="1"/>
      <c r="O96" s="461" t="s">
        <v>26</v>
      </c>
      <c r="P96" s="466" t="s">
        <v>19</v>
      </c>
      <c r="Q96" s="472">
        <v>0</v>
      </c>
      <c r="R96" s="270"/>
      <c r="S96" s="12" t="s">
        <v>12</v>
      </c>
      <c r="T96" s="340"/>
      <c r="U96" s="451" t="s">
        <v>27</v>
      </c>
      <c r="V96" s="633" t="s">
        <v>22</v>
      </c>
      <c r="W96" s="646" t="s">
        <v>178</v>
      </c>
      <c r="X96" s="1"/>
      <c r="Y96" s="1"/>
      <c r="Z96" s="1"/>
      <c r="AA96" s="1"/>
      <c r="AB96" s="246"/>
    </row>
    <row r="97" spans="2:28" ht="16.5" thickBot="1">
      <c r="B97" s="11"/>
      <c r="C97" s="369"/>
      <c r="D97" s="1">
        <f>IF(OR(G97&lt;0,G97&gt;1),1,0)</f>
        <v>0</v>
      </c>
      <c r="E97" s="453" t="s">
        <v>29</v>
      </c>
      <c r="F97" s="7" t="s">
        <v>19</v>
      </c>
      <c r="G97" s="472">
        <v>0.01</v>
      </c>
      <c r="H97" s="270"/>
      <c r="I97" s="12" t="s">
        <v>12</v>
      </c>
      <c r="J97" s="403"/>
      <c r="K97" s="15"/>
      <c r="L97" s="298"/>
      <c r="M97" s="15"/>
      <c r="N97" s="15"/>
      <c r="O97" s="15"/>
      <c r="P97" s="15"/>
      <c r="Q97" s="15"/>
      <c r="R97" s="15"/>
      <c r="S97" s="15"/>
      <c r="T97" s="15"/>
      <c r="U97" s="639"/>
      <c r="V97" s="636"/>
      <c r="W97" s="640"/>
      <c r="X97" s="123"/>
      <c r="Y97" s="123"/>
      <c r="Z97" s="123"/>
      <c r="AA97" s="1"/>
      <c r="AB97" s="246"/>
    </row>
    <row r="98" spans="2:28" ht="16.5" thickBot="1">
      <c r="B98" s="11"/>
      <c r="C98" s="371"/>
      <c r="D98" s="1">
        <f>IF(OR(G98&lt;1,G98&gt;30),1,0)</f>
        <v>0</v>
      </c>
      <c r="E98" s="455" t="s">
        <v>30</v>
      </c>
      <c r="F98" s="466" t="s">
        <v>14</v>
      </c>
      <c r="G98" s="581">
        <v>25</v>
      </c>
      <c r="H98" s="272"/>
      <c r="I98" s="12" t="s">
        <v>12</v>
      </c>
      <c r="J98" s="403"/>
      <c r="K98" s="15"/>
      <c r="L98" s="298"/>
      <c r="M98" s="1"/>
      <c r="N98" s="1"/>
      <c r="O98" s="2" t="s">
        <v>31</v>
      </c>
      <c r="P98" s="3"/>
      <c r="Q98" s="4"/>
      <c r="R98" s="15"/>
      <c r="S98" s="12" t="s">
        <v>12</v>
      </c>
      <c r="T98" s="123"/>
      <c r="U98" s="474" t="s">
        <v>32</v>
      </c>
      <c r="V98" s="634" t="s">
        <v>33</v>
      </c>
      <c r="W98" s="669">
        <v>0</v>
      </c>
      <c r="X98" s="178"/>
      <c r="Y98" s="178"/>
      <c r="Z98" s="178"/>
      <c r="AA98" s="1"/>
      <c r="AB98" s="246"/>
    </row>
    <row r="99" spans="2:28" ht="16.5" thickBot="1">
      <c r="B99" s="11"/>
      <c r="C99" s="1"/>
      <c r="D99" s="1"/>
      <c r="E99" s="1"/>
      <c r="F99" s="1"/>
      <c r="G99" s="17"/>
      <c r="H99" s="17"/>
      <c r="I99" s="13"/>
      <c r="J99" s="403"/>
      <c r="K99" s="15"/>
      <c r="L99" s="298"/>
      <c r="M99" s="369"/>
      <c r="N99" s="1"/>
      <c r="O99" s="500" t="s">
        <v>34</v>
      </c>
      <c r="P99" s="501"/>
      <c r="Q99" s="502" t="s">
        <v>35</v>
      </c>
      <c r="R99" s="1"/>
      <c r="S99" s="345" t="s">
        <v>12</v>
      </c>
      <c r="T99" s="346">
        <f>IF(Q94&lt;G98,1,0)</f>
        <v>1</v>
      </c>
      <c r="U99" s="641" t="s">
        <v>36</v>
      </c>
      <c r="V99" s="635" t="s">
        <v>19</v>
      </c>
      <c r="W99" s="670">
        <v>0</v>
      </c>
      <c r="X99" s="1"/>
      <c r="Y99" s="123"/>
      <c r="Z99" s="123"/>
      <c r="AA99" s="1"/>
      <c r="AB99" s="246"/>
    </row>
    <row r="100" spans="2:28" ht="16.5" thickBot="1">
      <c r="B100" s="11"/>
      <c r="C100" s="1"/>
      <c r="D100" s="1"/>
      <c r="E100" s="10" t="s">
        <v>37</v>
      </c>
      <c r="F100" s="347" t="s">
        <v>6</v>
      </c>
      <c r="G100" s="411" t="s">
        <v>7</v>
      </c>
      <c r="H100" s="283"/>
      <c r="I100" s="13"/>
      <c r="J100" s="403"/>
      <c r="K100" s="15"/>
      <c r="L100" s="298"/>
      <c r="M100" s="369"/>
      <c r="N100" s="1">
        <f>IF(OR(Q100&lt;=0,Q100=""),1,0)</f>
        <v>0</v>
      </c>
      <c r="O100" s="503" t="s">
        <v>38</v>
      </c>
      <c r="P100" s="343" t="s">
        <v>39</v>
      </c>
      <c r="Q100" s="504">
        <v>5</v>
      </c>
      <c r="R100" s="1"/>
      <c r="S100" s="345" t="s">
        <v>12</v>
      </c>
      <c r="T100" s="346">
        <f>IF(AND($Q$8&lt;$G$12,$Q$13="Year One"),1,0)</f>
        <v>0</v>
      </c>
      <c r="U100" s="642"/>
      <c r="V100" s="637"/>
      <c r="W100" s="643"/>
      <c r="X100" s="1"/>
      <c r="Y100" s="123"/>
      <c r="Z100" s="123"/>
      <c r="AA100" s="1"/>
      <c r="AB100" s="246"/>
    </row>
    <row r="101" spans="2:28" ht="16.5" thickBot="1">
      <c r="B101" s="11"/>
      <c r="C101" s="318"/>
      <c r="D101" s="1"/>
      <c r="E101" s="438" t="s">
        <v>40</v>
      </c>
      <c r="F101" s="439"/>
      <c r="G101" s="440" t="s">
        <v>41</v>
      </c>
      <c r="H101" s="281"/>
      <c r="I101" s="12" t="s">
        <v>12</v>
      </c>
      <c r="J101" s="403"/>
      <c r="K101" s="15"/>
      <c r="L101" s="298"/>
      <c r="M101" s="369"/>
      <c r="N101" s="1">
        <f>IF(OR(Q101&lt;=0,Q101=""),1,0)</f>
        <v>0</v>
      </c>
      <c r="O101" s="505" t="s">
        <v>42</v>
      </c>
      <c r="P101" s="344" t="s">
        <v>19</v>
      </c>
      <c r="Q101" s="506">
        <v>0.03</v>
      </c>
      <c r="R101" s="1"/>
      <c r="S101" s="368" t="s">
        <v>12</v>
      </c>
      <c r="T101" s="346">
        <f>IF(AND($Q$8&lt;$G$12,$Q$13="Year One"),1,0)</f>
        <v>0</v>
      </c>
      <c r="U101" s="451" t="s">
        <v>43</v>
      </c>
      <c r="V101" s="633" t="s">
        <v>19</v>
      </c>
      <c r="W101" s="581">
        <v>0</v>
      </c>
      <c r="X101" s="1"/>
      <c r="Y101" s="123"/>
      <c r="Z101" s="123"/>
      <c r="AA101" s="1"/>
      <c r="AB101" s="246"/>
    </row>
    <row r="102" spans="2:28" ht="16.5" thickBot="1">
      <c r="B102" s="11"/>
      <c r="C102" s="319"/>
      <c r="D102" s="1"/>
      <c r="E102" s="441" t="s">
        <v>44</v>
      </c>
      <c r="F102" s="442" t="s">
        <v>33</v>
      </c>
      <c r="G102" s="443">
        <v>2500</v>
      </c>
      <c r="H102" s="273"/>
      <c r="I102" s="366" t="s">
        <v>12</v>
      </c>
      <c r="J102" s="404"/>
      <c r="K102" s="15"/>
      <c r="L102" s="298"/>
      <c r="M102" s="1"/>
      <c r="N102" s="1"/>
      <c r="O102" s="507" t="str">
        <f>IF(OR($Q$13="Year One",$Q$8=$G$12),"","Click Here for Complex Input Worksheet")</f>
        <v>Click Here for Complex Input Worksheet</v>
      </c>
      <c r="P102" s="508"/>
      <c r="Q102" s="509"/>
      <c r="R102" s="1"/>
      <c r="S102" s="366" t="s">
        <v>12</v>
      </c>
      <c r="T102" s="346">
        <f>IF(AND($Q$8&lt;$G$12,$Q$13="Year-by-Year"),1,0)</f>
        <v>1</v>
      </c>
      <c r="U102" s="451" t="s">
        <v>45</v>
      </c>
      <c r="V102" s="633" t="s">
        <v>19</v>
      </c>
      <c r="W102" s="669">
        <v>0</v>
      </c>
      <c r="X102" s="123"/>
      <c r="Y102" s="123"/>
      <c r="Z102" s="123"/>
      <c r="AA102" s="1"/>
      <c r="AB102" s="246"/>
    </row>
    <row r="103" spans="2:28" ht="16.5" thickBot="1">
      <c r="B103" s="11"/>
      <c r="C103" s="320"/>
      <c r="D103" s="1"/>
      <c r="E103" s="444" t="s">
        <v>46</v>
      </c>
      <c r="F103" s="343" t="s">
        <v>47</v>
      </c>
      <c r="G103" s="718">
        <v>98648.008316626292</v>
      </c>
      <c r="H103" s="274"/>
      <c r="I103" s="366" t="s">
        <v>12</v>
      </c>
      <c r="J103" s="403"/>
      <c r="K103" s="15"/>
      <c r="L103" s="298"/>
      <c r="M103" s="1"/>
      <c r="N103" s="1"/>
      <c r="O103" s="1"/>
      <c r="P103" s="1"/>
      <c r="Q103" s="1"/>
      <c r="R103" s="1"/>
      <c r="S103" s="1"/>
      <c r="T103" s="179"/>
      <c r="U103" s="644"/>
      <c r="V103" s="638"/>
      <c r="W103" s="643"/>
      <c r="X103" s="123"/>
      <c r="Y103" s="123"/>
      <c r="Z103" s="123"/>
      <c r="AA103" s="1"/>
      <c r="AB103" s="246"/>
    </row>
    <row r="104" spans="2:28" ht="16.5" thickBot="1">
      <c r="B104" s="11"/>
      <c r="C104" s="376"/>
      <c r="D104" s="1"/>
      <c r="E104" s="444" t="s">
        <v>48</v>
      </c>
      <c r="F104" s="343" t="s">
        <v>47</v>
      </c>
      <c r="G104" s="718">
        <v>0</v>
      </c>
      <c r="H104" s="274"/>
      <c r="I104" s="366" t="s">
        <v>12</v>
      </c>
      <c r="J104" s="403"/>
      <c r="K104" s="15"/>
      <c r="L104" s="298"/>
      <c r="M104" s="1"/>
      <c r="N104" s="1"/>
      <c r="O104" s="5" t="s">
        <v>49</v>
      </c>
      <c r="P104" s="347" t="s">
        <v>6</v>
      </c>
      <c r="Q104" s="411" t="s">
        <v>7</v>
      </c>
      <c r="R104" s="120"/>
      <c r="S104" s="13"/>
      <c r="T104" s="179"/>
      <c r="U104" s="641" t="s">
        <v>50</v>
      </c>
      <c r="V104" s="257" t="s">
        <v>47</v>
      </c>
      <c r="W104" s="581">
        <v>0</v>
      </c>
      <c r="X104" s="123"/>
      <c r="Y104" s="1"/>
      <c r="Z104" s="1"/>
      <c r="AA104" s="1"/>
      <c r="AB104" s="246"/>
    </row>
    <row r="105" spans="2:28" ht="16.5" thickBot="1">
      <c r="B105" s="11"/>
      <c r="C105" s="376"/>
      <c r="D105" s="1"/>
      <c r="E105" s="444" t="s">
        <v>51</v>
      </c>
      <c r="F105" s="343" t="s">
        <v>47</v>
      </c>
      <c r="G105" s="718">
        <v>0</v>
      </c>
      <c r="H105" s="274"/>
      <c r="I105" s="366" t="s">
        <v>12</v>
      </c>
      <c r="J105" s="403"/>
      <c r="K105" s="15"/>
      <c r="L105" s="298"/>
      <c r="M105" s="374"/>
      <c r="N105" s="1"/>
      <c r="O105" s="518" t="s">
        <v>52</v>
      </c>
      <c r="P105" s="519"/>
      <c r="Q105" s="520" t="s">
        <v>53</v>
      </c>
      <c r="R105" s="1"/>
      <c r="S105" s="12" t="s">
        <v>12</v>
      </c>
      <c r="T105" s="1"/>
      <c r="U105" s="489" t="s">
        <v>54</v>
      </c>
      <c r="V105" s="719" t="s">
        <v>55</v>
      </c>
      <c r="W105" s="720">
        <v>0</v>
      </c>
      <c r="X105" s="1"/>
      <c r="Y105" s="1"/>
      <c r="Z105" s="1"/>
      <c r="AA105" s="1"/>
      <c r="AB105" s="246"/>
    </row>
    <row r="106" spans="2:28" ht="15.75">
      <c r="B106" s="11"/>
      <c r="C106" s="376"/>
      <c r="D106" s="1"/>
      <c r="E106" s="604" t="s">
        <v>56</v>
      </c>
      <c r="F106" s="343" t="s">
        <v>47</v>
      </c>
      <c r="G106" s="721">
        <v>0</v>
      </c>
      <c r="H106" s="274"/>
      <c r="I106" s="366" t="s">
        <v>12</v>
      </c>
      <c r="J106" s="403"/>
      <c r="K106" s="15"/>
      <c r="L106" s="298"/>
      <c r="M106" s="374"/>
      <c r="N106" s="1"/>
      <c r="O106" s="458" t="s">
        <v>57</v>
      </c>
      <c r="P106" s="450"/>
      <c r="Q106" s="496" t="s">
        <v>58</v>
      </c>
      <c r="R106" s="15"/>
      <c r="S106" s="12" t="s">
        <v>12</v>
      </c>
      <c r="T106" s="15"/>
      <c r="U106" s="1"/>
      <c r="V106" s="1"/>
      <c r="W106" s="1"/>
      <c r="X106" s="1"/>
      <c r="Y106" s="1"/>
      <c r="Z106" s="1"/>
      <c r="AA106" s="1"/>
      <c r="AB106" s="246"/>
    </row>
    <row r="107" spans="2:28" ht="15.75">
      <c r="B107" s="11"/>
      <c r="C107" s="321"/>
      <c r="D107" s="1"/>
      <c r="E107" s="444" t="s">
        <v>59</v>
      </c>
      <c r="F107" s="343" t="s">
        <v>47</v>
      </c>
      <c r="G107" s="445"/>
      <c r="H107" s="275"/>
      <c r="I107" s="366" t="s">
        <v>12</v>
      </c>
      <c r="J107" s="403"/>
      <c r="K107" s="15"/>
      <c r="L107" s="298"/>
      <c r="M107" s="374"/>
      <c r="N107" s="1">
        <f>IF(OR(Q107&lt;0,Q107&gt;1,Q107=""),1,0)</f>
        <v>0</v>
      </c>
      <c r="O107" s="468" t="s">
        <v>60</v>
      </c>
      <c r="P107" s="6" t="s">
        <v>19</v>
      </c>
      <c r="Q107" s="674">
        <v>0.3</v>
      </c>
      <c r="R107" s="15"/>
      <c r="S107" s="12" t="s">
        <v>12</v>
      </c>
      <c r="T107" s="15"/>
      <c r="U107" s="1"/>
      <c r="V107" s="1"/>
      <c r="W107" s="1"/>
      <c r="X107" s="1"/>
      <c r="Y107" s="1"/>
      <c r="Z107" s="1"/>
      <c r="AA107" s="1"/>
      <c r="AB107" s="246"/>
    </row>
    <row r="108" spans="2:28" ht="16.5" thickBot="1">
      <c r="B108" s="11"/>
      <c r="C108" s="321"/>
      <c r="D108" s="1"/>
      <c r="E108" s="446" t="s">
        <v>61</v>
      </c>
      <c r="F108" s="447" t="str">
        <f>IF($G$15="Complex","$","")</f>
        <v/>
      </c>
      <c r="G108" s="448"/>
      <c r="H108" s="276"/>
      <c r="I108" s="366" t="s">
        <v>12</v>
      </c>
      <c r="J108" s="403"/>
      <c r="K108" s="15"/>
      <c r="L108" s="298"/>
      <c r="M108" s="369"/>
      <c r="N108" s="1">
        <f>IF(OR(Q108&lt;0,Q108&gt;1,Q108=""),1,0)</f>
        <v>0</v>
      </c>
      <c r="O108" s="483" t="s">
        <v>63</v>
      </c>
      <c r="P108" s="24" t="s">
        <v>19</v>
      </c>
      <c r="Q108" s="674">
        <v>1</v>
      </c>
      <c r="R108" s="121"/>
      <c r="S108" s="12" t="s">
        <v>12</v>
      </c>
      <c r="T108" s="367">
        <f>IF(AND($Q$19="Cost-Based",$Q$20="ITC"),1,0)</f>
        <v>1</v>
      </c>
      <c r="U108" s="1"/>
      <c r="V108" s="1"/>
      <c r="W108" s="1"/>
      <c r="X108" s="1"/>
      <c r="Y108" s="1"/>
      <c r="Z108" s="1"/>
      <c r="AA108" s="1"/>
      <c r="AB108" s="246"/>
    </row>
    <row r="109" spans="2:28" ht="16.5" thickBot="1">
      <c r="B109" s="11"/>
      <c r="C109" s="323"/>
      <c r="D109" s="1"/>
      <c r="E109" s="449" t="s">
        <v>44</v>
      </c>
      <c r="F109" s="450" t="s">
        <v>47</v>
      </c>
      <c r="G109" s="675"/>
      <c r="H109" s="276"/>
      <c r="I109" s="12" t="s">
        <v>12</v>
      </c>
      <c r="J109" s="403"/>
      <c r="K109" s="15"/>
      <c r="L109" s="298"/>
      <c r="M109" s="1"/>
      <c r="N109" s="1"/>
      <c r="O109" s="455" t="s">
        <v>64</v>
      </c>
      <c r="P109" s="462" t="s">
        <v>47</v>
      </c>
      <c r="Q109" s="676"/>
      <c r="R109" s="121"/>
      <c r="S109" s="12" t="s">
        <v>12</v>
      </c>
      <c r="T109" s="15"/>
      <c r="U109" s="1"/>
      <c r="V109" s="1"/>
      <c r="W109" s="1"/>
      <c r="X109" s="1"/>
      <c r="Y109" s="1"/>
      <c r="Z109" s="1"/>
      <c r="AA109" s="1"/>
      <c r="AB109" s="246"/>
    </row>
    <row r="110" spans="2:28" ht="15.75">
      <c r="B110" s="11"/>
      <c r="C110" s="323"/>
      <c r="D110" s="1"/>
      <c r="E110" s="451" t="s">
        <v>44</v>
      </c>
      <c r="F110" s="8" t="str">
        <f>F102</f>
        <v>$/kW</v>
      </c>
      <c r="G110" s="452"/>
      <c r="H110" s="284"/>
      <c r="I110" s="12" t="s">
        <v>12</v>
      </c>
      <c r="J110" s="403"/>
      <c r="K110" s="15"/>
      <c r="L110" s="298"/>
      <c r="M110" s="374"/>
      <c r="N110" s="1"/>
      <c r="O110" s="449" t="s">
        <v>65</v>
      </c>
      <c r="P110" s="522"/>
      <c r="Q110" s="510" t="s">
        <v>66</v>
      </c>
      <c r="R110" s="1"/>
      <c r="S110" s="12" t="s">
        <v>12</v>
      </c>
      <c r="T110" s="1"/>
      <c r="U110" s="1"/>
      <c r="V110" s="1"/>
      <c r="W110" s="1"/>
      <c r="X110" s="1"/>
      <c r="Y110" s="1"/>
      <c r="Z110" s="1"/>
      <c r="AA110" s="1"/>
      <c r="AB110" s="246"/>
    </row>
    <row r="111" spans="2:28" ht="15.75">
      <c r="B111" s="11"/>
      <c r="C111" s="322"/>
      <c r="D111" s="1"/>
      <c r="E111" s="453" t="s">
        <v>67</v>
      </c>
      <c r="F111" s="7" t="s">
        <v>47</v>
      </c>
      <c r="G111" s="454"/>
      <c r="H111" s="277"/>
      <c r="I111" s="12" t="s">
        <v>12</v>
      </c>
      <c r="J111" s="403"/>
      <c r="K111" s="15"/>
      <c r="L111" s="298"/>
      <c r="M111" s="369"/>
      <c r="N111" s="1"/>
      <c r="O111" s="451" t="s">
        <v>68</v>
      </c>
      <c r="P111" s="8" t="s">
        <v>39</v>
      </c>
      <c r="Q111" s="512">
        <v>0</v>
      </c>
      <c r="R111" s="15"/>
      <c r="S111" s="12" t="s">
        <v>12</v>
      </c>
      <c r="T111" s="15"/>
      <c r="U111" s="1"/>
      <c r="V111" s="1"/>
      <c r="W111" s="1"/>
      <c r="X111" s="1"/>
      <c r="Y111" s="1"/>
      <c r="Z111" s="1"/>
      <c r="AA111" s="1"/>
      <c r="AB111" s="246"/>
    </row>
    <row r="112" spans="2:28" ht="15.75">
      <c r="B112" s="11"/>
      <c r="C112" s="322"/>
      <c r="D112" s="1"/>
      <c r="E112" s="453" t="s">
        <v>69</v>
      </c>
      <c r="F112" s="7" t="s">
        <v>47</v>
      </c>
      <c r="G112" s="452"/>
      <c r="H112" s="276"/>
      <c r="I112" s="12" t="s">
        <v>12</v>
      </c>
      <c r="J112" s="403"/>
      <c r="K112" s="15"/>
      <c r="L112" s="298"/>
      <c r="M112" s="369"/>
      <c r="N112" s="1">
        <f>IF(OR(Q112&lt;0,Q112&gt;G98),1,0)</f>
        <v>0</v>
      </c>
      <c r="O112" s="451" t="s">
        <v>70</v>
      </c>
      <c r="P112" s="8" t="s">
        <v>71</v>
      </c>
      <c r="Q112" s="464">
        <v>0</v>
      </c>
      <c r="R112" s="15"/>
      <c r="S112" s="12" t="s">
        <v>12</v>
      </c>
      <c r="T112" s="15"/>
      <c r="U112" s="1"/>
      <c r="V112" s="1"/>
      <c r="W112" s="1"/>
      <c r="X112" s="1"/>
      <c r="Y112" s="1"/>
      <c r="Z112" s="1"/>
      <c r="AA112" s="1"/>
      <c r="AB112" s="246"/>
    </row>
    <row r="113" spans="2:28" ht="16.5" thickBot="1">
      <c r="B113" s="11"/>
      <c r="C113" s="323"/>
      <c r="D113" s="1"/>
      <c r="E113" s="455" t="s">
        <v>69</v>
      </c>
      <c r="F113" s="456" t="str">
        <f>F102</f>
        <v>$/kW</v>
      </c>
      <c r="G113" s="457"/>
      <c r="H113" s="284"/>
      <c r="I113" s="12" t="s">
        <v>12</v>
      </c>
      <c r="J113" s="403"/>
      <c r="K113" s="15"/>
      <c r="L113" s="298"/>
      <c r="M113" s="369"/>
      <c r="N113" s="1"/>
      <c r="O113" s="451" t="s">
        <v>72</v>
      </c>
      <c r="P113" s="6" t="s">
        <v>19</v>
      </c>
      <c r="Q113" s="497">
        <v>0</v>
      </c>
      <c r="R113" s="15"/>
      <c r="S113" s="12" t="s">
        <v>12</v>
      </c>
      <c r="T113" s="15"/>
      <c r="U113" s="1"/>
      <c r="V113" s="1"/>
      <c r="W113" s="1"/>
      <c r="X113" s="1"/>
      <c r="Y113" s="1"/>
      <c r="Z113" s="1"/>
      <c r="AA113" s="1"/>
      <c r="AB113" s="246"/>
    </row>
    <row r="114" spans="2:28" ht="16.5" thickBot="1">
      <c r="B114" s="11"/>
      <c r="C114" s="324"/>
      <c r="D114" s="1"/>
      <c r="E114" s="18"/>
      <c r="F114" s="1"/>
      <c r="G114" s="1"/>
      <c r="H114" s="1"/>
      <c r="I114" s="17"/>
      <c r="J114" s="403"/>
      <c r="K114" s="15"/>
      <c r="L114" s="298"/>
      <c r="M114" s="369"/>
      <c r="N114" s="1">
        <f>IF(OR(Q114&lt;0,Q114&gt;1),1,0)</f>
        <v>0</v>
      </c>
      <c r="O114" s="455" t="s">
        <v>73</v>
      </c>
      <c r="P114" s="462" t="s">
        <v>19</v>
      </c>
      <c r="Q114" s="523">
        <v>0</v>
      </c>
      <c r="R114" s="15"/>
      <c r="S114" s="12" t="s">
        <v>12</v>
      </c>
      <c r="T114" s="15"/>
      <c r="U114" s="1"/>
      <c r="V114" s="1"/>
      <c r="W114" s="1"/>
      <c r="X114" s="1"/>
      <c r="Y114" s="1"/>
      <c r="Z114" s="1"/>
      <c r="AA114" s="1"/>
      <c r="AB114" s="246"/>
    </row>
    <row r="115" spans="2:28" ht="16.5" thickBot="1">
      <c r="B115" s="11"/>
      <c r="C115" s="1"/>
      <c r="D115" s="1"/>
      <c r="E115" s="5" t="s">
        <v>74</v>
      </c>
      <c r="F115" s="347" t="s">
        <v>6</v>
      </c>
      <c r="G115" s="411" t="s">
        <v>7</v>
      </c>
      <c r="H115" s="285"/>
      <c r="I115" s="17"/>
      <c r="J115" s="403"/>
      <c r="K115" s="15"/>
      <c r="L115" s="298"/>
      <c r="M115" s="1"/>
      <c r="N115" s="1"/>
      <c r="O115" s="296" t="s">
        <v>75</v>
      </c>
      <c r="P115" s="521"/>
      <c r="Q115" s="514" t="s">
        <v>76</v>
      </c>
      <c r="R115" s="121"/>
      <c r="S115" s="12" t="s">
        <v>12</v>
      </c>
      <c r="T115" s="15"/>
      <c r="U115" s="1"/>
      <c r="V115" s="1"/>
      <c r="W115" s="1"/>
      <c r="X115" s="1"/>
      <c r="Y115" s="1"/>
      <c r="Z115" s="1"/>
      <c r="AA115" s="1"/>
      <c r="AB115" s="246"/>
    </row>
    <row r="116" spans="2:28" ht="16.5" thickBot="1">
      <c r="B116" s="11"/>
      <c r="C116" s="318"/>
      <c r="D116" s="1"/>
      <c r="E116" s="553" t="s">
        <v>40</v>
      </c>
      <c r="F116" s="554"/>
      <c r="G116" s="555" t="s">
        <v>41</v>
      </c>
      <c r="H116" s="281"/>
      <c r="I116" s="12" t="s">
        <v>12</v>
      </c>
      <c r="J116" s="403"/>
      <c r="K116" s="15"/>
      <c r="L116" s="11"/>
      <c r="M116" s="1"/>
      <c r="N116" s="1"/>
      <c r="O116" s="415"/>
      <c r="P116" s="267"/>
      <c r="Q116" s="297"/>
      <c r="R116" s="1"/>
      <c r="S116" s="1"/>
      <c r="T116" s="1"/>
      <c r="U116" s="1"/>
      <c r="V116" s="1"/>
      <c r="W116" s="1"/>
      <c r="X116" s="1"/>
      <c r="Y116" s="1"/>
      <c r="Z116" s="1"/>
      <c r="AA116" s="1"/>
      <c r="AB116" s="246"/>
    </row>
    <row r="117" spans="2:28" ht="15.75">
      <c r="B117" s="11"/>
      <c r="C117" s="325"/>
      <c r="D117" s="1"/>
      <c r="E117" s="458" t="s">
        <v>77</v>
      </c>
      <c r="F117" s="459" t="s">
        <v>78</v>
      </c>
      <c r="G117" s="460">
        <v>24</v>
      </c>
      <c r="H117" s="286"/>
      <c r="I117" s="12" t="s">
        <v>12</v>
      </c>
      <c r="J117" s="403"/>
      <c r="K117" s="15"/>
      <c r="L117" s="298"/>
      <c r="M117" s="369"/>
      <c r="N117" s="1"/>
      <c r="O117" s="515" t="s">
        <v>79</v>
      </c>
      <c r="P117" s="459" t="s">
        <v>47</v>
      </c>
      <c r="Q117" s="516">
        <v>0</v>
      </c>
      <c r="R117" s="121"/>
      <c r="S117" s="12" t="s">
        <v>12</v>
      </c>
      <c r="T117" s="1"/>
      <c r="U117" s="1"/>
      <c r="V117" s="1"/>
      <c r="W117" s="1"/>
      <c r="X117" s="1"/>
      <c r="Y117" s="1"/>
      <c r="Z117" s="1"/>
      <c r="AA117" s="1"/>
      <c r="AB117" s="246"/>
    </row>
    <row r="118" spans="2:28" ht="16.5" thickBot="1">
      <c r="B118" s="11"/>
      <c r="C118" s="369"/>
      <c r="D118" s="1"/>
      <c r="E118" s="453" t="s">
        <v>80</v>
      </c>
      <c r="F118" s="7" t="s">
        <v>81</v>
      </c>
      <c r="G118" s="512">
        <v>0</v>
      </c>
      <c r="H118" s="287"/>
      <c r="I118" s="12" t="s">
        <v>12</v>
      </c>
      <c r="J118" s="403"/>
      <c r="K118" s="15"/>
      <c r="L118" s="298"/>
      <c r="M118" s="374"/>
      <c r="N118" s="1"/>
      <c r="O118" s="455" t="s">
        <v>82</v>
      </c>
      <c r="P118" s="466"/>
      <c r="Q118" s="517" t="s">
        <v>83</v>
      </c>
      <c r="R118" s="21"/>
      <c r="S118" s="12" t="s">
        <v>12</v>
      </c>
      <c r="T118" s="1"/>
      <c r="U118" s="1"/>
      <c r="V118" s="1"/>
      <c r="W118" s="1"/>
      <c r="X118" s="1"/>
      <c r="Y118" s="1"/>
      <c r="Z118" s="1"/>
      <c r="AA118" s="1"/>
      <c r="AB118" s="246"/>
    </row>
    <row r="119" spans="2:28" ht="16.5" thickBot="1">
      <c r="B119" s="11"/>
      <c r="C119" s="326"/>
      <c r="D119" s="15"/>
      <c r="E119" s="474" t="s">
        <v>84</v>
      </c>
      <c r="F119" s="7" t="s">
        <v>19</v>
      </c>
      <c r="G119" s="475">
        <v>0.02</v>
      </c>
      <c r="H119" s="270"/>
      <c r="I119" s="12" t="s">
        <v>12</v>
      </c>
      <c r="J119" s="404"/>
      <c r="K119" s="15"/>
      <c r="L119" s="298"/>
      <c r="M119" s="1"/>
      <c r="N119" s="1"/>
      <c r="O119" s="1"/>
      <c r="P119" s="1"/>
      <c r="Q119" s="1"/>
      <c r="R119" s="1"/>
      <c r="S119" s="1"/>
      <c r="T119" s="1"/>
      <c r="U119" s="1"/>
      <c r="V119" s="1"/>
      <c r="W119" s="1"/>
      <c r="X119" s="1"/>
      <c r="Y119" s="1"/>
      <c r="Z119" s="1"/>
      <c r="AA119" s="1"/>
      <c r="AB119" s="246"/>
    </row>
    <row r="120" spans="2:28" ht="16.5" thickBot="1">
      <c r="B120" s="11"/>
      <c r="C120" s="317"/>
      <c r="D120" s="1"/>
      <c r="E120" s="451" t="s">
        <v>85</v>
      </c>
      <c r="F120" s="7" t="s">
        <v>86</v>
      </c>
      <c r="G120" s="582">
        <v>10</v>
      </c>
      <c r="H120" s="272"/>
      <c r="I120" s="12" t="s">
        <v>12</v>
      </c>
      <c r="J120" s="404"/>
      <c r="K120" s="15"/>
      <c r="L120" s="298"/>
      <c r="M120" s="1"/>
      <c r="N120" s="1"/>
      <c r="O120" s="5" t="s">
        <v>87</v>
      </c>
      <c r="P120" s="347" t="s">
        <v>6</v>
      </c>
      <c r="Q120" s="411" t="s">
        <v>7</v>
      </c>
      <c r="R120" s="15"/>
      <c r="S120" s="1"/>
      <c r="T120" s="412"/>
      <c r="U120" s="677"/>
      <c r="V120" s="1"/>
      <c r="W120" s="1"/>
      <c r="X120" s="1"/>
      <c r="Y120" s="1"/>
      <c r="Z120" s="1"/>
      <c r="AA120" s="1"/>
      <c r="AB120" s="246"/>
    </row>
    <row r="121" spans="2:28" ht="16.5" thickBot="1">
      <c r="B121" s="11"/>
      <c r="C121" s="326"/>
      <c r="D121" s="15"/>
      <c r="E121" s="465" t="s">
        <v>88</v>
      </c>
      <c r="F121" s="466" t="s">
        <v>19</v>
      </c>
      <c r="G121" s="475">
        <v>0.02</v>
      </c>
      <c r="H121" s="278"/>
      <c r="I121" s="12" t="s">
        <v>12</v>
      </c>
      <c r="J121" s="403"/>
      <c r="K121" s="15"/>
      <c r="L121" s="298"/>
      <c r="M121" s="374"/>
      <c r="N121" s="1"/>
      <c r="O121" s="568" t="s">
        <v>89</v>
      </c>
      <c r="P121" s="569"/>
      <c r="Q121" s="570" t="s">
        <v>90</v>
      </c>
      <c r="R121" s="1"/>
      <c r="S121" s="12" t="s">
        <v>12</v>
      </c>
      <c r="T121" s="1"/>
      <c r="U121" s="1"/>
      <c r="V121" s="1"/>
      <c r="W121" s="1"/>
      <c r="X121" s="1"/>
      <c r="Y121" s="1"/>
      <c r="Z121" s="1"/>
      <c r="AA121" s="1"/>
      <c r="AB121" s="246"/>
    </row>
    <row r="122" spans="2:28" ht="15.75">
      <c r="B122" s="11"/>
      <c r="C122" s="369"/>
      <c r="D122" s="1"/>
      <c r="E122" s="483" t="s">
        <v>91</v>
      </c>
      <c r="F122" s="6" t="s">
        <v>19</v>
      </c>
      <c r="G122" s="470">
        <v>0</v>
      </c>
      <c r="H122" s="270"/>
      <c r="I122" s="366" t="s">
        <v>12</v>
      </c>
      <c r="J122" s="403"/>
      <c r="K122" s="15"/>
      <c r="L122" s="298"/>
      <c r="M122" s="369"/>
      <c r="N122" s="1">
        <f>IF(OR(Q122&lt;0,Q122&gt;1),1,0)</f>
        <v>0</v>
      </c>
      <c r="O122" s="458" t="s">
        <v>92</v>
      </c>
      <c r="P122" s="450" t="s">
        <v>19</v>
      </c>
      <c r="Q122" s="600">
        <v>0</v>
      </c>
      <c r="R122" s="15">
        <f>IF(OR($Q$35="Performance-Based",$Q$35="Neither"),1,0)</f>
        <v>1</v>
      </c>
      <c r="S122" s="12" t="s">
        <v>12</v>
      </c>
      <c r="T122" s="15"/>
      <c r="U122" s="1"/>
      <c r="V122" s="1"/>
      <c r="W122" s="1"/>
      <c r="X122" s="1"/>
      <c r="Y122" s="1"/>
      <c r="Z122" s="1"/>
      <c r="AA122" s="1"/>
      <c r="AB122" s="246"/>
    </row>
    <row r="123" spans="2:28" ht="15.75">
      <c r="B123" s="11"/>
      <c r="C123" s="1"/>
      <c r="D123" s="1"/>
      <c r="E123" s="451" t="s">
        <v>93</v>
      </c>
      <c r="F123" s="7" t="s">
        <v>47</v>
      </c>
      <c r="G123" s="467"/>
      <c r="H123" s="275"/>
      <c r="I123" s="366" t="s">
        <v>12</v>
      </c>
      <c r="J123" s="403"/>
      <c r="K123" s="15"/>
      <c r="L123" s="298"/>
      <c r="M123" s="369"/>
      <c r="N123" s="1">
        <f>IF(OR(Q123&lt;0,Q123&gt;1),1,0)</f>
        <v>0</v>
      </c>
      <c r="O123" s="453" t="s">
        <v>94</v>
      </c>
      <c r="P123" s="7" t="s">
        <v>19</v>
      </c>
      <c r="Q123" s="601">
        <v>0</v>
      </c>
      <c r="R123" s="15"/>
      <c r="S123" s="12" t="s">
        <v>12</v>
      </c>
      <c r="T123" s="15"/>
      <c r="U123" s="15"/>
      <c r="V123" s="1"/>
      <c r="W123" s="1"/>
      <c r="X123" s="1"/>
      <c r="Y123" s="1"/>
      <c r="Z123" s="1"/>
      <c r="AA123" s="1"/>
      <c r="AB123" s="246"/>
    </row>
    <row r="124" spans="2:28" ht="15.75">
      <c r="B124" s="11"/>
      <c r="C124" s="369"/>
      <c r="D124" s="1"/>
      <c r="E124" s="468" t="s">
        <v>95</v>
      </c>
      <c r="F124" s="6" t="s">
        <v>96</v>
      </c>
      <c r="G124" s="469">
        <v>0</v>
      </c>
      <c r="H124" s="288"/>
      <c r="I124" s="366" t="s">
        <v>12</v>
      </c>
      <c r="J124" s="404"/>
      <c r="K124" s="15"/>
      <c r="L124" s="298"/>
      <c r="M124" s="369"/>
      <c r="N124" s="1">
        <f>IF(OR(Q124&lt;1,Q124&gt;G98),1,0)</f>
        <v>1</v>
      </c>
      <c r="O124" s="451" t="s">
        <v>97</v>
      </c>
      <c r="P124" s="8" t="s">
        <v>71</v>
      </c>
      <c r="Q124" s="602">
        <v>0</v>
      </c>
      <c r="R124" s="15"/>
      <c r="S124" s="12" t="s">
        <v>12</v>
      </c>
      <c r="T124" s="1"/>
      <c r="U124" s="678"/>
      <c r="V124" s="1"/>
      <c r="W124" s="1"/>
      <c r="X124" s="1"/>
      <c r="Y124" s="1"/>
      <c r="Z124" s="1"/>
      <c r="AA124" s="1"/>
      <c r="AB124" s="246"/>
    </row>
    <row r="125" spans="2:28" ht="16.5" thickBot="1">
      <c r="B125" s="11"/>
      <c r="C125" s="369"/>
      <c r="D125" s="1"/>
      <c r="E125" s="451" t="s">
        <v>98</v>
      </c>
      <c r="F125" s="6" t="s">
        <v>33</v>
      </c>
      <c r="G125" s="603">
        <v>5</v>
      </c>
      <c r="H125" s="288"/>
      <c r="I125" s="366" t="s">
        <v>12</v>
      </c>
      <c r="J125" s="403"/>
      <c r="K125" s="15"/>
      <c r="L125" s="11"/>
      <c r="M125" s="1"/>
      <c r="N125" s="1"/>
      <c r="O125" s="455" t="s">
        <v>50</v>
      </c>
      <c r="P125" s="456" t="s">
        <v>47</v>
      </c>
      <c r="Q125" s="572">
        <v>0</v>
      </c>
      <c r="R125" s="1"/>
      <c r="S125" s="12" t="s">
        <v>12</v>
      </c>
      <c r="T125" s="1"/>
      <c r="U125" s="1"/>
      <c r="V125" s="1"/>
      <c r="W125" s="1"/>
      <c r="X125" s="1"/>
      <c r="Y125" s="1"/>
      <c r="Z125" s="1"/>
      <c r="AA125" s="1"/>
      <c r="AB125" s="246"/>
    </row>
    <row r="126" spans="2:28" ht="15.75">
      <c r="B126" s="11"/>
      <c r="C126" s="369"/>
      <c r="D126" s="1"/>
      <c r="E126" s="451" t="s">
        <v>43</v>
      </c>
      <c r="F126" s="6" t="s">
        <v>19</v>
      </c>
      <c r="G126" s="583">
        <v>0</v>
      </c>
      <c r="H126" s="1"/>
      <c r="I126" s="366" t="s">
        <v>12</v>
      </c>
      <c r="J126" s="403"/>
      <c r="K126" s="15"/>
      <c r="L126" s="298"/>
      <c r="M126" s="374"/>
      <c r="N126" s="1"/>
      <c r="O126" s="483" t="s">
        <v>99</v>
      </c>
      <c r="P126" s="6"/>
      <c r="Q126" s="571" t="s">
        <v>66</v>
      </c>
      <c r="R126" s="15">
        <f>IF(OR($Q$35="Cost-Based",$Q$35="Neither"),1,0)</f>
        <v>1</v>
      </c>
      <c r="S126" s="12" t="s">
        <v>12</v>
      </c>
      <c r="T126" s="15"/>
      <c r="U126" s="21"/>
      <c r="V126" s="1"/>
      <c r="W126" s="1"/>
      <c r="X126" s="1"/>
      <c r="Y126" s="1"/>
      <c r="Z126" s="1"/>
      <c r="AA126" s="1"/>
      <c r="AB126" s="246"/>
    </row>
    <row r="127" spans="2:28" ht="15.75">
      <c r="B127" s="11"/>
      <c r="C127" s="369"/>
      <c r="D127" s="1"/>
      <c r="E127" s="451" t="s">
        <v>100</v>
      </c>
      <c r="F127" s="6" t="s">
        <v>96</v>
      </c>
      <c r="G127" s="469">
        <v>0</v>
      </c>
      <c r="H127" s="288"/>
      <c r="I127" s="366" t="s">
        <v>12</v>
      </c>
      <c r="J127" s="403"/>
      <c r="K127" s="15"/>
      <c r="L127" s="298"/>
      <c r="M127" s="374"/>
      <c r="N127" s="1"/>
      <c r="O127" s="451" t="s">
        <v>101</v>
      </c>
      <c r="P127" s="8"/>
      <c r="Q127" s="511" t="s">
        <v>102</v>
      </c>
      <c r="R127" s="346">
        <f>IF(OR($Q$35="Cost-Based",$Q$35="Neither",$Q$40="Tax Credit"),1,0)</f>
        <v>1</v>
      </c>
      <c r="S127" s="12" t="s">
        <v>12</v>
      </c>
      <c r="T127" s="1"/>
      <c r="U127" s="21"/>
      <c r="V127" s="1"/>
      <c r="W127" s="1"/>
      <c r="X127" s="1"/>
      <c r="Y127" s="1"/>
      <c r="Z127" s="1"/>
      <c r="AA127" s="1"/>
      <c r="AB127" s="246"/>
    </row>
    <row r="128" spans="2:28" ht="15.75">
      <c r="B128" s="11"/>
      <c r="C128" s="369"/>
      <c r="D128" s="1"/>
      <c r="E128" s="453" t="s">
        <v>103</v>
      </c>
      <c r="F128" s="6" t="s">
        <v>19</v>
      </c>
      <c r="G128" s="470">
        <v>0.02</v>
      </c>
      <c r="H128" s="270"/>
      <c r="I128" s="366" t="s">
        <v>12</v>
      </c>
      <c r="J128" s="403"/>
      <c r="K128" s="15"/>
      <c r="L128" s="298"/>
      <c r="M128" s="369"/>
      <c r="N128" s="1"/>
      <c r="O128" s="451" t="s">
        <v>68</v>
      </c>
      <c r="P128" s="55" t="s">
        <v>39</v>
      </c>
      <c r="Q128" s="512">
        <v>1.5</v>
      </c>
      <c r="R128" s="21"/>
      <c r="S128" s="12" t="s">
        <v>12</v>
      </c>
      <c r="T128" s="346"/>
      <c r="U128" s="679"/>
      <c r="V128" s="1"/>
      <c r="W128" s="1"/>
      <c r="X128" s="1"/>
      <c r="Y128" s="1"/>
      <c r="Z128" s="1"/>
      <c r="AA128" s="1"/>
      <c r="AB128" s="246"/>
    </row>
    <row r="129" spans="2:28" ht="16.5" thickBot="1">
      <c r="B129" s="11"/>
      <c r="C129" s="1"/>
      <c r="D129" s="1"/>
      <c r="E129" s="455"/>
      <c r="F129" s="466"/>
      <c r="G129" s="471"/>
      <c r="H129" s="275"/>
      <c r="I129" s="366" t="s">
        <v>12</v>
      </c>
      <c r="J129" s="246"/>
      <c r="K129" s="15"/>
      <c r="L129" s="298"/>
      <c r="M129" s="369"/>
      <c r="N129" s="1">
        <f>IF(OR(Q129&lt;0,Q129&gt;G98),1,0)</f>
        <v>0</v>
      </c>
      <c r="O129" s="451" t="s">
        <v>70</v>
      </c>
      <c r="P129" s="8" t="s">
        <v>71</v>
      </c>
      <c r="Q129" s="464">
        <v>10</v>
      </c>
      <c r="R129" s="21"/>
      <c r="S129" s="12" t="s">
        <v>12</v>
      </c>
      <c r="T129" s="1"/>
      <c r="U129" s="21"/>
      <c r="V129" s="1"/>
      <c r="W129" s="1"/>
      <c r="X129" s="1"/>
      <c r="Y129" s="1"/>
      <c r="Z129" s="1"/>
      <c r="AA129" s="1"/>
      <c r="AB129" s="246"/>
    </row>
    <row r="130" spans="2:28" ht="16.5" thickBot="1">
      <c r="B130" s="11"/>
      <c r="C130" s="327"/>
      <c r="D130" s="1"/>
      <c r="E130" s="1"/>
      <c r="F130" s="1"/>
      <c r="G130" s="1"/>
      <c r="H130" s="1"/>
      <c r="I130" s="17"/>
      <c r="J130" s="403"/>
      <c r="K130" s="15"/>
      <c r="L130" s="298"/>
      <c r="M130" s="369"/>
      <c r="N130" s="1"/>
      <c r="O130" s="451" t="s">
        <v>72</v>
      </c>
      <c r="P130" s="6" t="s">
        <v>19</v>
      </c>
      <c r="Q130" s="497">
        <v>0.02</v>
      </c>
      <c r="R130" s="15"/>
      <c r="S130" s="12" t="s">
        <v>12</v>
      </c>
      <c r="T130" s="346"/>
      <c r="U130" s="21"/>
      <c r="V130" s="1"/>
      <c r="W130" s="1"/>
      <c r="X130" s="1"/>
      <c r="Y130" s="1"/>
      <c r="Z130" s="1"/>
      <c r="AA130" s="1"/>
      <c r="AB130" s="246"/>
    </row>
    <row r="131" spans="2:28" ht="16.5" thickBot="1">
      <c r="B131" s="11"/>
      <c r="C131" s="327"/>
      <c r="D131" s="1"/>
      <c r="E131" s="5" t="s">
        <v>104</v>
      </c>
      <c r="F131" s="347" t="s">
        <v>6</v>
      </c>
      <c r="G131" s="411" t="s">
        <v>7</v>
      </c>
      <c r="H131" s="289"/>
      <c r="I131" s="17"/>
      <c r="J131" s="403"/>
      <c r="K131" s="15"/>
      <c r="L131" s="298"/>
      <c r="M131" s="369"/>
      <c r="N131" s="1">
        <f>IF(OR(Q131&lt;0,Q131&gt;1),1,0)</f>
        <v>0</v>
      </c>
      <c r="O131" s="455" t="s">
        <v>105</v>
      </c>
      <c r="P131" s="462" t="s">
        <v>19</v>
      </c>
      <c r="Q131" s="523">
        <v>1</v>
      </c>
      <c r="R131" s="15"/>
      <c r="S131" s="12" t="s">
        <v>12</v>
      </c>
      <c r="T131" s="21"/>
      <c r="U131" s="15"/>
      <c r="V131" s="1"/>
      <c r="W131" s="1"/>
      <c r="X131" s="1"/>
      <c r="Y131" s="1"/>
      <c r="Z131" s="1"/>
      <c r="AA131" s="1"/>
      <c r="AB131" s="246"/>
    </row>
    <row r="132" spans="2:28" ht="16.5" thickBot="1">
      <c r="B132" s="11"/>
      <c r="C132" s="372"/>
      <c r="D132" s="1"/>
      <c r="E132" s="463" t="s">
        <v>106</v>
      </c>
      <c r="F132" s="450" t="s">
        <v>107</v>
      </c>
      <c r="G132" s="556">
        <v>0</v>
      </c>
      <c r="H132" s="289"/>
      <c r="I132" s="12" t="s">
        <v>12</v>
      </c>
      <c r="J132" s="403"/>
      <c r="K132" s="15"/>
      <c r="L132" s="298"/>
      <c r="M132" s="15"/>
      <c r="N132" s="15"/>
      <c r="O132" s="524" t="s">
        <v>108</v>
      </c>
      <c r="P132" s="525"/>
      <c r="Q132" s="526" t="s">
        <v>76</v>
      </c>
      <c r="R132" s="15">
        <f>IF($Q$35="Neither",1,0)</f>
        <v>1</v>
      </c>
      <c r="S132" s="12" t="s">
        <v>12</v>
      </c>
      <c r="T132" s="21"/>
      <c r="U132" s="15"/>
      <c r="V132" s="1"/>
      <c r="W132" s="1"/>
      <c r="X132" s="1"/>
      <c r="Y132" s="1"/>
      <c r="Z132" s="1"/>
      <c r="AA132" s="1"/>
      <c r="AB132" s="246"/>
    </row>
    <row r="133" spans="2:28" ht="16.5" thickBot="1">
      <c r="B133" s="11"/>
      <c r="C133" s="372"/>
      <c r="D133" s="1"/>
      <c r="E133" s="474" t="s">
        <v>109</v>
      </c>
      <c r="F133" s="7" t="s">
        <v>19</v>
      </c>
      <c r="G133" s="548">
        <v>0</v>
      </c>
      <c r="H133" s="289"/>
      <c r="I133" s="12" t="s">
        <v>12</v>
      </c>
      <c r="J133" s="403"/>
      <c r="K133" s="15"/>
      <c r="L133" s="11"/>
      <c r="M133" s="1"/>
      <c r="N133" s="1"/>
      <c r="O133" s="415"/>
      <c r="P133" s="267"/>
      <c r="Q133" s="297"/>
      <c r="R133" s="1"/>
      <c r="S133" s="1"/>
      <c r="T133" s="1"/>
      <c r="U133" s="15"/>
      <c r="V133" s="1"/>
      <c r="W133" s="1"/>
      <c r="X133" s="1"/>
      <c r="Y133" s="1"/>
      <c r="Z133" s="1"/>
      <c r="AA133" s="1"/>
      <c r="AB133" s="246"/>
    </row>
    <row r="134" spans="2:28" ht="16.5" thickBot="1">
      <c r="B134" s="11"/>
      <c r="C134" s="327"/>
      <c r="D134" s="1"/>
      <c r="E134" s="465" t="s">
        <v>110</v>
      </c>
      <c r="F134" s="456" t="s">
        <v>47</v>
      </c>
      <c r="G134" s="471"/>
      <c r="H134" s="289"/>
      <c r="I134" s="12" t="s">
        <v>12</v>
      </c>
      <c r="J134" s="403"/>
      <c r="K134" s="15"/>
      <c r="L134" s="298"/>
      <c r="M134" s="369"/>
      <c r="N134" s="15"/>
      <c r="O134" s="515" t="s">
        <v>111</v>
      </c>
      <c r="P134" s="450" t="s">
        <v>47</v>
      </c>
      <c r="Q134" s="516">
        <v>0</v>
      </c>
      <c r="R134" s="1"/>
      <c r="S134" s="12" t="s">
        <v>12</v>
      </c>
      <c r="T134" s="15"/>
      <c r="U134" s="15"/>
      <c r="V134" s="1"/>
      <c r="W134" s="1"/>
      <c r="X134" s="1"/>
      <c r="Y134" s="1"/>
      <c r="Z134" s="1"/>
      <c r="AA134" s="1"/>
      <c r="AB134" s="246"/>
    </row>
    <row r="135" spans="2:28" ht="16.5" thickBot="1">
      <c r="B135" s="11"/>
      <c r="C135" s="1"/>
      <c r="D135" s="1"/>
      <c r="E135" s="1"/>
      <c r="F135" s="1"/>
      <c r="G135" s="182"/>
      <c r="H135" s="182"/>
      <c r="I135" s="17"/>
      <c r="J135" s="403"/>
      <c r="K135" s="15"/>
      <c r="L135" s="298"/>
      <c r="M135" s="374"/>
      <c r="N135" s="1"/>
      <c r="O135" s="455" t="s">
        <v>112</v>
      </c>
      <c r="P135" s="466"/>
      <c r="Q135" s="517" t="s">
        <v>83</v>
      </c>
      <c r="R135" s="21"/>
      <c r="S135" s="12" t="s">
        <v>12</v>
      </c>
      <c r="T135" s="15"/>
      <c r="U135" s="15"/>
      <c r="V135" s="1"/>
      <c r="W135" s="1"/>
      <c r="X135" s="1"/>
      <c r="Y135" s="1"/>
      <c r="Z135" s="1"/>
      <c r="AA135" s="1"/>
      <c r="AB135" s="246"/>
    </row>
    <row r="136" spans="2:28" ht="16.5" thickBot="1">
      <c r="B136" s="11"/>
      <c r="C136" s="327"/>
      <c r="D136" s="1"/>
      <c r="E136" s="480" t="s">
        <v>113</v>
      </c>
      <c r="F136" s="481" t="s">
        <v>6</v>
      </c>
      <c r="G136" s="482" t="s">
        <v>7</v>
      </c>
      <c r="H136" s="289"/>
      <c r="I136" s="405"/>
      <c r="J136" s="403"/>
      <c r="K136" s="15"/>
      <c r="L136" s="298"/>
      <c r="M136" s="1"/>
      <c r="N136" s="1"/>
      <c r="O136" s="1"/>
      <c r="P136" s="1"/>
      <c r="Q136" s="1"/>
      <c r="R136" s="1"/>
      <c r="S136" s="1"/>
      <c r="T136" s="15"/>
      <c r="U136" s="300"/>
      <c r="V136" s="1"/>
      <c r="W136" s="1"/>
      <c r="X136" s="1"/>
      <c r="Y136" s="1"/>
      <c r="Z136" s="1"/>
      <c r="AA136" s="1"/>
      <c r="AB136" s="246"/>
    </row>
    <row r="137" spans="2:28" ht="16.5" thickBot="1">
      <c r="B137" s="11"/>
      <c r="C137" s="369"/>
      <c r="D137" s="1">
        <f>IF(OR(G137="",G137&lt;0,G137&gt;1),1,0)</f>
        <v>0</v>
      </c>
      <c r="E137" s="449" t="s">
        <v>114</v>
      </c>
      <c r="F137" s="450" t="s">
        <v>19</v>
      </c>
      <c r="G137" s="476">
        <v>0.45500000000000002</v>
      </c>
      <c r="H137" s="290"/>
      <c r="I137" s="12" t="s">
        <v>12</v>
      </c>
      <c r="J137" s="404"/>
      <c r="K137" s="15"/>
      <c r="L137" s="298"/>
      <c r="M137" s="15"/>
      <c r="N137" s="15"/>
      <c r="O137" s="5" t="s">
        <v>115</v>
      </c>
      <c r="P137" s="22"/>
      <c r="Q137" s="411"/>
      <c r="R137" s="15"/>
      <c r="S137" s="15"/>
      <c r="T137" s="15"/>
      <c r="U137" s="15"/>
      <c r="V137" s="1"/>
      <c r="W137" s="1"/>
      <c r="X137" s="1"/>
      <c r="Y137" s="1"/>
      <c r="Z137" s="1"/>
      <c r="AA137" s="1"/>
      <c r="AB137" s="246"/>
    </row>
    <row r="138" spans="2:28" ht="15.75">
      <c r="B138" s="11"/>
      <c r="C138" s="369"/>
      <c r="D138" s="1">
        <f>IF(OR(G138&lt;=0,G138&gt;G98),1,0)</f>
        <v>0</v>
      </c>
      <c r="E138" s="451" t="s">
        <v>116</v>
      </c>
      <c r="F138" s="7" t="s">
        <v>14</v>
      </c>
      <c r="G138" s="464">
        <v>10</v>
      </c>
      <c r="H138" s="272"/>
      <c r="I138" s="12" t="s">
        <v>12</v>
      </c>
      <c r="J138" s="404"/>
      <c r="K138" s="15"/>
      <c r="L138" s="298"/>
      <c r="M138" s="375"/>
      <c r="N138" s="15">
        <f>IF(OR(Q138&lt;1,Q138&gt;$G$12),1,0)</f>
        <v>0</v>
      </c>
      <c r="O138" s="463" t="s">
        <v>117</v>
      </c>
      <c r="P138" s="459" t="s">
        <v>86</v>
      </c>
      <c r="Q138" s="556">
        <v>12</v>
      </c>
      <c r="R138" s="15"/>
      <c r="S138" s="12" t="s">
        <v>12</v>
      </c>
      <c r="T138" s="15"/>
      <c r="U138" s="15"/>
      <c r="V138" s="1"/>
      <c r="W138" s="1"/>
      <c r="X138" s="1"/>
      <c r="Y138" s="1"/>
      <c r="Z138" s="1"/>
      <c r="AA138" s="1"/>
      <c r="AB138" s="246"/>
    </row>
    <row r="139" spans="2:28" ht="16.5" thickBot="1">
      <c r="B139" s="11"/>
      <c r="C139" s="372"/>
      <c r="D139" s="1">
        <f>IF(OR(G139&lt;0,G139=""),1,0)</f>
        <v>0</v>
      </c>
      <c r="E139" s="451" t="s">
        <v>118</v>
      </c>
      <c r="F139" s="7" t="s">
        <v>19</v>
      </c>
      <c r="G139" s="485">
        <v>7.4855006337135599E-2</v>
      </c>
      <c r="H139" s="291"/>
      <c r="I139" s="12" t="s">
        <v>12</v>
      </c>
      <c r="J139" s="404"/>
      <c r="K139" s="15"/>
      <c r="L139" s="298"/>
      <c r="M139" s="326"/>
      <c r="N139" s="15"/>
      <c r="O139" s="465" t="s">
        <v>119</v>
      </c>
      <c r="P139" s="456" t="str">
        <f>$F$16</f>
        <v>$/kW</v>
      </c>
      <c r="Q139" s="531">
        <v>50</v>
      </c>
      <c r="R139" s="15"/>
      <c r="S139" s="12" t="s">
        <v>12</v>
      </c>
      <c r="T139" s="15"/>
      <c r="U139" s="15"/>
      <c r="V139" s="1"/>
      <c r="W139" s="1"/>
      <c r="X139" s="1"/>
      <c r="Y139" s="1"/>
      <c r="Z139" s="1"/>
      <c r="AA139" s="1"/>
      <c r="AB139" s="246"/>
    </row>
    <row r="140" spans="2:28" ht="16.5" thickBot="1">
      <c r="B140" s="11"/>
      <c r="C140" s="369"/>
      <c r="D140" s="1">
        <f>IF(OR(G140&lt;0,G140=""),1,0)</f>
        <v>0</v>
      </c>
      <c r="E140" s="486" t="s">
        <v>120</v>
      </c>
      <c r="F140" s="466" t="s">
        <v>19</v>
      </c>
      <c r="G140" s="487">
        <v>2.3E-2</v>
      </c>
      <c r="H140" s="270"/>
      <c r="I140" s="12" t="s">
        <v>12</v>
      </c>
      <c r="J140" s="403"/>
      <c r="K140" s="15"/>
      <c r="L140" s="298"/>
      <c r="M140" s="375"/>
      <c r="N140" s="15">
        <f>IF(OR(Q140&lt;Q138,Q140&gt;$G$12),1,0)</f>
        <v>0</v>
      </c>
      <c r="O140" s="529" t="s">
        <v>121</v>
      </c>
      <c r="P140" s="24" t="s">
        <v>86</v>
      </c>
      <c r="Q140" s="530">
        <v>12</v>
      </c>
      <c r="R140" s="15"/>
      <c r="S140" s="12" t="s">
        <v>12</v>
      </c>
      <c r="T140" s="15"/>
      <c r="U140" s="15"/>
      <c r="V140" s="1"/>
      <c r="W140" s="1"/>
      <c r="X140" s="1"/>
      <c r="Y140" s="1"/>
      <c r="Z140" s="1"/>
      <c r="AA140" s="1"/>
      <c r="AB140" s="246"/>
    </row>
    <row r="141" spans="2:28" ht="16.5" thickBot="1">
      <c r="B141" s="11"/>
      <c r="C141" s="369"/>
      <c r="D141" s="1"/>
      <c r="E141" s="483" t="s">
        <v>122</v>
      </c>
      <c r="F141" s="24"/>
      <c r="G141" s="484">
        <v>0</v>
      </c>
      <c r="H141" s="279"/>
      <c r="I141" s="12" t="s">
        <v>12</v>
      </c>
      <c r="J141" s="403"/>
      <c r="K141" s="15"/>
      <c r="L141" s="298"/>
      <c r="M141" s="326"/>
      <c r="N141" s="15"/>
      <c r="O141" s="465" t="s">
        <v>123</v>
      </c>
      <c r="P141" s="456" t="str">
        <f>$F$16</f>
        <v>$/kW</v>
      </c>
      <c r="Q141" s="531">
        <v>0</v>
      </c>
      <c r="R141" s="15"/>
      <c r="S141" s="12" t="s">
        <v>12</v>
      </c>
      <c r="T141" s="15"/>
      <c r="U141" s="15"/>
      <c r="V141" s="1"/>
      <c r="W141" s="1"/>
      <c r="X141" s="1"/>
      <c r="Y141" s="1"/>
      <c r="Z141" s="1"/>
      <c r="AA141" s="1"/>
      <c r="AB141" s="246"/>
    </row>
    <row r="142" spans="2:28" ht="15.75">
      <c r="B142" s="11"/>
      <c r="C142" s="1"/>
      <c r="D142" s="1"/>
      <c r="E142" s="451" t="s">
        <v>124</v>
      </c>
      <c r="F142" s="248">
        <f>MAX('[2]Cash Flow'!G131:AJ131)</f>
        <v>0</v>
      </c>
      <c r="G142" s="477"/>
      <c r="H142" s="280"/>
      <c r="I142" s="12" t="s">
        <v>12</v>
      </c>
      <c r="J142" s="403"/>
      <c r="K142" s="15"/>
      <c r="L142" s="298"/>
      <c r="M142" s="375"/>
      <c r="N142" s="15">
        <f>IF(OR(Q142&lt;Q140,Q142&gt;$G$12),1,0)</f>
        <v>0</v>
      </c>
      <c r="O142" s="474" t="s">
        <v>125</v>
      </c>
      <c r="P142" s="8" t="s">
        <v>86</v>
      </c>
      <c r="Q142" s="530">
        <v>12</v>
      </c>
      <c r="R142" s="15"/>
      <c r="S142" s="12" t="s">
        <v>12</v>
      </c>
      <c r="T142" s="15"/>
      <c r="U142" s="15"/>
      <c r="V142" s="1"/>
      <c r="W142" s="1"/>
      <c r="X142" s="1"/>
      <c r="Y142" s="1"/>
      <c r="Z142" s="1"/>
      <c r="AA142" s="1"/>
      <c r="AB142" s="246"/>
    </row>
    <row r="143" spans="2:28" ht="16.5" thickBot="1">
      <c r="B143" s="11"/>
      <c r="C143" s="369"/>
      <c r="D143" s="1"/>
      <c r="E143" s="451" t="s">
        <v>126</v>
      </c>
      <c r="F143" s="8" t="s">
        <v>127</v>
      </c>
      <c r="G143" s="478"/>
      <c r="H143" s="406"/>
      <c r="I143" s="12" t="s">
        <v>12</v>
      </c>
      <c r="J143" s="404"/>
      <c r="K143" s="15"/>
      <c r="L143" s="298"/>
      <c r="M143" s="326"/>
      <c r="N143" s="15"/>
      <c r="O143" s="465" t="s">
        <v>128</v>
      </c>
      <c r="P143" s="456" t="str">
        <f>$F$16</f>
        <v>$/kW</v>
      </c>
      <c r="Q143" s="531">
        <v>0</v>
      </c>
      <c r="R143" s="15"/>
      <c r="S143" s="12" t="s">
        <v>12</v>
      </c>
      <c r="T143" s="1"/>
      <c r="U143" s="1"/>
      <c r="V143" s="1"/>
      <c r="W143" s="1"/>
      <c r="X143" s="1"/>
      <c r="Y143" s="1"/>
      <c r="Z143" s="1"/>
      <c r="AA143" s="1"/>
      <c r="AB143" s="246"/>
    </row>
    <row r="144" spans="2:28" ht="15.75">
      <c r="B144" s="11"/>
      <c r="C144" s="369"/>
      <c r="D144" s="1"/>
      <c r="E144" s="451" t="s">
        <v>129</v>
      </c>
      <c r="F144" s="8"/>
      <c r="G144" s="680">
        <v>0</v>
      </c>
      <c r="H144" s="279"/>
      <c r="I144" s="12" t="s">
        <v>12</v>
      </c>
      <c r="J144" s="403"/>
      <c r="K144" s="15"/>
      <c r="L144" s="298"/>
      <c r="M144" s="375"/>
      <c r="N144" s="15">
        <f>IF(OR(Q144&lt;Q142,Q144&gt;$G$12),1,0)</f>
        <v>0</v>
      </c>
      <c r="O144" s="474" t="s">
        <v>130</v>
      </c>
      <c r="P144" s="8" t="s">
        <v>86</v>
      </c>
      <c r="Q144" s="530">
        <v>12</v>
      </c>
      <c r="R144" s="15"/>
      <c r="S144" s="12" t="s">
        <v>12</v>
      </c>
      <c r="T144" s="1"/>
      <c r="U144" s="1"/>
      <c r="V144" s="1"/>
      <c r="W144" s="1"/>
      <c r="X144" s="1"/>
      <c r="Y144" s="1"/>
      <c r="Z144" s="1"/>
      <c r="AA144" s="1"/>
      <c r="AB144" s="246"/>
    </row>
    <row r="145" spans="2:28" ht="16.5" thickBot="1">
      <c r="B145" s="11"/>
      <c r="C145" s="1"/>
      <c r="D145" s="1"/>
      <c r="E145" s="451" t="s">
        <v>131</v>
      </c>
      <c r="F145" s="248"/>
      <c r="G145" s="477"/>
      <c r="H145" s="280"/>
      <c r="I145" s="12" t="s">
        <v>12</v>
      </c>
      <c r="J145" s="403"/>
      <c r="K145" s="15"/>
      <c r="L145" s="298"/>
      <c r="M145" s="326"/>
      <c r="N145" s="15"/>
      <c r="O145" s="465" t="s">
        <v>132</v>
      </c>
      <c r="P145" s="456" t="str">
        <f>$F$16</f>
        <v>$/kW</v>
      </c>
      <c r="Q145" s="531">
        <v>0</v>
      </c>
      <c r="R145" s="15"/>
      <c r="S145" s="12" t="s">
        <v>12</v>
      </c>
      <c r="T145" s="1"/>
      <c r="U145" s="1"/>
      <c r="V145" s="1"/>
      <c r="W145" s="1"/>
      <c r="X145" s="1"/>
      <c r="Y145" s="1"/>
      <c r="Z145" s="1"/>
      <c r="AA145" s="1"/>
      <c r="AB145" s="246"/>
    </row>
    <row r="146" spans="2:28" ht="16.5" thickBot="1">
      <c r="B146" s="11"/>
      <c r="C146" s="369"/>
      <c r="D146" s="1"/>
      <c r="E146" s="455" t="s">
        <v>133</v>
      </c>
      <c r="F146" s="456" t="s">
        <v>127</v>
      </c>
      <c r="G146" s="479"/>
      <c r="H146" s="406"/>
      <c r="I146" s="12" t="s">
        <v>12</v>
      </c>
      <c r="J146" s="403"/>
      <c r="K146" s="15"/>
      <c r="L146" s="298"/>
      <c r="M146" s="1"/>
      <c r="N146" s="1"/>
      <c r="O146" s="1"/>
      <c r="P146" s="1"/>
      <c r="Q146" s="1"/>
      <c r="R146" s="1"/>
      <c r="S146" s="1"/>
      <c r="T146" s="1"/>
      <c r="U146" s="1"/>
      <c r="V146" s="1"/>
      <c r="W146" s="1"/>
      <c r="X146" s="1"/>
      <c r="Y146" s="1"/>
      <c r="Z146" s="1"/>
      <c r="AA146" s="1"/>
      <c r="AB146" s="246"/>
    </row>
    <row r="147" spans="2:28" ht="16.5" thickBot="1">
      <c r="B147" s="11"/>
      <c r="C147" s="1"/>
      <c r="D147" s="1"/>
      <c r="E147" s="449" t="s">
        <v>134</v>
      </c>
      <c r="F147" s="450" t="s">
        <v>19</v>
      </c>
      <c r="G147" s="488"/>
      <c r="H147" s="292"/>
      <c r="I147" s="12" t="s">
        <v>12</v>
      </c>
      <c r="J147" s="403"/>
      <c r="K147" s="15"/>
      <c r="L147" s="298"/>
      <c r="M147" s="15"/>
      <c r="N147" s="15"/>
      <c r="O147" s="5" t="s">
        <v>135</v>
      </c>
      <c r="P147" s="347" t="s">
        <v>6</v>
      </c>
      <c r="Q147" s="411" t="s">
        <v>7</v>
      </c>
      <c r="R147" s="15"/>
      <c r="S147" s="15"/>
      <c r="T147" s="15"/>
      <c r="U147" s="15"/>
      <c r="V147" s="1"/>
      <c r="W147" s="1"/>
      <c r="X147" s="1"/>
      <c r="Y147" s="1"/>
      <c r="Z147" s="1"/>
      <c r="AA147" s="1"/>
      <c r="AB147" s="246"/>
    </row>
    <row r="148" spans="2:28" ht="16.5" thickBot="1">
      <c r="B148" s="11"/>
      <c r="C148" s="369"/>
      <c r="D148" s="1">
        <f>IF(OR(G148&lt;0,G148=""),1,0)</f>
        <v>0</v>
      </c>
      <c r="E148" s="489" t="s">
        <v>136</v>
      </c>
      <c r="F148" s="466" t="s">
        <v>19</v>
      </c>
      <c r="G148" s="722">
        <v>0.125</v>
      </c>
      <c r="H148" s="291"/>
      <c r="I148" s="12" t="s">
        <v>12</v>
      </c>
      <c r="J148" s="403"/>
      <c r="K148" s="15"/>
      <c r="L148" s="298"/>
      <c r="M148" s="15"/>
      <c r="N148" s="15"/>
      <c r="O148" s="532" t="s">
        <v>137</v>
      </c>
      <c r="P148" s="533"/>
      <c r="Q148" s="534"/>
      <c r="R148" s="15"/>
      <c r="S148" s="15"/>
      <c r="T148" s="15"/>
      <c r="U148" s="1"/>
      <c r="V148" s="1"/>
      <c r="W148" s="1"/>
      <c r="X148" s="1"/>
      <c r="Y148" s="1"/>
      <c r="Z148" s="1"/>
      <c r="AA148" s="1"/>
      <c r="AB148" s="246"/>
    </row>
    <row r="149" spans="2:28" ht="15.75">
      <c r="B149" s="11"/>
      <c r="C149" s="1"/>
      <c r="D149" s="1"/>
      <c r="E149" s="449" t="s">
        <v>138</v>
      </c>
      <c r="F149" s="450" t="s">
        <v>19</v>
      </c>
      <c r="G149" s="681"/>
      <c r="H149" s="1"/>
      <c r="I149" s="12" t="s">
        <v>12</v>
      </c>
      <c r="J149" s="246"/>
      <c r="K149" s="15"/>
      <c r="L149" s="298"/>
      <c r="M149" s="374"/>
      <c r="N149" s="15"/>
      <c r="O149" s="535" t="s">
        <v>139</v>
      </c>
      <c r="P149" s="23"/>
      <c r="Q149" s="511" t="s">
        <v>140</v>
      </c>
      <c r="R149" s="15"/>
      <c r="S149" s="12" t="s">
        <v>12</v>
      </c>
      <c r="T149" s="15"/>
      <c r="U149" s="15"/>
      <c r="V149" s="1"/>
      <c r="W149" s="1"/>
      <c r="X149" s="1"/>
      <c r="Y149" s="1"/>
      <c r="Z149" s="1"/>
      <c r="AA149" s="1"/>
      <c r="AB149" s="246"/>
    </row>
    <row r="150" spans="2:28" ht="16.5" thickBot="1">
      <c r="B150" s="11"/>
      <c r="C150" s="369"/>
      <c r="D150" s="1"/>
      <c r="E150" s="486" t="s">
        <v>141</v>
      </c>
      <c r="F150" s="466" t="s">
        <v>47</v>
      </c>
      <c r="G150" s="490">
        <v>0</v>
      </c>
      <c r="H150" s="288"/>
      <c r="I150" s="12" t="s">
        <v>12</v>
      </c>
      <c r="J150" s="246"/>
      <c r="K150" s="15"/>
      <c r="L150" s="298"/>
      <c r="M150" s="375"/>
      <c r="N150" s="15"/>
      <c r="O150" s="465" t="s">
        <v>142</v>
      </c>
      <c r="P150" s="456" t="s">
        <v>47</v>
      </c>
      <c r="Q150" s="588">
        <v>0</v>
      </c>
      <c r="R150" s="15"/>
      <c r="S150" s="12" t="s">
        <v>12</v>
      </c>
      <c r="T150" s="15"/>
      <c r="U150" s="385"/>
      <c r="V150" s="1"/>
      <c r="W150" s="1"/>
      <c r="X150" s="1"/>
      <c r="Y150" s="1"/>
      <c r="Z150" s="1"/>
      <c r="AA150" s="1"/>
      <c r="AB150" s="246"/>
    </row>
    <row r="151" spans="2:28" ht="16.5" thickBot="1">
      <c r="B151" s="11"/>
      <c r="C151" s="1"/>
      <c r="D151" s="1"/>
      <c r="E151" s="1"/>
      <c r="F151" s="1"/>
      <c r="G151" s="1"/>
      <c r="H151" s="1"/>
      <c r="I151" s="1"/>
      <c r="J151" s="246"/>
      <c r="K151" s="15"/>
      <c r="L151" s="298"/>
      <c r="M151" s="1"/>
      <c r="N151" s="1"/>
      <c r="O151" s="1"/>
      <c r="P151" s="1"/>
      <c r="Q151" s="1"/>
      <c r="R151" s="1"/>
      <c r="S151" s="1"/>
      <c r="T151" s="1"/>
      <c r="U151" s="385"/>
      <c r="V151" s="1"/>
      <c r="W151" s="1"/>
      <c r="X151" s="1"/>
      <c r="Y151" s="1"/>
      <c r="Z151" s="1"/>
      <c r="AA151" s="1"/>
      <c r="AB151" s="246"/>
    </row>
    <row r="152" spans="2:28" ht="16.5" thickBot="1">
      <c r="B152" s="298"/>
      <c r="C152" s="1"/>
      <c r="D152" s="1"/>
      <c r="E152" s="314" t="s">
        <v>143</v>
      </c>
      <c r="F152" s="22"/>
      <c r="G152" s="315"/>
      <c r="H152" s="1"/>
      <c r="I152" s="1"/>
      <c r="J152" s="246"/>
      <c r="K152" s="1"/>
      <c r="L152" s="298"/>
      <c r="M152" s="15"/>
      <c r="N152" s="15"/>
      <c r="O152" s="5" t="s">
        <v>144</v>
      </c>
      <c r="P152" s="347" t="s">
        <v>6</v>
      </c>
      <c r="Q152" s="411" t="s">
        <v>7</v>
      </c>
      <c r="R152" s="15"/>
      <c r="S152" s="15"/>
      <c r="T152" s="15"/>
      <c r="U152" s="378"/>
      <c r="V152" s="1"/>
      <c r="W152" s="1"/>
      <c r="X152" s="1"/>
      <c r="Y152" s="1"/>
      <c r="Z152" s="1"/>
      <c r="AA152" s="1"/>
      <c r="AB152" s="246"/>
    </row>
    <row r="153" spans="2:28" ht="15.75">
      <c r="B153" s="298"/>
      <c r="C153" s="1"/>
      <c r="D153" s="1"/>
      <c r="E153" s="449" t="s">
        <v>145</v>
      </c>
      <c r="F153" s="574"/>
      <c r="G153" s="491"/>
      <c r="H153" s="1"/>
      <c r="I153" s="12" t="s">
        <v>12</v>
      </c>
      <c r="J153" s="246"/>
      <c r="K153" s="15"/>
      <c r="L153" s="298"/>
      <c r="M153" s="15"/>
      <c r="N153" s="15"/>
      <c r="O153" s="536" t="s">
        <v>146</v>
      </c>
      <c r="P153" s="527"/>
      <c r="Q153" s="528"/>
      <c r="R153" s="15"/>
      <c r="S153" s="15"/>
      <c r="T153" s="15"/>
      <c r="U153" s="15"/>
      <c r="V153" s="1"/>
      <c r="W153" s="1"/>
      <c r="X153" s="1"/>
      <c r="Y153" s="1"/>
      <c r="Z153" s="1"/>
      <c r="AA153" s="1"/>
      <c r="AB153" s="246"/>
    </row>
    <row r="154" spans="2:28" ht="15.75">
      <c r="B154" s="298"/>
      <c r="C154" s="1"/>
      <c r="D154" s="1"/>
      <c r="E154" s="451" t="s">
        <v>147</v>
      </c>
      <c r="F154" s="573"/>
      <c r="G154" s="467"/>
      <c r="H154" s="1"/>
      <c r="I154" s="12" t="s">
        <v>12</v>
      </c>
      <c r="J154" s="246"/>
      <c r="K154" s="1"/>
      <c r="L154" s="298"/>
      <c r="M154" s="375"/>
      <c r="N154" s="15"/>
      <c r="O154" s="451" t="s">
        <v>148</v>
      </c>
      <c r="P154" s="7" t="s">
        <v>107</v>
      </c>
      <c r="Q154" s="584">
        <v>0</v>
      </c>
      <c r="R154" s="15"/>
      <c r="S154" s="12" t="s">
        <v>12</v>
      </c>
      <c r="T154" s="15"/>
      <c r="U154" s="15"/>
      <c r="V154" s="1"/>
      <c r="W154" s="1"/>
      <c r="X154" s="1"/>
      <c r="Y154" s="1"/>
      <c r="Z154" s="1"/>
      <c r="AA154" s="1"/>
      <c r="AB154" s="246"/>
    </row>
    <row r="155" spans="2:28" ht="16.5" thickBot="1">
      <c r="B155" s="11"/>
      <c r="C155" s="1"/>
      <c r="D155" s="1"/>
      <c r="E155" s="492" t="s">
        <v>149</v>
      </c>
      <c r="F155" s="575"/>
      <c r="G155" s="493"/>
      <c r="H155" s="1"/>
      <c r="I155" s="12" t="s">
        <v>12</v>
      </c>
      <c r="J155" s="246"/>
      <c r="K155" s="1"/>
      <c r="L155" s="298"/>
      <c r="M155" s="15"/>
      <c r="N155" s="15"/>
      <c r="O155" s="455" t="s">
        <v>150</v>
      </c>
      <c r="P155" s="466" t="s">
        <v>47</v>
      </c>
      <c r="Q155" s="537"/>
      <c r="R155" s="15"/>
      <c r="S155" s="12" t="s">
        <v>12</v>
      </c>
      <c r="T155" s="15"/>
      <c r="U155" s="15"/>
      <c r="V155" s="1"/>
      <c r="W155" s="1"/>
      <c r="X155" s="1"/>
      <c r="Y155" s="1"/>
      <c r="Z155" s="1"/>
      <c r="AA155" s="1"/>
      <c r="AB155" s="246"/>
    </row>
    <row r="156" spans="2:28" ht="17.25" thickTop="1" thickBot="1">
      <c r="B156" s="298"/>
      <c r="C156" s="1"/>
      <c r="D156" s="1"/>
      <c r="E156" s="494" t="s">
        <v>44</v>
      </c>
      <c r="F156" s="462" t="s">
        <v>47</v>
      </c>
      <c r="G156" s="495"/>
      <c r="H156" s="1"/>
      <c r="I156" s="12" t="s">
        <v>12</v>
      </c>
      <c r="J156" s="246"/>
      <c r="K156" s="1"/>
      <c r="L156" s="298"/>
      <c r="M156" s="15"/>
      <c r="N156" s="15"/>
      <c r="O156" s="536" t="s">
        <v>151</v>
      </c>
      <c r="P156" s="527"/>
      <c r="Q156" s="538"/>
      <c r="R156" s="15"/>
      <c r="S156" s="15"/>
      <c r="T156" s="15"/>
      <c r="U156" s="15"/>
      <c r="V156" s="1"/>
      <c r="W156" s="1"/>
      <c r="X156" s="1"/>
      <c r="Y156" s="1"/>
      <c r="Z156" s="1"/>
      <c r="AA156" s="1"/>
      <c r="AB156" s="246"/>
    </row>
    <row r="157" spans="2:28" ht="16.5" thickBot="1">
      <c r="B157" s="11"/>
      <c r="C157" s="1"/>
      <c r="D157" s="1"/>
      <c r="E157" s="1"/>
      <c r="F157" s="1"/>
      <c r="G157" s="1"/>
      <c r="H157" s="1"/>
      <c r="I157" s="1"/>
      <c r="J157" s="246"/>
      <c r="K157" s="1"/>
      <c r="L157" s="298"/>
      <c r="M157" s="375"/>
      <c r="N157" s="15"/>
      <c r="O157" s="474" t="s">
        <v>152</v>
      </c>
      <c r="P157" s="7" t="s">
        <v>107</v>
      </c>
      <c r="Q157" s="584">
        <v>0</v>
      </c>
      <c r="R157" s="15"/>
      <c r="S157" s="12" t="s">
        <v>12</v>
      </c>
      <c r="T157" s="15"/>
      <c r="U157" s="1"/>
      <c r="V157" s="1"/>
      <c r="W157" s="1"/>
      <c r="X157" s="1"/>
      <c r="Y157" s="1"/>
      <c r="Z157" s="1"/>
      <c r="AA157" s="1"/>
      <c r="AB157" s="246"/>
    </row>
    <row r="158" spans="2:28" ht="16.5" thickBot="1">
      <c r="B158" s="11"/>
      <c r="C158" s="1"/>
      <c r="D158" s="1"/>
      <c r="E158" s="5" t="s">
        <v>153</v>
      </c>
      <c r="F158" s="347" t="s">
        <v>6</v>
      </c>
      <c r="G158" s="411" t="s">
        <v>7</v>
      </c>
      <c r="H158" s="293"/>
      <c r="I158" s="17"/>
      <c r="J158" s="246"/>
      <c r="K158" s="1"/>
      <c r="L158" s="298"/>
      <c r="M158" s="15"/>
      <c r="N158" s="15"/>
      <c r="O158" s="465" t="s">
        <v>154</v>
      </c>
      <c r="P158" s="466" t="s">
        <v>47</v>
      </c>
      <c r="Q158" s="537"/>
      <c r="R158" s="15"/>
      <c r="S158" s="12" t="s">
        <v>12</v>
      </c>
      <c r="T158" s="15"/>
      <c r="U158" s="15"/>
      <c r="V158" s="1"/>
      <c r="W158" s="1"/>
      <c r="X158" s="1"/>
      <c r="Y158" s="1"/>
      <c r="Z158" s="1"/>
      <c r="AA158" s="1"/>
      <c r="AB158" s="246"/>
    </row>
    <row r="159" spans="2:28" ht="16.5" thickBot="1">
      <c r="B159" s="11"/>
      <c r="C159" s="373"/>
      <c r="D159" s="1"/>
      <c r="E159" s="438" t="s">
        <v>155</v>
      </c>
      <c r="F159" s="525"/>
      <c r="G159" s="547" t="s">
        <v>83</v>
      </c>
      <c r="H159" s="282"/>
      <c r="I159" s="12" t="s">
        <v>12</v>
      </c>
      <c r="J159" s="246"/>
      <c r="K159" s="1"/>
      <c r="L159" s="298"/>
      <c r="M159" s="375"/>
      <c r="N159" s="15"/>
      <c r="O159" s="540" t="s">
        <v>156</v>
      </c>
      <c r="P159" s="439" t="s">
        <v>19</v>
      </c>
      <c r="Q159" s="539">
        <v>0.02</v>
      </c>
      <c r="R159" s="15"/>
      <c r="S159" s="12" t="s">
        <v>12</v>
      </c>
      <c r="T159" s="15"/>
      <c r="U159" s="1"/>
      <c r="V159" s="1"/>
      <c r="W159" s="1"/>
      <c r="X159" s="1"/>
      <c r="Y159" s="1"/>
      <c r="Z159" s="1"/>
      <c r="AA159" s="1"/>
      <c r="AB159" s="246"/>
    </row>
    <row r="160" spans="2:28" ht="16.5" thickBot="1">
      <c r="B160" s="11"/>
      <c r="C160" s="369"/>
      <c r="D160" s="1">
        <f>IF(OR(G160&lt;0,G160=""),1,0)</f>
        <v>0</v>
      </c>
      <c r="E160" s="458" t="s">
        <v>157</v>
      </c>
      <c r="F160" s="450" t="s">
        <v>19</v>
      </c>
      <c r="G160" s="548">
        <v>0.21</v>
      </c>
      <c r="H160" s="270"/>
      <c r="I160" s="12" t="s">
        <v>12</v>
      </c>
      <c r="J160" s="403"/>
      <c r="K160" s="1"/>
      <c r="L160" s="11"/>
      <c r="M160" s="1"/>
      <c r="N160" s="1"/>
      <c r="O160" s="1"/>
      <c r="P160" s="1"/>
      <c r="Q160" s="1"/>
      <c r="R160" s="1"/>
      <c r="S160" s="1"/>
      <c r="T160" s="1"/>
      <c r="U160" s="1"/>
      <c r="V160" s="1"/>
      <c r="W160" s="1"/>
      <c r="X160" s="1"/>
      <c r="Y160" s="1"/>
      <c r="Z160" s="1"/>
      <c r="AA160" s="1"/>
      <c r="AB160" s="246"/>
    </row>
    <row r="161" spans="2:28" ht="16.5" thickBot="1">
      <c r="B161" s="11"/>
      <c r="C161" s="373"/>
      <c r="D161" s="1"/>
      <c r="E161" s="513" t="s">
        <v>75</v>
      </c>
      <c r="F161" s="549"/>
      <c r="G161" s="517" t="s">
        <v>76</v>
      </c>
      <c r="H161" s="282"/>
      <c r="I161" s="12" t="s">
        <v>12</v>
      </c>
      <c r="J161" s="246"/>
      <c r="K161" s="1"/>
      <c r="L161" s="11"/>
      <c r="M161" s="15"/>
      <c r="N161" s="15"/>
      <c r="O161" s="348" t="s">
        <v>158</v>
      </c>
      <c r="P161" s="432" t="s">
        <v>159</v>
      </c>
      <c r="Q161" s="432"/>
      <c r="R161" s="432"/>
      <c r="S161" s="432"/>
      <c r="T161" s="432"/>
      <c r="U161" s="432"/>
      <c r="V161" s="432"/>
      <c r="W161" s="432"/>
      <c r="X161" s="432"/>
      <c r="Y161" s="432"/>
      <c r="Z161" s="315"/>
      <c r="AA161" s="1"/>
      <c r="AB161" s="246"/>
    </row>
    <row r="162" spans="2:28" ht="15.75">
      <c r="B162" s="11"/>
      <c r="C162" s="369"/>
      <c r="D162" s="1">
        <f>IF(OR(G162&lt;0,G162=""),1,0)</f>
        <v>0</v>
      </c>
      <c r="E162" s="458" t="s">
        <v>160</v>
      </c>
      <c r="F162" s="450" t="s">
        <v>19</v>
      </c>
      <c r="G162" s="682">
        <v>0.09</v>
      </c>
      <c r="H162" s="270"/>
      <c r="I162" s="12" t="s">
        <v>12</v>
      </c>
      <c r="J162" s="403"/>
      <c r="K162" s="1"/>
      <c r="L162" s="11"/>
      <c r="M162" s="373"/>
      <c r="N162" s="15"/>
      <c r="O162" s="515" t="s">
        <v>161</v>
      </c>
      <c r="P162" s="496" t="str">
        <f>[2]Input_Dashboard!$D$141</f>
        <v>No</v>
      </c>
      <c r="Q162" s="1"/>
      <c r="R162" s="1"/>
      <c r="S162" s="419" t="s">
        <v>12</v>
      </c>
      <c r="T162" s="1"/>
      <c r="U162" s="1"/>
      <c r="V162" s="1"/>
      <c r="W162" s="1"/>
      <c r="X162" s="1"/>
      <c r="Y162" s="1"/>
      <c r="Z162" s="246"/>
      <c r="AA162" s="1"/>
      <c r="AB162" s="246"/>
    </row>
    <row r="163" spans="2:28" ht="16.5" thickBot="1">
      <c r="B163" s="11"/>
      <c r="C163" s="373"/>
      <c r="D163" s="1"/>
      <c r="E163" s="513" t="s">
        <v>162</v>
      </c>
      <c r="F163" s="549"/>
      <c r="G163" s="517" t="s">
        <v>76</v>
      </c>
      <c r="H163" s="282"/>
      <c r="I163" s="12" t="s">
        <v>12</v>
      </c>
      <c r="J163" s="403"/>
      <c r="K163" s="1"/>
      <c r="L163" s="11"/>
      <c r="M163" s="375"/>
      <c r="N163" s="1"/>
      <c r="O163" s="455" t="s">
        <v>163</v>
      </c>
      <c r="P163" s="683">
        <f>[2]Input_Dashboard!D228</f>
        <v>0</v>
      </c>
      <c r="Q163" s="1"/>
      <c r="R163" s="1"/>
      <c r="S163" s="12" t="s">
        <v>12</v>
      </c>
      <c r="T163" s="1"/>
      <c r="U163" s="1"/>
      <c r="V163" s="1"/>
      <c r="W163" s="1"/>
      <c r="X163" s="1"/>
      <c r="Y163" s="1"/>
      <c r="Z163" s="246"/>
      <c r="AA163" s="1"/>
      <c r="AB163" s="246"/>
    </row>
    <row r="164" spans="2:28" ht="16.5" thickBot="1">
      <c r="B164" s="11"/>
      <c r="C164" s="1"/>
      <c r="D164" s="1"/>
      <c r="E164" s="550" t="s">
        <v>164</v>
      </c>
      <c r="F164" s="551" t="s">
        <v>19</v>
      </c>
      <c r="G164" s="552"/>
      <c r="H164" s="295"/>
      <c r="I164" s="12" t="s">
        <v>12</v>
      </c>
      <c r="J164" s="403"/>
      <c r="K164" s="1"/>
      <c r="L164" s="11"/>
      <c r="M164" s="1"/>
      <c r="N164" s="1"/>
      <c r="O164" s="296"/>
      <c r="P164" s="40"/>
      <c r="Q164" s="40"/>
      <c r="R164" s="40"/>
      <c r="S164" s="40"/>
      <c r="T164" s="40"/>
      <c r="U164" s="40"/>
      <c r="V164" s="40"/>
      <c r="W164" s="40"/>
      <c r="X164" s="40"/>
      <c r="Y164" s="40"/>
      <c r="Z164" s="305"/>
      <c r="AA164" s="1"/>
      <c r="AB164" s="246"/>
    </row>
    <row r="165" spans="2:28" ht="16.5" thickBot="1">
      <c r="B165" s="11"/>
      <c r="C165" s="1"/>
      <c r="D165" s="1"/>
      <c r="E165" s="455" t="s">
        <v>158</v>
      </c>
      <c r="F165" s="498"/>
      <c r="G165" s="499" t="s">
        <v>165</v>
      </c>
      <c r="H165" s="55"/>
      <c r="I165" s="12" t="s">
        <v>12</v>
      </c>
      <c r="J165" s="246"/>
      <c r="K165" s="1"/>
      <c r="L165" s="11"/>
      <c r="M165" s="15"/>
      <c r="N165" s="15"/>
      <c r="O165" s="542" t="s">
        <v>166</v>
      </c>
      <c r="P165" s="543" t="s">
        <v>167</v>
      </c>
      <c r="Q165" s="648" t="s">
        <v>168</v>
      </c>
      <c r="R165" s="775" t="s">
        <v>169</v>
      </c>
      <c r="S165" s="776"/>
      <c r="T165" s="777"/>
      <c r="U165" s="543" t="s">
        <v>170</v>
      </c>
      <c r="V165" s="543" t="s">
        <v>171</v>
      </c>
      <c r="W165" s="543" t="s">
        <v>172</v>
      </c>
      <c r="X165" s="543" t="s">
        <v>173</v>
      </c>
      <c r="Y165" s="543" t="s">
        <v>174</v>
      </c>
      <c r="Z165" s="544" t="s">
        <v>175</v>
      </c>
      <c r="AA165" s="1"/>
      <c r="AB165" s="246"/>
    </row>
    <row r="166" spans="2:28" ht="16.5" thickBot="1">
      <c r="B166" s="11"/>
      <c r="C166" s="1"/>
      <c r="D166" s="1"/>
      <c r="E166" s="1"/>
      <c r="F166" s="1"/>
      <c r="G166" s="1"/>
      <c r="H166" s="1"/>
      <c r="I166" s="1"/>
      <c r="J166" s="246"/>
      <c r="K166" s="1"/>
      <c r="L166" s="11">
        <f>IF(AND($G$73="Yes",$G$15="Simple"),1,0)</f>
        <v>0</v>
      </c>
      <c r="M166" s="15"/>
      <c r="N166" s="230">
        <f>IF(AND($G$15="Simple",SUM(P166:Z166)=1),1,IF(AND($G$15="Simple",SUM(P166:Z166)&lt;&gt;1),2,0))</f>
        <v>0</v>
      </c>
      <c r="O166" s="545" t="str">
        <f t="shared" ref="O166:O171" si="1">E102</f>
        <v>Total Installed Cost</v>
      </c>
      <c r="P166" s="590">
        <v>0.94</v>
      </c>
      <c r="Q166" s="649">
        <v>0</v>
      </c>
      <c r="R166" s="778">
        <v>1.4999999999999999E-2</v>
      </c>
      <c r="S166" s="779"/>
      <c r="T166" s="780"/>
      <c r="U166" s="590">
        <v>0.01</v>
      </c>
      <c r="V166" s="590">
        <v>0</v>
      </c>
      <c r="W166" s="590">
        <v>0</v>
      </c>
      <c r="X166" s="590">
        <v>0.01</v>
      </c>
      <c r="Y166" s="590">
        <v>0</v>
      </c>
      <c r="Z166" s="593">
        <v>2.5000000000000001E-2</v>
      </c>
      <c r="AA166" s="1"/>
      <c r="AB166" s="294" t="s">
        <v>12</v>
      </c>
    </row>
    <row r="167" spans="2:28" ht="16.5" thickBot="1">
      <c r="B167" s="296"/>
      <c r="C167" s="40"/>
      <c r="D167" s="40"/>
      <c r="E167" s="40"/>
      <c r="F167" s="40"/>
      <c r="G167" s="40"/>
      <c r="H167" s="40"/>
      <c r="I167" s="40"/>
      <c r="J167" s="305"/>
      <c r="K167" s="1"/>
      <c r="L167" s="11">
        <f>IF(AND($G$73="Yes",$G$15="Intermediate"),1,0)</f>
        <v>1</v>
      </c>
      <c r="M167" s="15"/>
      <c r="N167" s="230">
        <f>IF(AND($G$15="Intermediate",SUM(P167:Z167)=1),1,IF(AND($G$15="Intermediate",SUM(P167:Z167)&lt;&gt;1),2,0))</f>
        <v>1</v>
      </c>
      <c r="O167" s="595" t="str">
        <f t="shared" si="1"/>
        <v>Generation Equipment</v>
      </c>
      <c r="P167" s="723">
        <v>0.96</v>
      </c>
      <c r="Q167" s="724">
        <v>0</v>
      </c>
      <c r="R167" s="781">
        <v>0.02</v>
      </c>
      <c r="S167" s="782"/>
      <c r="T167" s="783"/>
      <c r="U167" s="725">
        <v>0</v>
      </c>
      <c r="V167" s="725">
        <v>0</v>
      </c>
      <c r="W167" s="725">
        <v>0</v>
      </c>
      <c r="X167" s="725">
        <v>0.02</v>
      </c>
      <c r="Y167" s="725">
        <v>0</v>
      </c>
      <c r="Z167" s="726">
        <v>0</v>
      </c>
      <c r="AA167" s="1"/>
      <c r="AB167" s="294" t="s">
        <v>12</v>
      </c>
    </row>
    <row r="168" spans="2:28" ht="15.75">
      <c r="B168" s="1"/>
      <c r="C168" s="1"/>
      <c r="D168" s="1"/>
      <c r="E168" s="1"/>
      <c r="F168" s="1"/>
      <c r="G168" s="1"/>
      <c r="H168" s="1"/>
      <c r="I168" s="1"/>
      <c r="J168" s="1"/>
      <c r="K168" s="1"/>
      <c r="L168" s="11">
        <f>IF(AND($G$73="Yes",$G$15="Intermediate"),1,0)</f>
        <v>1</v>
      </c>
      <c r="M168" s="15"/>
      <c r="N168" s="230">
        <f>IF(AND($G$15="Intermediate",SUM(P168:Z168)=1),1,IF(AND($G$15="Intermediate",SUM(P168:Z168)&lt;&gt;1),2,0))</f>
        <v>1</v>
      </c>
      <c r="O168" s="596" t="str">
        <f t="shared" si="1"/>
        <v>Balance of Plant</v>
      </c>
      <c r="P168" s="723">
        <v>0.5</v>
      </c>
      <c r="Q168" s="724">
        <v>0</v>
      </c>
      <c r="R168" s="784">
        <v>0</v>
      </c>
      <c r="S168" s="785"/>
      <c r="T168" s="786"/>
      <c r="U168" s="724">
        <v>0</v>
      </c>
      <c r="V168" s="724">
        <v>0</v>
      </c>
      <c r="W168" s="724">
        <v>0.5</v>
      </c>
      <c r="X168" s="724">
        <v>0</v>
      </c>
      <c r="Y168" s="724">
        <v>0</v>
      </c>
      <c r="Z168" s="727">
        <v>0</v>
      </c>
      <c r="AA168" s="1"/>
      <c r="AB168" s="294" t="s">
        <v>12</v>
      </c>
    </row>
    <row r="169" spans="2:28" ht="15.75">
      <c r="B169" s="1"/>
      <c r="C169" s="1"/>
      <c r="D169" s="1"/>
      <c r="E169" s="1"/>
      <c r="F169" s="1"/>
      <c r="G169" s="1"/>
      <c r="H169" s="1"/>
      <c r="I169" s="1"/>
      <c r="J169" s="1"/>
      <c r="K169" s="1"/>
      <c r="L169" s="11">
        <f>IF(AND($G$73="Yes",$G$15="Intermediate"),1,0)</f>
        <v>1</v>
      </c>
      <c r="M169" s="15"/>
      <c r="N169" s="230">
        <f>IF(AND($G$15="Intermediate",SUM(P169:Z169)=1),1,IF(AND($G$15="Intermediate",SUM(P169:Z169)&lt;&gt;1),2,0))</f>
        <v>1</v>
      </c>
      <c r="O169" s="596" t="str">
        <f t="shared" si="1"/>
        <v>Interconnection</v>
      </c>
      <c r="P169" s="723">
        <v>0</v>
      </c>
      <c r="Q169" s="724">
        <v>0</v>
      </c>
      <c r="R169" s="784">
        <v>0</v>
      </c>
      <c r="S169" s="785"/>
      <c r="T169" s="786"/>
      <c r="U169" s="724">
        <v>0</v>
      </c>
      <c r="V169" s="724">
        <v>0</v>
      </c>
      <c r="W169" s="724">
        <v>1</v>
      </c>
      <c r="X169" s="724">
        <v>0</v>
      </c>
      <c r="Y169" s="724">
        <v>0</v>
      </c>
      <c r="Z169" s="727">
        <v>0</v>
      </c>
      <c r="AA169" s="1"/>
      <c r="AB169" s="294" t="s">
        <v>12</v>
      </c>
    </row>
    <row r="170" spans="2:28" ht="15.75">
      <c r="B170" s="1"/>
      <c r="C170" s="1"/>
      <c r="D170" s="1"/>
      <c r="E170" s="1"/>
      <c r="F170" s="1"/>
      <c r="G170" s="1"/>
      <c r="H170" s="1"/>
      <c r="I170" s="1"/>
      <c r="J170" s="1"/>
      <c r="K170" s="1"/>
      <c r="L170" s="11">
        <f>IF(AND($G$73="Yes",$G$15="Intermediate"),1,0)</f>
        <v>1</v>
      </c>
      <c r="M170" s="15"/>
      <c r="N170" s="230">
        <f>IF(AND($G$15="Intermediate",SUM(P170:Z170)=1),1,IF(AND($G$15="Intermediate",SUM(P170:Z170)&lt;&gt;1),2,0))</f>
        <v>1</v>
      </c>
      <c r="O170" s="596" t="str">
        <f t="shared" si="1"/>
        <v>Development Costs &amp; Fee</v>
      </c>
      <c r="P170" s="723">
        <v>0.8</v>
      </c>
      <c r="Q170" s="724">
        <v>0</v>
      </c>
      <c r="R170" s="784">
        <v>0</v>
      </c>
      <c r="S170" s="785"/>
      <c r="T170" s="786"/>
      <c r="U170" s="724">
        <v>0</v>
      </c>
      <c r="V170" s="724">
        <v>0</v>
      </c>
      <c r="W170" s="724">
        <v>0.05</v>
      </c>
      <c r="X170" s="724">
        <v>0.05</v>
      </c>
      <c r="Y170" s="724">
        <v>0</v>
      </c>
      <c r="Z170" s="727">
        <v>0.1</v>
      </c>
      <c r="AA170" s="1"/>
      <c r="AB170" s="294" t="s">
        <v>12</v>
      </c>
    </row>
    <row r="171" spans="2:28" ht="16.5" thickBot="1">
      <c r="B171" s="1"/>
      <c r="C171" s="1"/>
      <c r="D171" s="1"/>
      <c r="E171" s="1"/>
      <c r="F171" s="1"/>
      <c r="G171" s="1"/>
      <c r="H171" s="1"/>
      <c r="I171" s="1"/>
      <c r="J171" s="1"/>
      <c r="K171" s="1"/>
      <c r="L171" s="11">
        <f>IF(AND($G$73="Yes",$G$15="Intermediate"),1,0)</f>
        <v>1</v>
      </c>
      <c r="M171" s="15"/>
      <c r="N171" s="230">
        <f>IF(AND($G$15="Intermediate",SUM(P171:Z171)=1),1,IF(AND($G$15="Intermediate",SUM(P171:Z171)&lt;&gt;1),2,0))</f>
        <v>1</v>
      </c>
      <c r="O171" s="597" t="str">
        <f t="shared" si="1"/>
        <v>Reserves &amp; Financing Costs</v>
      </c>
      <c r="P171" s="728">
        <v>0</v>
      </c>
      <c r="Q171" s="729">
        <v>0</v>
      </c>
      <c r="R171" s="766">
        <v>0</v>
      </c>
      <c r="S171" s="767"/>
      <c r="T171" s="768"/>
      <c r="U171" s="729">
        <v>0</v>
      </c>
      <c r="V171" s="729">
        <v>0</v>
      </c>
      <c r="W171" s="729">
        <v>0</v>
      </c>
      <c r="X171" s="729">
        <v>0.5</v>
      </c>
      <c r="Y171" s="729">
        <v>0</v>
      </c>
      <c r="Z171" s="730">
        <v>0.5</v>
      </c>
      <c r="AA171" s="1"/>
      <c r="AB171" s="294" t="s">
        <v>12</v>
      </c>
    </row>
    <row r="172" spans="2:28" ht="16.5" thickBot="1">
      <c r="B172" s="1"/>
      <c r="C172" s="1"/>
      <c r="D172" s="1"/>
      <c r="E172" s="1"/>
      <c r="F172" s="1"/>
      <c r="G172" s="1"/>
      <c r="H172" s="1"/>
      <c r="I172" s="1"/>
      <c r="J172" s="1"/>
      <c r="K172" s="1"/>
      <c r="L172" s="296">
        <f>IF(AND($G$73="Yes",$G$15="Complex"),1,0)</f>
        <v>0</v>
      </c>
      <c r="M172" s="647"/>
      <c r="N172" s="647"/>
      <c r="O172" s="546" t="s">
        <v>176</v>
      </c>
      <c r="P172" s="591"/>
      <c r="Q172" s="592"/>
      <c r="R172" s="769"/>
      <c r="S172" s="770"/>
      <c r="T172" s="771"/>
      <c r="U172" s="591"/>
      <c r="V172" s="591"/>
      <c r="W172" s="591"/>
      <c r="X172" s="591"/>
      <c r="Y172" s="591"/>
      <c r="Z172" s="594"/>
      <c r="AA172" s="40"/>
      <c r="AB172" s="421" t="s">
        <v>12</v>
      </c>
    </row>
    <row r="174" spans="2:28" ht="36.75" thickBot="1">
      <c r="E174" s="731" t="s">
        <v>179</v>
      </c>
    </row>
    <row r="175" spans="2:28" ht="18.75" thickBot="1">
      <c r="B175" s="413"/>
      <c r="C175" s="772" t="s">
        <v>1</v>
      </c>
      <c r="D175" s="772"/>
      <c r="E175" s="772"/>
      <c r="F175" s="772"/>
      <c r="G175" s="772"/>
      <c r="H175" s="772"/>
      <c r="I175" s="772"/>
      <c r="J175" s="772"/>
      <c r="K175" s="772"/>
      <c r="L175" s="773"/>
      <c r="M175" s="773"/>
      <c r="N175" s="773"/>
      <c r="O175" s="773"/>
      <c r="P175" s="773"/>
      <c r="Q175" s="773"/>
      <c r="R175" s="773"/>
      <c r="S175" s="773"/>
      <c r="T175" s="773"/>
      <c r="U175" s="328"/>
      <c r="V175" s="329"/>
      <c r="W175" s="329"/>
      <c r="X175" s="329"/>
      <c r="Y175" s="329"/>
      <c r="Z175" s="329"/>
      <c r="AA175" s="329"/>
      <c r="AB175" s="330"/>
    </row>
    <row r="176" spans="2:28" ht="18">
      <c r="B176" s="11"/>
      <c r="C176" s="266"/>
      <c r="D176" s="266"/>
      <c r="E176" s="266"/>
      <c r="F176" s="266"/>
      <c r="G176" s="266"/>
      <c r="H176" s="266"/>
      <c r="I176" s="266"/>
      <c r="J176" s="266"/>
      <c r="K176" s="341"/>
      <c r="L176" s="265"/>
      <c r="M176" s="266"/>
      <c r="N176" s="266"/>
      <c r="O176" s="266"/>
      <c r="P176" s="266"/>
      <c r="Q176" s="266"/>
      <c r="R176" s="266"/>
      <c r="S176" s="266"/>
      <c r="T176" s="266"/>
      <c r="U176" s="266"/>
      <c r="V176" s="267"/>
      <c r="W176" s="267"/>
      <c r="X176" s="267"/>
      <c r="Y176" s="267"/>
      <c r="Z176" s="267"/>
      <c r="AA176" s="267"/>
      <c r="AB176" s="297"/>
    </row>
    <row r="177" spans="2:28" ht="18.75" thickBot="1">
      <c r="B177" s="11"/>
      <c r="C177" s="401" t="s">
        <v>2</v>
      </c>
      <c r="D177" s="14"/>
      <c r="E177" s="1"/>
      <c r="F177" s="15"/>
      <c r="G177" s="1"/>
      <c r="H177" s="392"/>
      <c r="I177" s="414" t="s">
        <v>3</v>
      </c>
      <c r="J177" s="1"/>
      <c r="K177" s="342"/>
      <c r="L177" s="298"/>
      <c r="M177" s="401" t="s">
        <v>2</v>
      </c>
      <c r="N177" s="15"/>
      <c r="O177" s="774" t="s">
        <v>4</v>
      </c>
      <c r="P177" s="774"/>
      <c r="Q177" s="420"/>
      <c r="R177" s="15"/>
      <c r="S177" s="401" t="s">
        <v>3</v>
      </c>
      <c r="T177" s="393"/>
      <c r="U177" s="14"/>
      <c r="V177" s="1"/>
      <c r="W177" s="1"/>
      <c r="X177" s="1"/>
      <c r="Y177" s="1"/>
      <c r="Z177" s="1"/>
      <c r="AA177" s="1"/>
      <c r="AB177" s="246"/>
    </row>
    <row r="178" spans="2:28" ht="18.75" thickBot="1">
      <c r="B178" s="415"/>
      <c r="C178" s="267"/>
      <c r="D178" s="267"/>
      <c r="E178" s="20"/>
      <c r="F178" s="16"/>
      <c r="G178" s="19"/>
      <c r="H178" s="416"/>
      <c r="I178" s="417"/>
      <c r="J178" s="418"/>
      <c r="K178" s="15"/>
      <c r="L178" s="415"/>
      <c r="M178" s="267"/>
      <c r="N178" s="267"/>
      <c r="O178" s="267"/>
      <c r="P178" s="267"/>
      <c r="Q178" s="267"/>
      <c r="R178" s="267"/>
      <c r="S178" s="267"/>
      <c r="T178" s="267"/>
      <c r="U178" s="267"/>
      <c r="V178" s="267"/>
      <c r="W178" s="267"/>
      <c r="X178" s="267"/>
      <c r="Y178" s="267"/>
      <c r="Z178" s="267"/>
      <c r="AA178" s="267"/>
      <c r="AB178" s="297"/>
    </row>
    <row r="179" spans="2:28" ht="21" thickBot="1">
      <c r="B179" s="11"/>
      <c r="C179" s="1"/>
      <c r="D179" s="1"/>
      <c r="E179" s="2" t="s">
        <v>5</v>
      </c>
      <c r="F179" s="347" t="s">
        <v>6</v>
      </c>
      <c r="G179" s="411" t="s">
        <v>7</v>
      </c>
      <c r="H179" s="57"/>
      <c r="I179" s="17"/>
      <c r="J179" s="402"/>
      <c r="K179" s="15"/>
      <c r="L179" s="11"/>
      <c r="M179" s="1"/>
      <c r="N179" s="1"/>
      <c r="O179" s="2" t="s">
        <v>8</v>
      </c>
      <c r="P179" s="347" t="s">
        <v>6</v>
      </c>
      <c r="Q179" s="411" t="s">
        <v>7</v>
      </c>
      <c r="R179" s="1"/>
      <c r="S179" s="1"/>
      <c r="T179" s="1"/>
      <c r="U179" s="645" t="s">
        <v>9</v>
      </c>
      <c r="V179" s="1"/>
      <c r="W179" s="1"/>
      <c r="X179" s="1"/>
      <c r="Y179" s="1"/>
      <c r="Z179" s="1"/>
      <c r="AA179" s="1"/>
      <c r="AB179" s="246"/>
    </row>
    <row r="180" spans="2:28" ht="15.75">
      <c r="B180" s="11"/>
      <c r="C180" s="317"/>
      <c r="D180" s="1"/>
      <c r="E180" s="458" t="s">
        <v>10</v>
      </c>
      <c r="F180" s="450" t="s">
        <v>11</v>
      </c>
      <c r="G180" s="717">
        <v>250</v>
      </c>
      <c r="H180" s="269"/>
      <c r="I180" s="12" t="s">
        <v>12</v>
      </c>
      <c r="J180" s="403"/>
      <c r="K180" s="15"/>
      <c r="L180" s="11"/>
      <c r="M180" s="371"/>
      <c r="N180" s="1">
        <f>IF(OR(Q180&lt;=0,Q180&gt;G184),1,0)</f>
        <v>0</v>
      </c>
      <c r="O180" s="458" t="s">
        <v>13</v>
      </c>
      <c r="P180" s="450" t="s">
        <v>14</v>
      </c>
      <c r="Q180" s="667">
        <v>20</v>
      </c>
      <c r="R180" s="272"/>
      <c r="S180" s="12" t="s">
        <v>12</v>
      </c>
      <c r="T180" s="340"/>
      <c r="U180" s="656" t="s">
        <v>15</v>
      </c>
      <c r="V180" s="657" t="s">
        <v>16</v>
      </c>
      <c r="W180" s="658" t="s">
        <v>17</v>
      </c>
      <c r="X180" s="1"/>
      <c r="Y180" s="1"/>
      <c r="Z180" s="1"/>
      <c r="AA180" s="1"/>
      <c r="AB180" s="246"/>
    </row>
    <row r="181" spans="2:28" ht="15.75">
      <c r="B181" s="11"/>
      <c r="C181" s="370"/>
      <c r="D181" s="1">
        <f>IF(OR(G181&lt;=0,G181&gt;1),1,0)</f>
        <v>0</v>
      </c>
      <c r="E181" s="451" t="s">
        <v>18</v>
      </c>
      <c r="F181" s="7" t="s">
        <v>19</v>
      </c>
      <c r="G181" s="472">
        <v>0.14499999999999999</v>
      </c>
      <c r="H181" s="270"/>
      <c r="I181" s="12" t="s">
        <v>12</v>
      </c>
      <c r="J181" s="403"/>
      <c r="K181" s="15"/>
      <c r="L181" s="11"/>
      <c r="M181" s="317"/>
      <c r="N181" s="1"/>
      <c r="O181" s="451" t="s">
        <v>20</v>
      </c>
      <c r="P181" s="7" t="s">
        <v>19</v>
      </c>
      <c r="Q181" s="472">
        <v>0</v>
      </c>
      <c r="R181" s="270">
        <v>0</v>
      </c>
      <c r="S181" s="12" t="s">
        <v>12</v>
      </c>
      <c r="T181" s="340"/>
      <c r="U181" s="474" t="s">
        <v>21</v>
      </c>
      <c r="V181" s="633" t="s">
        <v>22</v>
      </c>
      <c r="W181" s="646" t="s">
        <v>23</v>
      </c>
      <c r="X181" s="1"/>
      <c r="Y181" s="1"/>
      <c r="Z181" s="1"/>
      <c r="AA181" s="1"/>
      <c r="AB181" s="246"/>
    </row>
    <row r="182" spans="2:28" ht="16.5" thickBot="1">
      <c r="B182" s="11"/>
      <c r="C182" s="285"/>
      <c r="D182" s="1"/>
      <c r="E182" s="451" t="s">
        <v>24</v>
      </c>
      <c r="F182" s="8" t="s">
        <v>25</v>
      </c>
      <c r="G182" s="473"/>
      <c r="H182" s="271"/>
      <c r="I182" s="12" t="s">
        <v>12</v>
      </c>
      <c r="J182" s="403"/>
      <c r="K182" s="15"/>
      <c r="L182" s="11"/>
      <c r="M182" s="316"/>
      <c r="N182" s="1"/>
      <c r="O182" s="461" t="s">
        <v>26</v>
      </c>
      <c r="P182" s="466" t="s">
        <v>19</v>
      </c>
      <c r="Q182" s="472">
        <v>0</v>
      </c>
      <c r="R182" s="270"/>
      <c r="S182" s="12" t="s">
        <v>12</v>
      </c>
      <c r="T182" s="340"/>
      <c r="U182" s="451" t="s">
        <v>27</v>
      </c>
      <c r="V182" s="633" t="s">
        <v>22</v>
      </c>
      <c r="W182" s="646" t="s">
        <v>178</v>
      </c>
      <c r="X182" s="1"/>
      <c r="Y182" s="1"/>
      <c r="Z182" s="1"/>
      <c r="AA182" s="1"/>
      <c r="AB182" s="246"/>
    </row>
    <row r="183" spans="2:28" ht="16.5" thickBot="1">
      <c r="B183" s="11"/>
      <c r="C183" s="369"/>
      <c r="D183" s="1">
        <f>IF(OR(G183&lt;0,G183&gt;1),1,0)</f>
        <v>0</v>
      </c>
      <c r="E183" s="453" t="s">
        <v>29</v>
      </c>
      <c r="F183" s="7" t="s">
        <v>19</v>
      </c>
      <c r="G183" s="472">
        <v>8.0000000000000002E-3</v>
      </c>
      <c r="H183" s="270"/>
      <c r="I183" s="12" t="s">
        <v>12</v>
      </c>
      <c r="J183" s="403"/>
      <c r="K183" s="15"/>
      <c r="L183" s="298"/>
      <c r="M183" s="15"/>
      <c r="N183" s="15"/>
      <c r="O183" s="15"/>
      <c r="P183" s="15"/>
      <c r="Q183" s="15"/>
      <c r="R183" s="15"/>
      <c r="S183" s="15"/>
      <c r="T183" s="15"/>
      <c r="U183" s="639"/>
      <c r="V183" s="636"/>
      <c r="W183" s="640"/>
      <c r="X183" s="123"/>
      <c r="Y183" s="123"/>
      <c r="Z183" s="123"/>
      <c r="AA183" s="1"/>
      <c r="AB183" s="246"/>
    </row>
    <row r="184" spans="2:28" ht="16.5" thickBot="1">
      <c r="B184" s="11"/>
      <c r="C184" s="371"/>
      <c r="D184" s="1">
        <f>IF(OR(G184&lt;1,G184&gt;30),1,0)</f>
        <v>0</v>
      </c>
      <c r="E184" s="455" t="s">
        <v>30</v>
      </c>
      <c r="F184" s="466" t="s">
        <v>14</v>
      </c>
      <c r="G184" s="581">
        <v>20</v>
      </c>
      <c r="H184" s="272"/>
      <c r="I184" s="12" t="s">
        <v>12</v>
      </c>
      <c r="J184" s="403"/>
      <c r="K184" s="15"/>
      <c r="L184" s="298"/>
      <c r="M184" s="1"/>
      <c r="N184" s="1"/>
      <c r="O184" s="2" t="s">
        <v>31</v>
      </c>
      <c r="P184" s="3"/>
      <c r="Q184" s="4"/>
      <c r="R184" s="15"/>
      <c r="S184" s="12" t="s">
        <v>12</v>
      </c>
      <c r="T184" s="123"/>
      <c r="U184" s="474" t="s">
        <v>32</v>
      </c>
      <c r="V184" s="634" t="s">
        <v>33</v>
      </c>
      <c r="W184" s="669">
        <v>28.58</v>
      </c>
      <c r="X184" s="178"/>
      <c r="Y184" s="178"/>
      <c r="Z184" s="178"/>
      <c r="AA184" s="1"/>
      <c r="AB184" s="246"/>
    </row>
    <row r="185" spans="2:28" ht="16.5" thickBot="1">
      <c r="B185" s="11"/>
      <c r="C185" s="1"/>
      <c r="D185" s="1"/>
      <c r="E185" s="1"/>
      <c r="F185" s="1"/>
      <c r="G185" s="17"/>
      <c r="H185" s="17"/>
      <c r="I185" s="13"/>
      <c r="J185" s="403"/>
      <c r="K185" s="15"/>
      <c r="L185" s="298"/>
      <c r="M185" s="369"/>
      <c r="N185" s="1"/>
      <c r="O185" s="500" t="s">
        <v>34</v>
      </c>
      <c r="P185" s="501"/>
      <c r="Q185" s="502" t="s">
        <v>35</v>
      </c>
      <c r="R185" s="1"/>
      <c r="S185" s="345" t="s">
        <v>12</v>
      </c>
      <c r="T185" s="346">
        <f>IF(Q180&lt;G184,1,0)</f>
        <v>0</v>
      </c>
      <c r="U185" s="641" t="s">
        <v>36</v>
      </c>
      <c r="V185" s="635" t="s">
        <v>19</v>
      </c>
      <c r="W185" s="670">
        <v>0.02</v>
      </c>
      <c r="X185" s="1"/>
      <c r="Y185" s="123"/>
      <c r="Z185" s="123"/>
      <c r="AA185" s="1"/>
      <c r="AB185" s="246"/>
    </row>
    <row r="186" spans="2:28" ht="16.5" thickBot="1">
      <c r="B186" s="11"/>
      <c r="C186" s="1"/>
      <c r="D186" s="1"/>
      <c r="E186" s="10" t="s">
        <v>37</v>
      </c>
      <c r="F186" s="347" t="s">
        <v>6</v>
      </c>
      <c r="G186" s="411" t="s">
        <v>7</v>
      </c>
      <c r="H186" s="283"/>
      <c r="I186" s="13"/>
      <c r="J186" s="403"/>
      <c r="K186" s="15"/>
      <c r="L186" s="298"/>
      <c r="M186" s="369"/>
      <c r="N186" s="1">
        <f>IF(OR(Q186&lt;=0,Q186=""),1,0)</f>
        <v>0</v>
      </c>
      <c r="O186" s="503" t="s">
        <v>38</v>
      </c>
      <c r="P186" s="343" t="s">
        <v>39</v>
      </c>
      <c r="Q186" s="504">
        <v>5</v>
      </c>
      <c r="R186" s="1"/>
      <c r="S186" s="345" t="s">
        <v>12</v>
      </c>
      <c r="T186" s="346">
        <f>IF(AND($Q$8&lt;$G$12,$Q$13="Year One"),1,0)</f>
        <v>0</v>
      </c>
      <c r="U186" s="642"/>
      <c r="V186" s="637"/>
      <c r="W186" s="643"/>
      <c r="X186" s="1"/>
      <c r="Y186" s="123"/>
      <c r="Z186" s="123"/>
      <c r="AA186" s="1"/>
      <c r="AB186" s="246"/>
    </row>
    <row r="187" spans="2:28" ht="16.5" thickBot="1">
      <c r="B187" s="11"/>
      <c r="C187" s="318"/>
      <c r="D187" s="1"/>
      <c r="E187" s="438" t="s">
        <v>40</v>
      </c>
      <c r="F187" s="439"/>
      <c r="G187" s="440" t="s">
        <v>41</v>
      </c>
      <c r="H187" s="281"/>
      <c r="I187" s="12" t="s">
        <v>12</v>
      </c>
      <c r="J187" s="403"/>
      <c r="K187" s="15"/>
      <c r="L187" s="298"/>
      <c r="M187" s="369"/>
      <c r="N187" s="1">
        <f>IF(OR(Q187&lt;=0,Q187=""),1,0)</f>
        <v>0</v>
      </c>
      <c r="O187" s="505" t="s">
        <v>42</v>
      </c>
      <c r="P187" s="344" t="s">
        <v>19</v>
      </c>
      <c r="Q187" s="506">
        <v>0.03</v>
      </c>
      <c r="R187" s="1"/>
      <c r="S187" s="368" t="s">
        <v>12</v>
      </c>
      <c r="T187" s="346">
        <f>IF(AND($Q$8&lt;$G$12,$Q$13="Year One"),1,0)</f>
        <v>0</v>
      </c>
      <c r="U187" s="451" t="s">
        <v>43</v>
      </c>
      <c r="V187" s="633" t="s">
        <v>19</v>
      </c>
      <c r="W187" s="581">
        <v>0</v>
      </c>
      <c r="X187" s="1"/>
      <c r="Y187" s="123"/>
      <c r="Z187" s="123"/>
      <c r="AA187" s="1"/>
      <c r="AB187" s="246"/>
    </row>
    <row r="188" spans="2:28" ht="16.5" thickBot="1">
      <c r="B188" s="11"/>
      <c r="C188" s="319"/>
      <c r="D188" s="1"/>
      <c r="E188" s="441" t="s">
        <v>44</v>
      </c>
      <c r="F188" s="442" t="s">
        <v>33</v>
      </c>
      <c r="G188" s="443">
        <v>2500</v>
      </c>
      <c r="H188" s="273"/>
      <c r="I188" s="366" t="s">
        <v>12</v>
      </c>
      <c r="J188" s="404"/>
      <c r="K188" s="15"/>
      <c r="L188" s="298"/>
      <c r="M188" s="1"/>
      <c r="N188" s="1"/>
      <c r="O188" s="507" t="str">
        <f>IF(OR($Q$13="Year One",$Q$8=$G$12),"","Click Here for Complex Input Worksheet")</f>
        <v>Click Here for Complex Input Worksheet</v>
      </c>
      <c r="P188" s="508"/>
      <c r="Q188" s="509"/>
      <c r="R188" s="1"/>
      <c r="S188" s="366" t="s">
        <v>12</v>
      </c>
      <c r="T188" s="346">
        <f>IF(AND($Q$8&lt;$G$12,$Q$13="Year-by-Year"),1,0)</f>
        <v>1</v>
      </c>
      <c r="U188" s="451" t="s">
        <v>45</v>
      </c>
      <c r="V188" s="633" t="s">
        <v>19</v>
      </c>
      <c r="W188" s="670">
        <v>0.02</v>
      </c>
      <c r="X188" s="123"/>
      <c r="Y188" s="123"/>
      <c r="Z188" s="123"/>
      <c r="AA188" s="1"/>
      <c r="AB188" s="246"/>
    </row>
    <row r="189" spans="2:28" ht="16.5" thickBot="1">
      <c r="B189" s="11"/>
      <c r="C189" s="320"/>
      <c r="D189" s="1"/>
      <c r="E189" s="444" t="s">
        <v>46</v>
      </c>
      <c r="F189" s="343" t="s">
        <v>47</v>
      </c>
      <c r="G189" s="718">
        <v>795101.72872340435</v>
      </c>
      <c r="H189" s="274"/>
      <c r="I189" s="366" t="s">
        <v>12</v>
      </c>
      <c r="J189" s="403"/>
      <c r="K189" s="15"/>
      <c r="L189" s="298"/>
      <c r="M189" s="1"/>
      <c r="N189" s="1"/>
      <c r="O189" s="1"/>
      <c r="P189" s="1"/>
      <c r="Q189" s="1"/>
      <c r="R189" s="1"/>
      <c r="S189" s="1"/>
      <c r="T189" s="179"/>
      <c r="U189" s="644"/>
      <c r="V189" s="638"/>
      <c r="W189" s="643"/>
      <c r="X189" s="123"/>
      <c r="Y189" s="123"/>
      <c r="Z189" s="123"/>
      <c r="AA189" s="1"/>
      <c r="AB189" s="246"/>
    </row>
    <row r="190" spans="2:28" ht="16.5" thickBot="1">
      <c r="B190" s="11"/>
      <c r="C190" s="376"/>
      <c r="D190" s="1"/>
      <c r="E190" s="444" t="s">
        <v>48</v>
      </c>
      <c r="F190" s="343" t="s">
        <v>47</v>
      </c>
      <c r="G190" s="718">
        <v>0</v>
      </c>
      <c r="H190" s="274"/>
      <c r="I190" s="366" t="s">
        <v>12</v>
      </c>
      <c r="J190" s="403"/>
      <c r="K190" s="15"/>
      <c r="L190" s="298"/>
      <c r="M190" s="1"/>
      <c r="N190" s="1"/>
      <c r="O190" s="5" t="s">
        <v>49</v>
      </c>
      <c r="P190" s="347" t="s">
        <v>6</v>
      </c>
      <c r="Q190" s="411" t="s">
        <v>7</v>
      </c>
      <c r="R190" s="120"/>
      <c r="S190" s="13"/>
      <c r="T190" s="179"/>
      <c r="U190" s="641" t="s">
        <v>50</v>
      </c>
      <c r="V190" s="257" t="s">
        <v>47</v>
      </c>
      <c r="W190" s="581">
        <v>0</v>
      </c>
      <c r="X190" s="123"/>
      <c r="Y190" s="1"/>
      <c r="Z190" s="1"/>
      <c r="AA190" s="1"/>
      <c r="AB190" s="246"/>
    </row>
    <row r="191" spans="2:28" ht="16.5" thickBot="1">
      <c r="B191" s="11"/>
      <c r="C191" s="376"/>
      <c r="D191" s="1"/>
      <c r="E191" s="444" t="s">
        <v>51</v>
      </c>
      <c r="F191" s="343" t="s">
        <v>47</v>
      </c>
      <c r="G191" s="718">
        <v>0</v>
      </c>
      <c r="H191" s="274"/>
      <c r="I191" s="366" t="s">
        <v>12</v>
      </c>
      <c r="J191" s="403"/>
      <c r="K191" s="15"/>
      <c r="L191" s="298"/>
      <c r="M191" s="374"/>
      <c r="N191" s="1"/>
      <c r="O191" s="518" t="s">
        <v>52</v>
      </c>
      <c r="P191" s="519"/>
      <c r="Q191" s="520" t="s">
        <v>53</v>
      </c>
      <c r="R191" s="1"/>
      <c r="S191" s="12" t="s">
        <v>12</v>
      </c>
      <c r="T191" s="1"/>
      <c r="U191" s="489" t="s">
        <v>54</v>
      </c>
      <c r="V191" s="719" t="s">
        <v>55</v>
      </c>
      <c r="W191" s="720">
        <v>0</v>
      </c>
      <c r="X191" s="1"/>
      <c r="Y191" s="1"/>
      <c r="Z191" s="1"/>
      <c r="AA191" s="1"/>
      <c r="AB191" s="246"/>
    </row>
    <row r="192" spans="2:28" ht="15.75">
      <c r="B192" s="11"/>
      <c r="C192" s="376"/>
      <c r="D192" s="1"/>
      <c r="E192" s="604" t="s">
        <v>56</v>
      </c>
      <c r="F192" s="343" t="s">
        <v>47</v>
      </c>
      <c r="G192" s="721">
        <v>0</v>
      </c>
      <c r="H192" s="274"/>
      <c r="I192" s="366" t="s">
        <v>12</v>
      </c>
      <c r="J192" s="403"/>
      <c r="K192" s="15"/>
      <c r="L192" s="298"/>
      <c r="M192" s="374"/>
      <c r="N192" s="1"/>
      <c r="O192" s="458" t="s">
        <v>57</v>
      </c>
      <c r="P192" s="450"/>
      <c r="Q192" s="496" t="s">
        <v>58</v>
      </c>
      <c r="R192" s="15"/>
      <c r="S192" s="12" t="s">
        <v>12</v>
      </c>
      <c r="T192" s="15"/>
      <c r="U192" s="1"/>
      <c r="V192" s="1"/>
      <c r="W192" s="1"/>
      <c r="X192" s="1"/>
      <c r="Y192" s="1"/>
      <c r="Z192" s="1"/>
      <c r="AA192" s="1"/>
      <c r="AB192" s="246"/>
    </row>
    <row r="193" spans="2:28" ht="15.75">
      <c r="B193" s="11"/>
      <c r="C193" s="321"/>
      <c r="D193" s="1"/>
      <c r="E193" s="444" t="s">
        <v>59</v>
      </c>
      <c r="F193" s="343" t="s">
        <v>47</v>
      </c>
      <c r="G193" s="445"/>
      <c r="H193" s="275"/>
      <c r="I193" s="366" t="s">
        <v>12</v>
      </c>
      <c r="J193" s="403"/>
      <c r="K193" s="15"/>
      <c r="L193" s="298"/>
      <c r="M193" s="374"/>
      <c r="N193" s="1">
        <f>IF(OR(Q193&lt;0,Q193&gt;1,Q193=""),1,0)</f>
        <v>0</v>
      </c>
      <c r="O193" s="468" t="s">
        <v>60</v>
      </c>
      <c r="P193" s="6" t="s">
        <v>19</v>
      </c>
      <c r="Q193" s="674">
        <v>0.3</v>
      </c>
      <c r="R193" s="15"/>
      <c r="S193" s="12" t="s">
        <v>12</v>
      </c>
      <c r="T193" s="15"/>
      <c r="U193" s="1"/>
      <c r="V193" s="1"/>
      <c r="W193" s="1"/>
      <c r="X193" s="1"/>
      <c r="Y193" s="1"/>
      <c r="Z193" s="1"/>
      <c r="AA193" s="1"/>
      <c r="AB193" s="246"/>
    </row>
    <row r="194" spans="2:28" ht="16.5" thickBot="1">
      <c r="B194" s="11"/>
      <c r="C194" s="321"/>
      <c r="D194" s="1"/>
      <c r="E194" s="446" t="s">
        <v>61</v>
      </c>
      <c r="F194" s="447" t="str">
        <f>IF($G$15="Complex","$","")</f>
        <v/>
      </c>
      <c r="G194" s="448"/>
      <c r="H194" s="276"/>
      <c r="I194" s="366" t="s">
        <v>12</v>
      </c>
      <c r="J194" s="403"/>
      <c r="K194" s="15"/>
      <c r="L194" s="298"/>
      <c r="M194" s="369"/>
      <c r="N194" s="1">
        <f>IF(OR(Q194&lt;0,Q194&gt;1,Q194=""),1,0)</f>
        <v>0</v>
      </c>
      <c r="O194" s="483" t="s">
        <v>63</v>
      </c>
      <c r="P194" s="24" t="s">
        <v>19</v>
      </c>
      <c r="Q194" s="674">
        <v>1</v>
      </c>
      <c r="R194" s="121"/>
      <c r="S194" s="12" t="s">
        <v>12</v>
      </c>
      <c r="T194" s="367">
        <f>IF(AND($Q$19="Cost-Based",$Q$20="ITC"),1,0)</f>
        <v>1</v>
      </c>
      <c r="U194" s="1"/>
      <c r="V194" s="1"/>
      <c r="W194" s="1"/>
      <c r="X194" s="1"/>
      <c r="Y194" s="1"/>
      <c r="Z194" s="1"/>
      <c r="AA194" s="1"/>
      <c r="AB194" s="246"/>
    </row>
    <row r="195" spans="2:28" ht="16.5" thickBot="1">
      <c r="B195" s="11"/>
      <c r="C195" s="323"/>
      <c r="D195" s="1"/>
      <c r="E195" s="449" t="s">
        <v>44</v>
      </c>
      <c r="F195" s="450" t="s">
        <v>47</v>
      </c>
      <c r="G195" s="675"/>
      <c r="H195" s="276"/>
      <c r="I195" s="12" t="s">
        <v>12</v>
      </c>
      <c r="J195" s="403"/>
      <c r="K195" s="15"/>
      <c r="L195" s="298"/>
      <c r="M195" s="1"/>
      <c r="N195" s="1"/>
      <c r="O195" s="455" t="s">
        <v>64</v>
      </c>
      <c r="P195" s="462" t="s">
        <v>47</v>
      </c>
      <c r="Q195" s="676"/>
      <c r="R195" s="121"/>
      <c r="S195" s="12" t="s">
        <v>12</v>
      </c>
      <c r="T195" s="15"/>
      <c r="U195" s="1"/>
      <c r="V195" s="1"/>
      <c r="W195" s="1"/>
      <c r="X195" s="1"/>
      <c r="Y195" s="1"/>
      <c r="Z195" s="1"/>
      <c r="AA195" s="1"/>
      <c r="AB195" s="246"/>
    </row>
    <row r="196" spans="2:28" ht="15.75">
      <c r="B196" s="11"/>
      <c r="C196" s="323"/>
      <c r="D196" s="1"/>
      <c r="E196" s="451" t="s">
        <v>44</v>
      </c>
      <c r="F196" s="8" t="str">
        <f>F188</f>
        <v>$/kW</v>
      </c>
      <c r="G196" s="452"/>
      <c r="H196" s="284"/>
      <c r="I196" s="12" t="s">
        <v>12</v>
      </c>
      <c r="J196" s="403"/>
      <c r="K196" s="15"/>
      <c r="L196" s="298"/>
      <c r="M196" s="374"/>
      <c r="N196" s="1"/>
      <c r="O196" s="449" t="s">
        <v>65</v>
      </c>
      <c r="P196" s="522"/>
      <c r="Q196" s="510" t="s">
        <v>66</v>
      </c>
      <c r="R196" s="1"/>
      <c r="S196" s="12" t="s">
        <v>12</v>
      </c>
      <c r="T196" s="1"/>
      <c r="U196" s="1"/>
      <c r="V196" s="1"/>
      <c r="W196" s="1"/>
      <c r="X196" s="1"/>
      <c r="Y196" s="1"/>
      <c r="Z196" s="1"/>
      <c r="AA196" s="1"/>
      <c r="AB196" s="246"/>
    </row>
    <row r="197" spans="2:28" ht="15.75">
      <c r="B197" s="11"/>
      <c r="C197" s="322"/>
      <c r="D197" s="1"/>
      <c r="E197" s="453" t="s">
        <v>67</v>
      </c>
      <c r="F197" s="7" t="s">
        <v>47</v>
      </c>
      <c r="G197" s="454"/>
      <c r="H197" s="277"/>
      <c r="I197" s="12" t="s">
        <v>12</v>
      </c>
      <c r="J197" s="403"/>
      <c r="K197" s="15"/>
      <c r="L197" s="298"/>
      <c r="M197" s="369"/>
      <c r="N197" s="1"/>
      <c r="O197" s="451" t="s">
        <v>68</v>
      </c>
      <c r="P197" s="8" t="s">
        <v>39</v>
      </c>
      <c r="Q197" s="512">
        <v>0</v>
      </c>
      <c r="R197" s="15"/>
      <c r="S197" s="12" t="s">
        <v>12</v>
      </c>
      <c r="T197" s="15"/>
      <c r="U197" s="1"/>
      <c r="V197" s="1"/>
      <c r="W197" s="1"/>
      <c r="X197" s="1"/>
      <c r="Y197" s="1"/>
      <c r="Z197" s="1"/>
      <c r="AA197" s="1"/>
      <c r="AB197" s="246"/>
    </row>
    <row r="198" spans="2:28" ht="15.75">
      <c r="B198" s="11"/>
      <c r="C198" s="322"/>
      <c r="D198" s="1"/>
      <c r="E198" s="453" t="s">
        <v>69</v>
      </c>
      <c r="F198" s="7" t="s">
        <v>47</v>
      </c>
      <c r="G198" s="452"/>
      <c r="H198" s="276"/>
      <c r="I198" s="12" t="s">
        <v>12</v>
      </c>
      <c r="J198" s="403"/>
      <c r="K198" s="15"/>
      <c r="L198" s="298"/>
      <c r="M198" s="369"/>
      <c r="N198" s="1">
        <f>IF(OR(Q198&lt;0,Q198&gt;G184),1,0)</f>
        <v>0</v>
      </c>
      <c r="O198" s="451" t="s">
        <v>70</v>
      </c>
      <c r="P198" s="8" t="s">
        <v>71</v>
      </c>
      <c r="Q198" s="464">
        <v>0</v>
      </c>
      <c r="R198" s="15"/>
      <c r="S198" s="12" t="s">
        <v>12</v>
      </c>
      <c r="T198" s="15"/>
      <c r="U198" s="1"/>
      <c r="V198" s="1"/>
      <c r="W198" s="1"/>
      <c r="X198" s="1"/>
      <c r="Y198" s="1"/>
      <c r="Z198" s="1"/>
      <c r="AA198" s="1"/>
      <c r="AB198" s="246"/>
    </row>
    <row r="199" spans="2:28" ht="16.5" thickBot="1">
      <c r="B199" s="11"/>
      <c r="C199" s="323"/>
      <c r="D199" s="1"/>
      <c r="E199" s="455" t="s">
        <v>69</v>
      </c>
      <c r="F199" s="456" t="str">
        <f>F188</f>
        <v>$/kW</v>
      </c>
      <c r="G199" s="457"/>
      <c r="H199" s="284"/>
      <c r="I199" s="12" t="s">
        <v>12</v>
      </c>
      <c r="J199" s="403"/>
      <c r="K199" s="15"/>
      <c r="L199" s="298"/>
      <c r="M199" s="369"/>
      <c r="N199" s="1"/>
      <c r="O199" s="451" t="s">
        <v>72</v>
      </c>
      <c r="P199" s="6" t="s">
        <v>19</v>
      </c>
      <c r="Q199" s="497">
        <v>0</v>
      </c>
      <c r="R199" s="15"/>
      <c r="S199" s="12" t="s">
        <v>12</v>
      </c>
      <c r="T199" s="15"/>
      <c r="U199" s="1"/>
      <c r="V199" s="1"/>
      <c r="W199" s="1"/>
      <c r="X199" s="1"/>
      <c r="Y199" s="1"/>
      <c r="Z199" s="1"/>
      <c r="AA199" s="1"/>
      <c r="AB199" s="246"/>
    </row>
    <row r="200" spans="2:28" ht="16.5" thickBot="1">
      <c r="B200" s="11"/>
      <c r="C200" s="324"/>
      <c r="D200" s="1"/>
      <c r="E200" s="18"/>
      <c r="F200" s="1"/>
      <c r="G200" s="1"/>
      <c r="H200" s="1"/>
      <c r="I200" s="17"/>
      <c r="J200" s="403"/>
      <c r="K200" s="15"/>
      <c r="L200" s="298"/>
      <c r="M200" s="369"/>
      <c r="N200" s="1">
        <f>IF(OR(Q200&lt;0,Q200&gt;1),1,0)</f>
        <v>0</v>
      </c>
      <c r="O200" s="455" t="s">
        <v>73</v>
      </c>
      <c r="P200" s="462" t="s">
        <v>19</v>
      </c>
      <c r="Q200" s="523">
        <v>0</v>
      </c>
      <c r="R200" s="15"/>
      <c r="S200" s="12" t="s">
        <v>12</v>
      </c>
      <c r="T200" s="15"/>
      <c r="U200" s="1"/>
      <c r="V200" s="1"/>
      <c r="W200" s="1"/>
      <c r="X200" s="1"/>
      <c r="Y200" s="1"/>
      <c r="Z200" s="1"/>
      <c r="AA200" s="1"/>
      <c r="AB200" s="246"/>
    </row>
    <row r="201" spans="2:28" ht="16.5" thickBot="1">
      <c r="B201" s="11"/>
      <c r="C201" s="1"/>
      <c r="D201" s="1"/>
      <c r="E201" s="5" t="s">
        <v>74</v>
      </c>
      <c r="F201" s="347" t="s">
        <v>6</v>
      </c>
      <c r="G201" s="411" t="s">
        <v>7</v>
      </c>
      <c r="H201" s="285"/>
      <c r="I201" s="17"/>
      <c r="J201" s="403"/>
      <c r="K201" s="15"/>
      <c r="L201" s="298"/>
      <c r="M201" s="1"/>
      <c r="N201" s="1"/>
      <c r="O201" s="296" t="s">
        <v>75</v>
      </c>
      <c r="P201" s="521"/>
      <c r="Q201" s="514" t="s">
        <v>76</v>
      </c>
      <c r="R201" s="121"/>
      <c r="S201" s="12" t="s">
        <v>12</v>
      </c>
      <c r="T201" s="15"/>
      <c r="U201" s="1"/>
      <c r="V201" s="1"/>
      <c r="W201" s="1"/>
      <c r="X201" s="1"/>
      <c r="Y201" s="1"/>
      <c r="Z201" s="1"/>
      <c r="AA201" s="1"/>
      <c r="AB201" s="246"/>
    </row>
    <row r="202" spans="2:28" ht="16.5" thickBot="1">
      <c r="B202" s="11"/>
      <c r="C202" s="318"/>
      <c r="D202" s="1"/>
      <c r="E202" s="553" t="s">
        <v>40</v>
      </c>
      <c r="F202" s="554"/>
      <c r="G202" s="555" t="s">
        <v>41</v>
      </c>
      <c r="H202" s="281"/>
      <c r="I202" s="12" t="s">
        <v>12</v>
      </c>
      <c r="J202" s="403"/>
      <c r="K202" s="15"/>
      <c r="L202" s="11"/>
      <c r="M202" s="1"/>
      <c r="N202" s="1"/>
      <c r="O202" s="415"/>
      <c r="P202" s="267"/>
      <c r="Q202" s="297"/>
      <c r="R202" s="1"/>
      <c r="S202" s="1"/>
      <c r="T202" s="1"/>
      <c r="U202" s="1"/>
      <c r="V202" s="1"/>
      <c r="W202" s="1"/>
      <c r="X202" s="1"/>
      <c r="Y202" s="1"/>
      <c r="Z202" s="1"/>
      <c r="AA202" s="1"/>
      <c r="AB202" s="246"/>
    </row>
    <row r="203" spans="2:28" ht="15.75">
      <c r="B203" s="11"/>
      <c r="C203" s="325"/>
      <c r="D203" s="1"/>
      <c r="E203" s="458" t="s">
        <v>77</v>
      </c>
      <c r="F203" s="459" t="s">
        <v>78</v>
      </c>
      <c r="G203" s="460">
        <v>14.57</v>
      </c>
      <c r="H203" s="286"/>
      <c r="I203" s="12" t="s">
        <v>12</v>
      </c>
      <c r="J203" s="403"/>
      <c r="K203" s="15"/>
      <c r="L203" s="298"/>
      <c r="M203" s="369"/>
      <c r="N203" s="1"/>
      <c r="O203" s="515" t="s">
        <v>79</v>
      </c>
      <c r="P203" s="459" t="s">
        <v>47</v>
      </c>
      <c r="Q203" s="516">
        <v>0</v>
      </c>
      <c r="R203" s="121"/>
      <c r="S203" s="12" t="s">
        <v>12</v>
      </c>
      <c r="T203" s="1"/>
      <c r="U203" s="1"/>
      <c r="V203" s="1"/>
      <c r="W203" s="1"/>
      <c r="X203" s="1"/>
      <c r="Y203" s="1"/>
      <c r="Z203" s="1"/>
      <c r="AA203" s="1"/>
      <c r="AB203" s="246"/>
    </row>
    <row r="204" spans="2:28" ht="16.5" thickBot="1">
      <c r="B204" s="11"/>
      <c r="C204" s="369"/>
      <c r="D204" s="1"/>
      <c r="E204" s="453" t="s">
        <v>80</v>
      </c>
      <c r="F204" s="7" t="s">
        <v>81</v>
      </c>
      <c r="G204" s="512">
        <v>0</v>
      </c>
      <c r="H204" s="287"/>
      <c r="I204" s="12" t="s">
        <v>12</v>
      </c>
      <c r="J204" s="403"/>
      <c r="K204" s="15"/>
      <c r="L204" s="298"/>
      <c r="M204" s="374"/>
      <c r="N204" s="1"/>
      <c r="O204" s="455" t="s">
        <v>82</v>
      </c>
      <c r="P204" s="466"/>
      <c r="Q204" s="517" t="s">
        <v>83</v>
      </c>
      <c r="R204" s="21"/>
      <c r="S204" s="12" t="s">
        <v>12</v>
      </c>
      <c r="T204" s="1"/>
      <c r="U204" s="1"/>
      <c r="V204" s="1"/>
      <c r="W204" s="1"/>
      <c r="X204" s="1"/>
      <c r="Y204" s="1"/>
      <c r="Z204" s="1"/>
      <c r="AA204" s="1"/>
      <c r="AB204" s="246"/>
    </row>
    <row r="205" spans="2:28" ht="16.5" thickBot="1">
      <c r="B205" s="11"/>
      <c r="C205" s="326"/>
      <c r="D205" s="15"/>
      <c r="E205" s="474" t="s">
        <v>84</v>
      </c>
      <c r="F205" s="7" t="s">
        <v>19</v>
      </c>
      <c r="G205" s="475">
        <v>0.03</v>
      </c>
      <c r="H205" s="270"/>
      <c r="I205" s="12" t="s">
        <v>12</v>
      </c>
      <c r="J205" s="404"/>
      <c r="K205" s="15"/>
      <c r="L205" s="298"/>
      <c r="M205" s="1"/>
      <c r="N205" s="1"/>
      <c r="O205" s="1"/>
      <c r="P205" s="1"/>
      <c r="Q205" s="1"/>
      <c r="R205" s="1"/>
      <c r="S205" s="1"/>
      <c r="T205" s="1"/>
      <c r="U205" s="1"/>
      <c r="V205" s="1"/>
      <c r="W205" s="1"/>
      <c r="X205" s="1"/>
      <c r="Y205" s="1"/>
      <c r="Z205" s="1"/>
      <c r="AA205" s="1"/>
      <c r="AB205" s="246"/>
    </row>
    <row r="206" spans="2:28" ht="16.5" thickBot="1">
      <c r="B206" s="11"/>
      <c r="C206" s="317"/>
      <c r="D206" s="1"/>
      <c r="E206" s="451" t="s">
        <v>85</v>
      </c>
      <c r="F206" s="7" t="s">
        <v>86</v>
      </c>
      <c r="G206" s="582">
        <v>10</v>
      </c>
      <c r="H206" s="272"/>
      <c r="I206" s="12" t="s">
        <v>12</v>
      </c>
      <c r="J206" s="404"/>
      <c r="K206" s="15"/>
      <c r="L206" s="298"/>
      <c r="M206" s="1"/>
      <c r="N206" s="1"/>
      <c r="O206" s="5" t="s">
        <v>87</v>
      </c>
      <c r="P206" s="347" t="s">
        <v>6</v>
      </c>
      <c r="Q206" s="411" t="s">
        <v>7</v>
      </c>
      <c r="R206" s="15"/>
      <c r="S206" s="1"/>
      <c r="T206" s="412"/>
      <c r="U206" s="677"/>
      <c r="V206" s="1"/>
      <c r="W206" s="1"/>
      <c r="X206" s="1"/>
      <c r="Y206" s="1"/>
      <c r="Z206" s="1"/>
      <c r="AA206" s="1"/>
      <c r="AB206" s="246"/>
    </row>
    <row r="207" spans="2:28" ht="16.5" thickBot="1">
      <c r="B207" s="11"/>
      <c r="C207" s="326"/>
      <c r="D207" s="15"/>
      <c r="E207" s="465" t="s">
        <v>88</v>
      </c>
      <c r="F207" s="466" t="s">
        <v>19</v>
      </c>
      <c r="G207" s="475">
        <v>0.03</v>
      </c>
      <c r="H207" s="278"/>
      <c r="I207" s="12" t="s">
        <v>12</v>
      </c>
      <c r="J207" s="403"/>
      <c r="K207" s="15"/>
      <c r="L207" s="298"/>
      <c r="M207" s="374"/>
      <c r="N207" s="1"/>
      <c r="O207" s="568" t="s">
        <v>89</v>
      </c>
      <c r="P207" s="569"/>
      <c r="Q207" s="570" t="s">
        <v>90</v>
      </c>
      <c r="R207" s="1"/>
      <c r="S207" s="12" t="s">
        <v>12</v>
      </c>
      <c r="T207" s="1"/>
      <c r="U207" s="1"/>
      <c r="V207" s="1"/>
      <c r="W207" s="1"/>
      <c r="X207" s="1"/>
      <c r="Y207" s="1"/>
      <c r="Z207" s="1"/>
      <c r="AA207" s="1"/>
      <c r="AB207" s="246"/>
    </row>
    <row r="208" spans="2:28" ht="15.75">
      <c r="B208" s="11"/>
      <c r="C208" s="369"/>
      <c r="D208" s="1"/>
      <c r="E208" s="483" t="s">
        <v>91</v>
      </c>
      <c r="F208" s="6" t="s">
        <v>19</v>
      </c>
      <c r="G208" s="470">
        <v>3.4290000000000002E-3</v>
      </c>
      <c r="H208" s="270"/>
      <c r="I208" s="366" t="s">
        <v>12</v>
      </c>
      <c r="J208" s="403"/>
      <c r="K208" s="15"/>
      <c r="L208" s="298"/>
      <c r="M208" s="369"/>
      <c r="N208" s="1">
        <f>IF(OR(Q208&lt;0,Q208&gt;1),1,0)</f>
        <v>0</v>
      </c>
      <c r="O208" s="458" t="s">
        <v>92</v>
      </c>
      <c r="P208" s="450" t="s">
        <v>19</v>
      </c>
      <c r="Q208" s="600">
        <v>0</v>
      </c>
      <c r="R208" s="15">
        <f>IF(OR($Q$35="Performance-Based",$Q$35="Neither"),1,0)</f>
        <v>1</v>
      </c>
      <c r="S208" s="12" t="s">
        <v>12</v>
      </c>
      <c r="T208" s="15"/>
      <c r="U208" s="1"/>
      <c r="V208" s="1"/>
      <c r="W208" s="1"/>
      <c r="X208" s="1"/>
      <c r="Y208" s="1"/>
      <c r="Z208" s="1"/>
      <c r="AA208" s="1"/>
      <c r="AB208" s="246"/>
    </row>
    <row r="209" spans="2:28" ht="15.75">
      <c r="B209" s="11"/>
      <c r="C209" s="1"/>
      <c r="D209" s="1"/>
      <c r="E209" s="451" t="s">
        <v>93</v>
      </c>
      <c r="F209" s="7" t="s">
        <v>47</v>
      </c>
      <c r="G209" s="467"/>
      <c r="H209" s="275"/>
      <c r="I209" s="366" t="s">
        <v>12</v>
      </c>
      <c r="J209" s="403"/>
      <c r="K209" s="15"/>
      <c r="L209" s="298"/>
      <c r="M209" s="369"/>
      <c r="N209" s="1">
        <f>IF(OR(Q209&lt;0,Q209&gt;1),1,0)</f>
        <v>0</v>
      </c>
      <c r="O209" s="453" t="s">
        <v>94</v>
      </c>
      <c r="P209" s="7" t="s">
        <v>19</v>
      </c>
      <c r="Q209" s="601">
        <v>0</v>
      </c>
      <c r="R209" s="15"/>
      <c r="S209" s="12" t="s">
        <v>12</v>
      </c>
      <c r="T209" s="15"/>
      <c r="U209" s="15"/>
      <c r="V209" s="1"/>
      <c r="W209" s="1"/>
      <c r="X209" s="1"/>
      <c r="Y209" s="1"/>
      <c r="Z209" s="1"/>
      <c r="AA209" s="1"/>
      <c r="AB209" s="246"/>
    </row>
    <row r="210" spans="2:28" ht="15.75">
      <c r="B210" s="11"/>
      <c r="C210" s="369"/>
      <c r="D210" s="1"/>
      <c r="E210" s="468" t="s">
        <v>95</v>
      </c>
      <c r="F210" s="6" t="s">
        <v>96</v>
      </c>
      <c r="G210" s="469">
        <v>3000</v>
      </c>
      <c r="H210" s="288"/>
      <c r="I210" s="366" t="s">
        <v>12</v>
      </c>
      <c r="J210" s="404"/>
      <c r="K210" s="15"/>
      <c r="L210" s="298"/>
      <c r="M210" s="369"/>
      <c r="N210" s="1">
        <f>IF(OR(Q210&lt;1,Q210&gt;G184),1,0)</f>
        <v>1</v>
      </c>
      <c r="O210" s="451" t="s">
        <v>97</v>
      </c>
      <c r="P210" s="8" t="s">
        <v>71</v>
      </c>
      <c r="Q210" s="602">
        <v>0</v>
      </c>
      <c r="R210" s="15"/>
      <c r="S210" s="12" t="s">
        <v>12</v>
      </c>
      <c r="T210" s="1"/>
      <c r="U210" s="678"/>
      <c r="V210" s="1"/>
      <c r="W210" s="1"/>
      <c r="X210" s="1"/>
      <c r="Y210" s="1"/>
      <c r="Z210" s="1"/>
      <c r="AA210" s="1"/>
      <c r="AB210" s="246"/>
    </row>
    <row r="211" spans="2:28" ht="16.5" thickBot="1">
      <c r="B211" s="11"/>
      <c r="C211" s="369"/>
      <c r="D211" s="1"/>
      <c r="E211" s="451" t="s">
        <v>98</v>
      </c>
      <c r="F211" s="6" t="s">
        <v>33</v>
      </c>
      <c r="G211" s="603">
        <v>5</v>
      </c>
      <c r="H211" s="288"/>
      <c r="I211" s="366" t="s">
        <v>12</v>
      </c>
      <c r="J211" s="403"/>
      <c r="K211" s="15"/>
      <c r="L211" s="11"/>
      <c r="M211" s="1"/>
      <c r="N211" s="1"/>
      <c r="O211" s="455" t="s">
        <v>50</v>
      </c>
      <c r="P211" s="456" t="s">
        <v>47</v>
      </c>
      <c r="Q211" s="572">
        <v>0</v>
      </c>
      <c r="R211" s="1"/>
      <c r="S211" s="12" t="s">
        <v>12</v>
      </c>
      <c r="T211" s="1"/>
      <c r="U211" s="1"/>
      <c r="V211" s="1"/>
      <c r="W211" s="1"/>
      <c r="X211" s="1"/>
      <c r="Y211" s="1"/>
      <c r="Z211" s="1"/>
      <c r="AA211" s="1"/>
      <c r="AB211" s="246"/>
    </row>
    <row r="212" spans="2:28" ht="15.75">
      <c r="B212" s="11"/>
      <c r="C212" s="369"/>
      <c r="D212" s="1"/>
      <c r="E212" s="451" t="s">
        <v>43</v>
      </c>
      <c r="F212" s="6" t="s">
        <v>19</v>
      </c>
      <c r="G212" s="583">
        <v>0</v>
      </c>
      <c r="H212" s="1"/>
      <c r="I212" s="366" t="s">
        <v>12</v>
      </c>
      <c r="J212" s="403"/>
      <c r="K212" s="15"/>
      <c r="L212" s="298"/>
      <c r="M212" s="374"/>
      <c r="N212" s="1"/>
      <c r="O212" s="483" t="s">
        <v>99</v>
      </c>
      <c r="P212" s="6"/>
      <c r="Q212" s="571" t="s">
        <v>66</v>
      </c>
      <c r="R212" s="15">
        <f>IF(OR($Q$35="Cost-Based",$Q$35="Neither"),1,0)</f>
        <v>1</v>
      </c>
      <c r="S212" s="12" t="s">
        <v>12</v>
      </c>
      <c r="T212" s="15"/>
      <c r="U212" s="21"/>
      <c r="V212" s="1"/>
      <c r="W212" s="1"/>
      <c r="X212" s="1"/>
      <c r="Y212" s="1"/>
      <c r="Z212" s="1"/>
      <c r="AA212" s="1"/>
      <c r="AB212" s="246"/>
    </row>
    <row r="213" spans="2:28" ht="15.75">
      <c r="B213" s="11"/>
      <c r="C213" s="369"/>
      <c r="D213" s="1"/>
      <c r="E213" s="451" t="s">
        <v>100</v>
      </c>
      <c r="F213" s="6" t="s">
        <v>96</v>
      </c>
      <c r="G213" s="469">
        <v>28000</v>
      </c>
      <c r="H213" s="288"/>
      <c r="I213" s="366" t="s">
        <v>12</v>
      </c>
      <c r="J213" s="403"/>
      <c r="K213" s="15"/>
      <c r="L213" s="298"/>
      <c r="M213" s="374"/>
      <c r="N213" s="1"/>
      <c r="O213" s="451" t="s">
        <v>101</v>
      </c>
      <c r="P213" s="8"/>
      <c r="Q213" s="511" t="s">
        <v>102</v>
      </c>
      <c r="R213" s="346">
        <f>IF(OR($Q$35="Cost-Based",$Q$35="Neither",$Q$40="Tax Credit"),1,0)</f>
        <v>1</v>
      </c>
      <c r="S213" s="12" t="s">
        <v>12</v>
      </c>
      <c r="T213" s="1"/>
      <c r="U213" s="21"/>
      <c r="V213" s="1"/>
      <c r="W213" s="1"/>
      <c r="X213" s="1"/>
      <c r="Y213" s="1"/>
      <c r="Z213" s="1"/>
      <c r="AA213" s="1"/>
      <c r="AB213" s="246"/>
    </row>
    <row r="214" spans="2:28" ht="15.75">
      <c r="B214" s="11"/>
      <c r="C214" s="369"/>
      <c r="D214" s="1"/>
      <c r="E214" s="453" t="s">
        <v>103</v>
      </c>
      <c r="F214" s="6" t="s">
        <v>19</v>
      </c>
      <c r="G214" s="470">
        <v>0.02</v>
      </c>
      <c r="H214" s="270"/>
      <c r="I214" s="366" t="s">
        <v>12</v>
      </c>
      <c r="J214" s="403"/>
      <c r="K214" s="15"/>
      <c r="L214" s="298"/>
      <c r="M214" s="369"/>
      <c r="N214" s="1"/>
      <c r="O214" s="451" t="s">
        <v>68</v>
      </c>
      <c r="P214" s="55" t="s">
        <v>39</v>
      </c>
      <c r="Q214" s="512">
        <v>1.5</v>
      </c>
      <c r="R214" s="21"/>
      <c r="S214" s="12" t="s">
        <v>12</v>
      </c>
      <c r="T214" s="346"/>
      <c r="U214" s="679"/>
      <c r="V214" s="1"/>
      <c r="W214" s="1"/>
      <c r="X214" s="1"/>
      <c r="Y214" s="1"/>
      <c r="Z214" s="1"/>
      <c r="AA214" s="1"/>
      <c r="AB214" s="246"/>
    </row>
    <row r="215" spans="2:28" ht="16.5" thickBot="1">
      <c r="B215" s="11"/>
      <c r="C215" s="1"/>
      <c r="D215" s="1"/>
      <c r="E215" s="455"/>
      <c r="F215" s="466"/>
      <c r="G215" s="471"/>
      <c r="H215" s="275"/>
      <c r="I215" s="366" t="s">
        <v>12</v>
      </c>
      <c r="J215" s="246"/>
      <c r="K215" s="15"/>
      <c r="L215" s="298"/>
      <c r="M215" s="369"/>
      <c r="N215" s="1">
        <f>IF(OR(Q215&lt;0,Q215&gt;G184),1,0)</f>
        <v>0</v>
      </c>
      <c r="O215" s="451" t="s">
        <v>70</v>
      </c>
      <c r="P215" s="8" t="s">
        <v>71</v>
      </c>
      <c r="Q215" s="464">
        <v>10</v>
      </c>
      <c r="R215" s="21"/>
      <c r="S215" s="12" t="s">
        <v>12</v>
      </c>
      <c r="T215" s="1"/>
      <c r="U215" s="21"/>
      <c r="V215" s="1"/>
      <c r="W215" s="1"/>
      <c r="X215" s="1"/>
      <c r="Y215" s="1"/>
      <c r="Z215" s="1"/>
      <c r="AA215" s="1"/>
      <c r="AB215" s="246"/>
    </row>
    <row r="216" spans="2:28" ht="16.5" thickBot="1">
      <c r="B216" s="11"/>
      <c r="C216" s="327"/>
      <c r="D216" s="1"/>
      <c r="E216" s="1"/>
      <c r="F216" s="1"/>
      <c r="G216" s="1"/>
      <c r="H216" s="1"/>
      <c r="I216" s="17"/>
      <c r="J216" s="403"/>
      <c r="K216" s="15"/>
      <c r="L216" s="298"/>
      <c r="M216" s="369"/>
      <c r="N216" s="1"/>
      <c r="O216" s="451" t="s">
        <v>72</v>
      </c>
      <c r="P216" s="6" t="s">
        <v>19</v>
      </c>
      <c r="Q216" s="497">
        <v>0.02</v>
      </c>
      <c r="R216" s="15"/>
      <c r="S216" s="12" t="s">
        <v>12</v>
      </c>
      <c r="T216" s="346"/>
      <c r="U216" s="21"/>
      <c r="V216" s="1"/>
      <c r="W216" s="1"/>
      <c r="X216" s="1"/>
      <c r="Y216" s="1"/>
      <c r="Z216" s="1"/>
      <c r="AA216" s="1"/>
      <c r="AB216" s="246"/>
    </row>
    <row r="217" spans="2:28" ht="16.5" thickBot="1">
      <c r="B217" s="11"/>
      <c r="C217" s="327"/>
      <c r="D217" s="1"/>
      <c r="E217" s="5" t="s">
        <v>104</v>
      </c>
      <c r="F217" s="347" t="s">
        <v>6</v>
      </c>
      <c r="G217" s="411" t="s">
        <v>7</v>
      </c>
      <c r="H217" s="289"/>
      <c r="I217" s="17"/>
      <c r="J217" s="403"/>
      <c r="K217" s="15"/>
      <c r="L217" s="298"/>
      <c r="M217" s="369"/>
      <c r="N217" s="1">
        <f>IF(OR(Q217&lt;0,Q217&gt;1),1,0)</f>
        <v>0</v>
      </c>
      <c r="O217" s="455" t="s">
        <v>105</v>
      </c>
      <c r="P217" s="462" t="s">
        <v>19</v>
      </c>
      <c r="Q217" s="523">
        <v>1</v>
      </c>
      <c r="R217" s="15"/>
      <c r="S217" s="12" t="s">
        <v>12</v>
      </c>
      <c r="T217" s="21"/>
      <c r="U217" s="15"/>
      <c r="V217" s="1"/>
      <c r="W217" s="1"/>
      <c r="X217" s="1"/>
      <c r="Y217" s="1"/>
      <c r="Z217" s="1"/>
      <c r="AA217" s="1"/>
      <c r="AB217" s="246"/>
    </row>
    <row r="218" spans="2:28" ht="16.5" thickBot="1">
      <c r="B218" s="11"/>
      <c r="C218" s="372"/>
      <c r="D218" s="1"/>
      <c r="E218" s="463" t="s">
        <v>106</v>
      </c>
      <c r="F218" s="450" t="s">
        <v>107</v>
      </c>
      <c r="G218" s="556">
        <v>0</v>
      </c>
      <c r="H218" s="289"/>
      <c r="I218" s="12" t="s">
        <v>12</v>
      </c>
      <c r="J218" s="403"/>
      <c r="K218" s="15"/>
      <c r="L218" s="298"/>
      <c r="M218" s="15"/>
      <c r="N218" s="15"/>
      <c r="O218" s="524" t="s">
        <v>108</v>
      </c>
      <c r="P218" s="525"/>
      <c r="Q218" s="526" t="s">
        <v>76</v>
      </c>
      <c r="R218" s="15">
        <f>IF($Q$35="Neither",1,0)</f>
        <v>1</v>
      </c>
      <c r="S218" s="12" t="s">
        <v>12</v>
      </c>
      <c r="T218" s="21"/>
      <c r="U218" s="15"/>
      <c r="V218" s="1"/>
      <c r="W218" s="1"/>
      <c r="X218" s="1"/>
      <c r="Y218" s="1"/>
      <c r="Z218" s="1"/>
      <c r="AA218" s="1"/>
      <c r="AB218" s="246"/>
    </row>
    <row r="219" spans="2:28" ht="16.5" thickBot="1">
      <c r="B219" s="11"/>
      <c r="C219" s="372"/>
      <c r="D219" s="1"/>
      <c r="E219" s="474" t="s">
        <v>109</v>
      </c>
      <c r="F219" s="7" t="s">
        <v>19</v>
      </c>
      <c r="G219" s="548">
        <v>0</v>
      </c>
      <c r="H219" s="289"/>
      <c r="I219" s="12" t="s">
        <v>12</v>
      </c>
      <c r="J219" s="403"/>
      <c r="K219" s="15"/>
      <c r="L219" s="11"/>
      <c r="M219" s="1"/>
      <c r="N219" s="1"/>
      <c r="O219" s="415"/>
      <c r="P219" s="267"/>
      <c r="Q219" s="297"/>
      <c r="R219" s="1"/>
      <c r="S219" s="1"/>
      <c r="T219" s="1"/>
      <c r="U219" s="15"/>
      <c r="V219" s="1"/>
      <c r="W219" s="1"/>
      <c r="X219" s="1"/>
      <c r="Y219" s="1"/>
      <c r="Z219" s="1"/>
      <c r="AA219" s="1"/>
      <c r="AB219" s="246"/>
    </row>
    <row r="220" spans="2:28" ht="16.5" thickBot="1">
      <c r="B220" s="11"/>
      <c r="C220" s="327"/>
      <c r="D220" s="1"/>
      <c r="E220" s="465" t="s">
        <v>110</v>
      </c>
      <c r="F220" s="456" t="s">
        <v>47</v>
      </c>
      <c r="G220" s="471"/>
      <c r="H220" s="289"/>
      <c r="I220" s="12" t="s">
        <v>12</v>
      </c>
      <c r="J220" s="403"/>
      <c r="K220" s="15"/>
      <c r="L220" s="298"/>
      <c r="M220" s="369"/>
      <c r="N220" s="15"/>
      <c r="O220" s="515" t="s">
        <v>111</v>
      </c>
      <c r="P220" s="450" t="s">
        <v>47</v>
      </c>
      <c r="Q220" s="516">
        <v>0</v>
      </c>
      <c r="R220" s="1"/>
      <c r="S220" s="12" t="s">
        <v>12</v>
      </c>
      <c r="T220" s="15"/>
      <c r="U220" s="15"/>
      <c r="V220" s="1"/>
      <c r="W220" s="1"/>
      <c r="X220" s="1"/>
      <c r="Y220" s="1"/>
      <c r="Z220" s="1"/>
      <c r="AA220" s="1"/>
      <c r="AB220" s="246"/>
    </row>
    <row r="221" spans="2:28" ht="16.5" thickBot="1">
      <c r="B221" s="11"/>
      <c r="C221" s="1"/>
      <c r="D221" s="1"/>
      <c r="E221" s="1"/>
      <c r="F221" s="1"/>
      <c r="G221" s="182"/>
      <c r="H221" s="182"/>
      <c r="I221" s="17"/>
      <c r="J221" s="403"/>
      <c r="K221" s="15"/>
      <c r="L221" s="298"/>
      <c r="M221" s="374"/>
      <c r="N221" s="1"/>
      <c r="O221" s="455" t="s">
        <v>112</v>
      </c>
      <c r="P221" s="466"/>
      <c r="Q221" s="517" t="s">
        <v>83</v>
      </c>
      <c r="R221" s="21"/>
      <c r="S221" s="12" t="s">
        <v>12</v>
      </c>
      <c r="T221" s="15"/>
      <c r="U221" s="15"/>
      <c r="V221" s="1"/>
      <c r="W221" s="1"/>
      <c r="X221" s="1"/>
      <c r="Y221" s="1"/>
      <c r="Z221" s="1"/>
      <c r="AA221" s="1"/>
      <c r="AB221" s="246"/>
    </row>
    <row r="222" spans="2:28" ht="16.5" thickBot="1">
      <c r="B222" s="11"/>
      <c r="C222" s="327"/>
      <c r="D222" s="1"/>
      <c r="E222" s="480" t="s">
        <v>113</v>
      </c>
      <c r="F222" s="481" t="s">
        <v>6</v>
      </c>
      <c r="G222" s="482" t="s">
        <v>7</v>
      </c>
      <c r="H222" s="289"/>
      <c r="I222" s="405"/>
      <c r="J222" s="403"/>
      <c r="K222" s="15"/>
      <c r="L222" s="298"/>
      <c r="M222" s="1"/>
      <c r="N222" s="1"/>
      <c r="O222" s="1"/>
      <c r="P222" s="1"/>
      <c r="Q222" s="1"/>
      <c r="R222" s="1"/>
      <c r="S222" s="1"/>
      <c r="T222" s="15"/>
      <c r="U222" s="300"/>
      <c r="V222" s="1"/>
      <c r="W222" s="1"/>
      <c r="X222" s="1"/>
      <c r="Y222" s="1"/>
      <c r="Z222" s="1"/>
      <c r="AA222" s="1"/>
      <c r="AB222" s="246"/>
    </row>
    <row r="223" spans="2:28" ht="16.5" thickBot="1">
      <c r="B223" s="11"/>
      <c r="C223" s="369"/>
      <c r="D223" s="1">
        <f>IF(OR(G223="",G223&lt;0,G223&gt;1),1,0)</f>
        <v>0</v>
      </c>
      <c r="E223" s="449" t="s">
        <v>114</v>
      </c>
      <c r="F223" s="450" t="s">
        <v>19</v>
      </c>
      <c r="G223" s="476">
        <v>0.47</v>
      </c>
      <c r="H223" s="290"/>
      <c r="I223" s="12" t="s">
        <v>12</v>
      </c>
      <c r="J223" s="404"/>
      <c r="K223" s="15"/>
      <c r="L223" s="298"/>
      <c r="M223" s="15"/>
      <c r="N223" s="15"/>
      <c r="O223" s="5" t="s">
        <v>115</v>
      </c>
      <c r="P223" s="22"/>
      <c r="Q223" s="411"/>
      <c r="R223" s="15"/>
      <c r="S223" s="15"/>
      <c r="T223" s="15"/>
      <c r="U223" s="15"/>
      <c r="V223" s="1"/>
      <c r="W223" s="1"/>
      <c r="X223" s="1"/>
      <c r="Y223" s="1"/>
      <c r="Z223" s="1"/>
      <c r="AA223" s="1"/>
      <c r="AB223" s="246"/>
    </row>
    <row r="224" spans="2:28" ht="15.75">
      <c r="B224" s="11"/>
      <c r="C224" s="369"/>
      <c r="D224" s="1">
        <f>IF(OR(G224&lt;=0,G224&gt;G184),1,0)</f>
        <v>0</v>
      </c>
      <c r="E224" s="451" t="s">
        <v>116</v>
      </c>
      <c r="F224" s="7" t="s">
        <v>14</v>
      </c>
      <c r="G224" s="464">
        <v>13</v>
      </c>
      <c r="H224" s="272"/>
      <c r="I224" s="12" t="s">
        <v>12</v>
      </c>
      <c r="J224" s="404"/>
      <c r="K224" s="15"/>
      <c r="L224" s="298"/>
      <c r="M224" s="375"/>
      <c r="N224" s="15">
        <f>IF(OR(Q224&lt;1,Q224&gt;$G$12),1,0)</f>
        <v>0</v>
      </c>
      <c r="O224" s="463" t="s">
        <v>117</v>
      </c>
      <c r="P224" s="459" t="s">
        <v>86</v>
      </c>
      <c r="Q224" s="556">
        <v>12</v>
      </c>
      <c r="R224" s="15"/>
      <c r="S224" s="12" t="s">
        <v>12</v>
      </c>
      <c r="T224" s="15"/>
      <c r="U224" s="15"/>
      <c r="V224" s="1"/>
      <c r="W224" s="1"/>
      <c r="X224" s="1"/>
      <c r="Y224" s="1"/>
      <c r="Z224" s="1"/>
      <c r="AA224" s="1"/>
      <c r="AB224" s="246"/>
    </row>
    <row r="225" spans="2:28" ht="16.5" thickBot="1">
      <c r="B225" s="11"/>
      <c r="C225" s="372"/>
      <c r="D225" s="1">
        <f>IF(OR(G225&lt;0,G225=""),1,0)</f>
        <v>0</v>
      </c>
      <c r="E225" s="451" t="s">
        <v>118</v>
      </c>
      <c r="F225" s="7" t="s">
        <v>19</v>
      </c>
      <c r="G225" s="485">
        <v>7.5975931558935353E-2</v>
      </c>
      <c r="H225" s="291"/>
      <c r="I225" s="12" t="s">
        <v>12</v>
      </c>
      <c r="J225" s="404"/>
      <c r="K225" s="15"/>
      <c r="L225" s="298"/>
      <c r="M225" s="326"/>
      <c r="N225" s="15"/>
      <c r="O225" s="465" t="s">
        <v>119</v>
      </c>
      <c r="P225" s="456" t="str">
        <f>$F$16</f>
        <v>$/kW</v>
      </c>
      <c r="Q225" s="531">
        <v>50</v>
      </c>
      <c r="R225" s="15"/>
      <c r="S225" s="12" t="s">
        <v>12</v>
      </c>
      <c r="T225" s="15"/>
      <c r="U225" s="15"/>
      <c r="V225" s="1"/>
      <c r="W225" s="1"/>
      <c r="X225" s="1"/>
      <c r="Y225" s="1"/>
      <c r="Z225" s="1"/>
      <c r="AA225" s="1"/>
      <c r="AB225" s="246"/>
    </row>
    <row r="226" spans="2:28" ht="16.5" thickBot="1">
      <c r="B226" s="11"/>
      <c r="C226" s="369"/>
      <c r="D226" s="1">
        <f>IF(OR(G226&lt;0,G226=""),1,0)</f>
        <v>0</v>
      </c>
      <c r="E226" s="486" t="s">
        <v>120</v>
      </c>
      <c r="F226" s="466" t="s">
        <v>19</v>
      </c>
      <c r="G226" s="487">
        <v>0.01</v>
      </c>
      <c r="H226" s="270"/>
      <c r="I226" s="12" t="s">
        <v>12</v>
      </c>
      <c r="J226" s="403"/>
      <c r="K226" s="15"/>
      <c r="L226" s="298"/>
      <c r="M226" s="375"/>
      <c r="N226" s="15">
        <f>IF(OR(Q226&lt;Q224,Q226&gt;$G$12),1,0)</f>
        <v>0</v>
      </c>
      <c r="O226" s="529" t="s">
        <v>121</v>
      </c>
      <c r="P226" s="24" t="s">
        <v>86</v>
      </c>
      <c r="Q226" s="530">
        <v>12</v>
      </c>
      <c r="R226" s="15"/>
      <c r="S226" s="12" t="s">
        <v>12</v>
      </c>
      <c r="T226" s="15"/>
      <c r="U226" s="15"/>
      <c r="V226" s="1"/>
      <c r="W226" s="1"/>
      <c r="X226" s="1"/>
      <c r="Y226" s="1"/>
      <c r="Z226" s="1"/>
      <c r="AA226" s="1"/>
      <c r="AB226" s="246"/>
    </row>
    <row r="227" spans="2:28" ht="16.5" thickBot="1">
      <c r="B227" s="11"/>
      <c r="C227" s="369"/>
      <c r="D227" s="1"/>
      <c r="E227" s="483" t="s">
        <v>122</v>
      </c>
      <c r="F227" s="24"/>
      <c r="G227" s="484">
        <v>1</v>
      </c>
      <c r="H227" s="279"/>
      <c r="I227" s="12" t="s">
        <v>12</v>
      </c>
      <c r="J227" s="403"/>
      <c r="K227" s="15"/>
      <c r="L227" s="298"/>
      <c r="M227" s="326"/>
      <c r="N227" s="15"/>
      <c r="O227" s="465" t="s">
        <v>123</v>
      </c>
      <c r="P227" s="456" t="str">
        <f>$F$16</f>
        <v>$/kW</v>
      </c>
      <c r="Q227" s="531">
        <v>0</v>
      </c>
      <c r="R227" s="15"/>
      <c r="S227" s="12" t="s">
        <v>12</v>
      </c>
      <c r="T227" s="15"/>
      <c r="U227" s="15"/>
      <c r="V227" s="1"/>
      <c r="W227" s="1"/>
      <c r="X227" s="1"/>
      <c r="Y227" s="1"/>
      <c r="Z227" s="1"/>
      <c r="AA227" s="1"/>
      <c r="AB227" s="246"/>
    </row>
    <row r="228" spans="2:28" ht="15.75">
      <c r="B228" s="11"/>
      <c r="C228" s="1"/>
      <c r="D228" s="1"/>
      <c r="E228" s="451" t="s">
        <v>124</v>
      </c>
      <c r="F228" s="248">
        <f>MAX('[2]Cash Flow'!G217:AJ217)</f>
        <v>0</v>
      </c>
      <c r="G228" s="477"/>
      <c r="H228" s="280"/>
      <c r="I228" s="12" t="s">
        <v>12</v>
      </c>
      <c r="J228" s="403"/>
      <c r="K228" s="15"/>
      <c r="L228" s="298"/>
      <c r="M228" s="375"/>
      <c r="N228" s="15">
        <f>IF(OR(Q228&lt;Q226,Q228&gt;$G$12),1,0)</f>
        <v>0</v>
      </c>
      <c r="O228" s="474" t="s">
        <v>125</v>
      </c>
      <c r="P228" s="8" t="s">
        <v>86</v>
      </c>
      <c r="Q228" s="530">
        <v>12</v>
      </c>
      <c r="R228" s="15"/>
      <c r="S228" s="12" t="s">
        <v>12</v>
      </c>
      <c r="T228" s="15"/>
      <c r="U228" s="15"/>
      <c r="V228" s="1"/>
      <c r="W228" s="1"/>
      <c r="X228" s="1"/>
      <c r="Y228" s="1"/>
      <c r="Z228" s="1"/>
      <c r="AA228" s="1"/>
      <c r="AB228" s="246"/>
    </row>
    <row r="229" spans="2:28" ht="16.5" thickBot="1">
      <c r="B229" s="11"/>
      <c r="C229" s="369"/>
      <c r="D229" s="1"/>
      <c r="E229" s="451" t="s">
        <v>126</v>
      </c>
      <c r="F229" s="8" t="s">
        <v>127</v>
      </c>
      <c r="G229" s="478"/>
      <c r="H229" s="406"/>
      <c r="I229" s="12" t="s">
        <v>12</v>
      </c>
      <c r="J229" s="404"/>
      <c r="K229" s="15"/>
      <c r="L229" s="298"/>
      <c r="M229" s="326"/>
      <c r="N229" s="15"/>
      <c r="O229" s="465" t="s">
        <v>128</v>
      </c>
      <c r="P229" s="456" t="str">
        <f>$F$16</f>
        <v>$/kW</v>
      </c>
      <c r="Q229" s="531">
        <v>0</v>
      </c>
      <c r="R229" s="15"/>
      <c r="S229" s="12" t="s">
        <v>12</v>
      </c>
      <c r="T229" s="1"/>
      <c r="U229" s="1"/>
      <c r="V229" s="1"/>
      <c r="W229" s="1"/>
      <c r="X229" s="1"/>
      <c r="Y229" s="1"/>
      <c r="Z229" s="1"/>
      <c r="AA229" s="1"/>
      <c r="AB229" s="246"/>
    </row>
    <row r="230" spans="2:28" ht="15.75">
      <c r="B230" s="11"/>
      <c r="C230" s="369"/>
      <c r="D230" s="1"/>
      <c r="E230" s="451" t="s">
        <v>129</v>
      </c>
      <c r="F230" s="8"/>
      <c r="G230" s="680">
        <v>1.25</v>
      </c>
      <c r="H230" s="279"/>
      <c r="I230" s="12" t="s">
        <v>12</v>
      </c>
      <c r="J230" s="403"/>
      <c r="K230" s="15"/>
      <c r="L230" s="298"/>
      <c r="M230" s="375"/>
      <c r="N230" s="15">
        <f>IF(OR(Q230&lt;Q228,Q230&gt;$G$12),1,0)</f>
        <v>0</v>
      </c>
      <c r="O230" s="474" t="s">
        <v>130</v>
      </c>
      <c r="P230" s="8" t="s">
        <v>86</v>
      </c>
      <c r="Q230" s="530">
        <v>12</v>
      </c>
      <c r="R230" s="15"/>
      <c r="S230" s="12" t="s">
        <v>12</v>
      </c>
      <c r="T230" s="1"/>
      <c r="U230" s="1"/>
      <c r="V230" s="1"/>
      <c r="W230" s="1"/>
      <c r="X230" s="1"/>
      <c r="Y230" s="1"/>
      <c r="Z230" s="1"/>
      <c r="AA230" s="1"/>
      <c r="AB230" s="246"/>
    </row>
    <row r="231" spans="2:28" ht="16.5" thickBot="1">
      <c r="B231" s="11"/>
      <c r="C231" s="1"/>
      <c r="D231" s="1"/>
      <c r="E231" s="451" t="s">
        <v>131</v>
      </c>
      <c r="F231" s="248"/>
      <c r="G231" s="477"/>
      <c r="H231" s="280"/>
      <c r="I231" s="12" t="s">
        <v>12</v>
      </c>
      <c r="J231" s="403"/>
      <c r="K231" s="15"/>
      <c r="L231" s="298"/>
      <c r="M231" s="326"/>
      <c r="N231" s="15"/>
      <c r="O231" s="465" t="s">
        <v>132</v>
      </c>
      <c r="P231" s="456" t="str">
        <f>$F$16</f>
        <v>$/kW</v>
      </c>
      <c r="Q231" s="531">
        <v>0</v>
      </c>
      <c r="R231" s="15"/>
      <c r="S231" s="12" t="s">
        <v>12</v>
      </c>
      <c r="T231" s="1"/>
      <c r="U231" s="1"/>
      <c r="V231" s="1"/>
      <c r="W231" s="1"/>
      <c r="X231" s="1"/>
      <c r="Y231" s="1"/>
      <c r="Z231" s="1"/>
      <c r="AA231" s="1"/>
      <c r="AB231" s="246"/>
    </row>
    <row r="232" spans="2:28" ht="16.5" thickBot="1">
      <c r="B232" s="11"/>
      <c r="C232" s="369"/>
      <c r="D232" s="1"/>
      <c r="E232" s="455" t="s">
        <v>133</v>
      </c>
      <c r="F232" s="456" t="s">
        <v>127</v>
      </c>
      <c r="G232" s="479"/>
      <c r="H232" s="406"/>
      <c r="I232" s="12" t="s">
        <v>12</v>
      </c>
      <c r="J232" s="403"/>
      <c r="K232" s="15"/>
      <c r="L232" s="298"/>
      <c r="M232" s="1"/>
      <c r="N232" s="1"/>
      <c r="O232" s="1"/>
      <c r="P232" s="1"/>
      <c r="Q232" s="1"/>
      <c r="R232" s="1"/>
      <c r="S232" s="1"/>
      <c r="T232" s="1"/>
      <c r="U232" s="1"/>
      <c r="V232" s="1"/>
      <c r="W232" s="1"/>
      <c r="X232" s="1"/>
      <c r="Y232" s="1"/>
      <c r="Z232" s="1"/>
      <c r="AA232" s="1"/>
      <c r="AB232" s="246"/>
    </row>
    <row r="233" spans="2:28" ht="16.5" thickBot="1">
      <c r="B233" s="11"/>
      <c r="C233" s="1"/>
      <c r="D233" s="1"/>
      <c r="E233" s="449" t="s">
        <v>134</v>
      </c>
      <c r="F233" s="450" t="s">
        <v>19</v>
      </c>
      <c r="G233" s="488"/>
      <c r="H233" s="292"/>
      <c r="I233" s="12" t="s">
        <v>12</v>
      </c>
      <c r="J233" s="403"/>
      <c r="K233" s="15"/>
      <c r="L233" s="298"/>
      <c r="M233" s="15"/>
      <c r="N233" s="15"/>
      <c r="O233" s="5" t="s">
        <v>135</v>
      </c>
      <c r="P233" s="347" t="s">
        <v>6</v>
      </c>
      <c r="Q233" s="411" t="s">
        <v>7</v>
      </c>
      <c r="R233" s="15"/>
      <c r="S233" s="15"/>
      <c r="T233" s="15"/>
      <c r="U233" s="15"/>
      <c r="V233" s="1"/>
      <c r="W233" s="1"/>
      <c r="X233" s="1"/>
      <c r="Y233" s="1"/>
      <c r="Z233" s="1"/>
      <c r="AA233" s="1"/>
      <c r="AB233" s="246"/>
    </row>
    <row r="234" spans="2:28" ht="16.5" thickBot="1">
      <c r="B234" s="11"/>
      <c r="C234" s="369"/>
      <c r="D234" s="1">
        <f>IF(OR(G234&lt;0,G234=""),1,0)</f>
        <v>0</v>
      </c>
      <c r="E234" s="489" t="s">
        <v>136</v>
      </c>
      <c r="F234" s="466" t="s">
        <v>19</v>
      </c>
      <c r="G234" s="722">
        <v>0.1046</v>
      </c>
      <c r="H234" s="291"/>
      <c r="I234" s="12" t="s">
        <v>12</v>
      </c>
      <c r="J234" s="403"/>
      <c r="K234" s="15"/>
      <c r="L234" s="298"/>
      <c r="M234" s="15"/>
      <c r="N234" s="15"/>
      <c r="O234" s="532" t="s">
        <v>137</v>
      </c>
      <c r="P234" s="533"/>
      <c r="Q234" s="534"/>
      <c r="R234" s="15"/>
      <c r="S234" s="15"/>
      <c r="T234" s="15"/>
      <c r="U234" s="1"/>
      <c r="V234" s="1"/>
      <c r="W234" s="1"/>
      <c r="X234" s="1"/>
      <c r="Y234" s="1"/>
      <c r="Z234" s="1"/>
      <c r="AA234" s="1"/>
      <c r="AB234" s="246"/>
    </row>
    <row r="235" spans="2:28" ht="15.75">
      <c r="B235" s="11"/>
      <c r="C235" s="1"/>
      <c r="D235" s="1"/>
      <c r="E235" s="449" t="s">
        <v>138</v>
      </c>
      <c r="F235" s="450" t="s">
        <v>19</v>
      </c>
      <c r="G235" s="681"/>
      <c r="H235" s="1"/>
      <c r="I235" s="12" t="s">
        <v>12</v>
      </c>
      <c r="J235" s="246"/>
      <c r="K235" s="15"/>
      <c r="L235" s="298"/>
      <c r="M235" s="374"/>
      <c r="N235" s="15"/>
      <c r="O235" s="535" t="s">
        <v>139</v>
      </c>
      <c r="P235" s="23"/>
      <c r="Q235" s="511" t="s">
        <v>140</v>
      </c>
      <c r="R235" s="15"/>
      <c r="S235" s="12" t="s">
        <v>12</v>
      </c>
      <c r="T235" s="15"/>
      <c r="U235" s="15"/>
      <c r="V235" s="1"/>
      <c r="W235" s="1"/>
      <c r="X235" s="1"/>
      <c r="Y235" s="1"/>
      <c r="Z235" s="1"/>
      <c r="AA235" s="1"/>
      <c r="AB235" s="246"/>
    </row>
    <row r="236" spans="2:28" ht="16.5" thickBot="1">
      <c r="B236" s="11"/>
      <c r="C236" s="369"/>
      <c r="D236" s="1"/>
      <c r="E236" s="486" t="s">
        <v>141</v>
      </c>
      <c r="F236" s="466" t="s">
        <v>47</v>
      </c>
      <c r="G236" s="490">
        <v>0</v>
      </c>
      <c r="H236" s="288"/>
      <c r="I236" s="12" t="s">
        <v>12</v>
      </c>
      <c r="J236" s="246"/>
      <c r="K236" s="15"/>
      <c r="L236" s="298"/>
      <c r="M236" s="375"/>
      <c r="N236" s="15"/>
      <c r="O236" s="465" t="s">
        <v>142</v>
      </c>
      <c r="P236" s="456" t="s">
        <v>47</v>
      </c>
      <c r="Q236" s="588">
        <v>0</v>
      </c>
      <c r="R236" s="15"/>
      <c r="S236" s="12" t="s">
        <v>12</v>
      </c>
      <c r="T236" s="15"/>
      <c r="U236" s="385"/>
      <c r="V236" s="1"/>
      <c r="W236" s="1"/>
      <c r="X236" s="1"/>
      <c r="Y236" s="1"/>
      <c r="Z236" s="1"/>
      <c r="AA236" s="1"/>
      <c r="AB236" s="246"/>
    </row>
    <row r="237" spans="2:28" ht="16.5" thickBot="1">
      <c r="B237" s="11"/>
      <c r="C237" s="1"/>
      <c r="D237" s="1"/>
      <c r="E237" s="1"/>
      <c r="F237" s="1"/>
      <c r="G237" s="1"/>
      <c r="H237" s="1"/>
      <c r="I237" s="1"/>
      <c r="J237" s="246"/>
      <c r="K237" s="15"/>
      <c r="L237" s="298"/>
      <c r="M237" s="1"/>
      <c r="N237" s="1"/>
      <c r="O237" s="1"/>
      <c r="P237" s="1"/>
      <c r="Q237" s="1"/>
      <c r="R237" s="1"/>
      <c r="S237" s="1"/>
      <c r="T237" s="1"/>
      <c r="U237" s="385"/>
      <c r="V237" s="1"/>
      <c r="W237" s="1"/>
      <c r="X237" s="1"/>
      <c r="Y237" s="1"/>
      <c r="Z237" s="1"/>
      <c r="AA237" s="1"/>
      <c r="AB237" s="246"/>
    </row>
    <row r="238" spans="2:28" ht="16.5" thickBot="1">
      <c r="B238" s="298"/>
      <c r="C238" s="1"/>
      <c r="D238" s="1"/>
      <c r="E238" s="314" t="s">
        <v>143</v>
      </c>
      <c r="F238" s="22"/>
      <c r="G238" s="315"/>
      <c r="H238" s="1"/>
      <c r="I238" s="1"/>
      <c r="J238" s="246"/>
      <c r="K238" s="1"/>
      <c r="L238" s="298"/>
      <c r="M238" s="15"/>
      <c r="N238" s="15"/>
      <c r="O238" s="5" t="s">
        <v>144</v>
      </c>
      <c r="P238" s="347" t="s">
        <v>6</v>
      </c>
      <c r="Q238" s="411" t="s">
        <v>7</v>
      </c>
      <c r="R238" s="15"/>
      <c r="S238" s="15"/>
      <c r="T238" s="15"/>
      <c r="U238" s="378"/>
      <c r="V238" s="1"/>
      <c r="W238" s="1"/>
      <c r="X238" s="1"/>
      <c r="Y238" s="1"/>
      <c r="Z238" s="1"/>
      <c r="AA238" s="1"/>
      <c r="AB238" s="246"/>
    </row>
    <row r="239" spans="2:28" ht="15.75">
      <c r="B239" s="298"/>
      <c r="C239" s="1"/>
      <c r="D239" s="1"/>
      <c r="E239" s="449" t="s">
        <v>145</v>
      </c>
      <c r="F239" s="574"/>
      <c r="G239" s="491"/>
      <c r="H239" s="1"/>
      <c r="I239" s="12" t="s">
        <v>12</v>
      </c>
      <c r="J239" s="246"/>
      <c r="K239" s="15"/>
      <c r="L239" s="298"/>
      <c r="M239" s="15"/>
      <c r="N239" s="15"/>
      <c r="O239" s="536" t="s">
        <v>146</v>
      </c>
      <c r="P239" s="527"/>
      <c r="Q239" s="528"/>
      <c r="R239" s="15"/>
      <c r="S239" s="15"/>
      <c r="T239" s="15"/>
      <c r="U239" s="15"/>
      <c r="V239" s="1"/>
      <c r="W239" s="1"/>
      <c r="X239" s="1"/>
      <c r="Y239" s="1"/>
      <c r="Z239" s="1"/>
      <c r="AA239" s="1"/>
      <c r="AB239" s="246"/>
    </row>
    <row r="240" spans="2:28" ht="15.75">
      <c r="B240" s="298"/>
      <c r="C240" s="1"/>
      <c r="D240" s="1"/>
      <c r="E240" s="451" t="s">
        <v>147</v>
      </c>
      <c r="F240" s="573"/>
      <c r="G240" s="467"/>
      <c r="H240" s="1"/>
      <c r="I240" s="12" t="s">
        <v>12</v>
      </c>
      <c r="J240" s="246"/>
      <c r="K240" s="1"/>
      <c r="L240" s="298"/>
      <c r="M240" s="375"/>
      <c r="N240" s="15"/>
      <c r="O240" s="451" t="s">
        <v>148</v>
      </c>
      <c r="P240" s="7" t="s">
        <v>107</v>
      </c>
      <c r="Q240" s="584">
        <v>0</v>
      </c>
      <c r="R240" s="15"/>
      <c r="S240" s="12" t="s">
        <v>12</v>
      </c>
      <c r="T240" s="15"/>
      <c r="U240" s="15"/>
      <c r="V240" s="1"/>
      <c r="W240" s="1"/>
      <c r="X240" s="1"/>
      <c r="Y240" s="1"/>
      <c r="Z240" s="1"/>
      <c r="AA240" s="1"/>
      <c r="AB240" s="246"/>
    </row>
    <row r="241" spans="2:28" ht="16.5" thickBot="1">
      <c r="B241" s="11"/>
      <c r="C241" s="1"/>
      <c r="D241" s="1"/>
      <c r="E241" s="492" t="s">
        <v>149</v>
      </c>
      <c r="F241" s="575"/>
      <c r="G241" s="493"/>
      <c r="H241" s="1"/>
      <c r="I241" s="12" t="s">
        <v>12</v>
      </c>
      <c r="J241" s="246"/>
      <c r="K241" s="1"/>
      <c r="L241" s="298"/>
      <c r="M241" s="15"/>
      <c r="N241" s="15"/>
      <c r="O241" s="455" t="s">
        <v>150</v>
      </c>
      <c r="P241" s="466" t="s">
        <v>47</v>
      </c>
      <c r="Q241" s="537"/>
      <c r="R241" s="15"/>
      <c r="S241" s="12" t="s">
        <v>12</v>
      </c>
      <c r="T241" s="15"/>
      <c r="U241" s="15"/>
      <c r="V241" s="1"/>
      <c r="W241" s="1"/>
      <c r="X241" s="1"/>
      <c r="Y241" s="1"/>
      <c r="Z241" s="1"/>
      <c r="AA241" s="1"/>
      <c r="AB241" s="246"/>
    </row>
    <row r="242" spans="2:28" ht="17.25" thickTop="1" thickBot="1">
      <c r="B242" s="298"/>
      <c r="C242" s="1"/>
      <c r="D242" s="1"/>
      <c r="E242" s="494" t="s">
        <v>44</v>
      </c>
      <c r="F242" s="462" t="s">
        <v>47</v>
      </c>
      <c r="G242" s="495"/>
      <c r="H242" s="1"/>
      <c r="I242" s="12" t="s">
        <v>12</v>
      </c>
      <c r="J242" s="246"/>
      <c r="K242" s="1"/>
      <c r="L242" s="298"/>
      <c r="M242" s="15"/>
      <c r="N242" s="15"/>
      <c r="O242" s="536" t="s">
        <v>151</v>
      </c>
      <c r="P242" s="527"/>
      <c r="Q242" s="538"/>
      <c r="R242" s="15"/>
      <c r="S242" s="15"/>
      <c r="T242" s="15"/>
      <c r="U242" s="15"/>
      <c r="V242" s="1"/>
      <c r="W242" s="1"/>
      <c r="X242" s="1"/>
      <c r="Y242" s="1"/>
      <c r="Z242" s="1"/>
      <c r="AA242" s="1"/>
      <c r="AB242" s="246"/>
    </row>
    <row r="243" spans="2:28" ht="16.5" thickBot="1">
      <c r="B243" s="11"/>
      <c r="C243" s="1"/>
      <c r="D243" s="1"/>
      <c r="E243" s="1"/>
      <c r="F243" s="1"/>
      <c r="G243" s="1"/>
      <c r="H243" s="1"/>
      <c r="I243" s="1"/>
      <c r="J243" s="246"/>
      <c r="K243" s="1"/>
      <c r="L243" s="298"/>
      <c r="M243" s="375"/>
      <c r="N243" s="15"/>
      <c r="O243" s="474" t="s">
        <v>152</v>
      </c>
      <c r="P243" s="7" t="s">
        <v>107</v>
      </c>
      <c r="Q243" s="584">
        <v>0</v>
      </c>
      <c r="R243" s="15"/>
      <c r="S243" s="12" t="s">
        <v>12</v>
      </c>
      <c r="T243" s="15"/>
      <c r="U243" s="1"/>
      <c r="V243" s="1"/>
      <c r="W243" s="1"/>
      <c r="X243" s="1"/>
      <c r="Y243" s="1"/>
      <c r="Z243" s="1"/>
      <c r="AA243" s="1"/>
      <c r="AB243" s="246"/>
    </row>
    <row r="244" spans="2:28" ht="16.5" thickBot="1">
      <c r="B244" s="11"/>
      <c r="C244" s="1"/>
      <c r="D244" s="1"/>
      <c r="E244" s="5" t="s">
        <v>153</v>
      </c>
      <c r="F244" s="347" t="s">
        <v>6</v>
      </c>
      <c r="G244" s="411" t="s">
        <v>7</v>
      </c>
      <c r="H244" s="293"/>
      <c r="I244" s="17"/>
      <c r="J244" s="246"/>
      <c r="K244" s="1"/>
      <c r="L244" s="298"/>
      <c r="M244" s="15"/>
      <c r="N244" s="15"/>
      <c r="O244" s="465" t="s">
        <v>154</v>
      </c>
      <c r="P244" s="466" t="s">
        <v>47</v>
      </c>
      <c r="Q244" s="537"/>
      <c r="R244" s="15"/>
      <c r="S244" s="12" t="s">
        <v>12</v>
      </c>
      <c r="T244" s="15"/>
      <c r="U244" s="15"/>
      <c r="V244" s="1"/>
      <c r="W244" s="1"/>
      <c r="X244" s="1"/>
      <c r="Y244" s="1"/>
      <c r="Z244" s="1"/>
      <c r="AA244" s="1"/>
      <c r="AB244" s="246"/>
    </row>
    <row r="245" spans="2:28" ht="16.5" thickBot="1">
      <c r="B245" s="11"/>
      <c r="C245" s="373"/>
      <c r="D245" s="1"/>
      <c r="E245" s="438" t="s">
        <v>155</v>
      </c>
      <c r="F245" s="525"/>
      <c r="G245" s="547" t="s">
        <v>83</v>
      </c>
      <c r="H245" s="282"/>
      <c r="I245" s="12" t="s">
        <v>12</v>
      </c>
      <c r="J245" s="246"/>
      <c r="K245" s="1"/>
      <c r="L245" s="298"/>
      <c r="M245" s="375"/>
      <c r="N245" s="15"/>
      <c r="O245" s="540" t="s">
        <v>156</v>
      </c>
      <c r="P245" s="439" t="s">
        <v>19</v>
      </c>
      <c r="Q245" s="539">
        <v>0.02</v>
      </c>
      <c r="R245" s="15"/>
      <c r="S245" s="12" t="s">
        <v>12</v>
      </c>
      <c r="T245" s="15"/>
      <c r="U245" s="1"/>
      <c r="V245" s="1"/>
      <c r="W245" s="1"/>
      <c r="X245" s="1"/>
      <c r="Y245" s="1"/>
      <c r="Z245" s="1"/>
      <c r="AA245" s="1"/>
      <c r="AB245" s="246"/>
    </row>
    <row r="246" spans="2:28" ht="16.5" thickBot="1">
      <c r="B246" s="11"/>
      <c r="C246" s="369"/>
      <c r="D246" s="1">
        <f>IF(OR(G246&lt;0,G246=""),1,0)</f>
        <v>0</v>
      </c>
      <c r="E246" s="458" t="s">
        <v>157</v>
      </c>
      <c r="F246" s="450" t="s">
        <v>19</v>
      </c>
      <c r="G246" s="548">
        <v>0.21</v>
      </c>
      <c r="H246" s="270"/>
      <c r="I246" s="12" t="s">
        <v>12</v>
      </c>
      <c r="J246" s="403"/>
      <c r="K246" s="1"/>
      <c r="L246" s="11"/>
      <c r="M246" s="1"/>
      <c r="N246" s="1"/>
      <c r="O246" s="1"/>
      <c r="P246" s="1"/>
      <c r="Q246" s="1"/>
      <c r="R246" s="1"/>
      <c r="S246" s="1"/>
      <c r="T246" s="1"/>
      <c r="U246" s="1"/>
      <c r="V246" s="1"/>
      <c r="W246" s="1"/>
      <c r="X246" s="1"/>
      <c r="Y246" s="1"/>
      <c r="Z246" s="1"/>
      <c r="AA246" s="1"/>
      <c r="AB246" s="246"/>
    </row>
    <row r="247" spans="2:28" ht="16.5" thickBot="1">
      <c r="B247" s="11"/>
      <c r="C247" s="373"/>
      <c r="D247" s="1"/>
      <c r="E247" s="513" t="s">
        <v>75</v>
      </c>
      <c r="F247" s="549"/>
      <c r="G247" s="517" t="s">
        <v>76</v>
      </c>
      <c r="H247" s="282"/>
      <c r="I247" s="12" t="s">
        <v>12</v>
      </c>
      <c r="J247" s="246"/>
      <c r="K247" s="1"/>
      <c r="L247" s="11"/>
      <c r="M247" s="15"/>
      <c r="N247" s="15"/>
      <c r="O247" s="348" t="s">
        <v>158</v>
      </c>
      <c r="P247" s="432" t="s">
        <v>159</v>
      </c>
      <c r="Q247" s="432"/>
      <c r="R247" s="432"/>
      <c r="S247" s="432"/>
      <c r="T247" s="432"/>
      <c r="U247" s="432"/>
      <c r="V247" s="432"/>
      <c r="W247" s="432"/>
      <c r="X247" s="432"/>
      <c r="Y247" s="432"/>
      <c r="Z247" s="315"/>
      <c r="AA247" s="1"/>
      <c r="AB247" s="246"/>
    </row>
    <row r="248" spans="2:28" ht="15.75">
      <c r="B248" s="11"/>
      <c r="C248" s="369"/>
      <c r="D248" s="1">
        <f>IF(OR(G248&lt;0,G248=""),1,0)</f>
        <v>0</v>
      </c>
      <c r="E248" s="458" t="s">
        <v>160</v>
      </c>
      <c r="F248" s="450" t="s">
        <v>19</v>
      </c>
      <c r="G248" s="682">
        <v>0.09</v>
      </c>
      <c r="H248" s="270"/>
      <c r="I248" s="12" t="s">
        <v>12</v>
      </c>
      <c r="J248" s="403"/>
      <c r="K248" s="1"/>
      <c r="L248" s="11"/>
      <c r="M248" s="373"/>
      <c r="N248" s="15"/>
      <c r="O248" s="515" t="s">
        <v>161</v>
      </c>
      <c r="P248" s="496" t="str">
        <f>[2]Input_Dashboard!$D$141</f>
        <v>No</v>
      </c>
      <c r="Q248" s="1"/>
      <c r="R248" s="1"/>
      <c r="S248" s="419" t="s">
        <v>12</v>
      </c>
      <c r="T248" s="1"/>
      <c r="U248" s="1"/>
      <c r="V248" s="1"/>
      <c r="W248" s="1"/>
      <c r="X248" s="1"/>
      <c r="Y248" s="1"/>
      <c r="Z248" s="246"/>
      <c r="AA248" s="1"/>
      <c r="AB248" s="246"/>
    </row>
    <row r="249" spans="2:28" ht="16.5" thickBot="1">
      <c r="B249" s="11"/>
      <c r="C249" s="373"/>
      <c r="D249" s="1"/>
      <c r="E249" s="513" t="s">
        <v>162</v>
      </c>
      <c r="F249" s="549"/>
      <c r="G249" s="517" t="s">
        <v>76</v>
      </c>
      <c r="H249" s="282"/>
      <c r="I249" s="12" t="s">
        <v>12</v>
      </c>
      <c r="J249" s="403"/>
      <c r="K249" s="1"/>
      <c r="L249" s="11"/>
      <c r="M249" s="375"/>
      <c r="N249" s="1"/>
      <c r="O249" s="455" t="s">
        <v>163</v>
      </c>
      <c r="P249" s="683">
        <f>[2]Input_Dashboard!D314</f>
        <v>0</v>
      </c>
      <c r="Q249" s="1"/>
      <c r="R249" s="1"/>
      <c r="S249" s="12" t="s">
        <v>12</v>
      </c>
      <c r="T249" s="1"/>
      <c r="U249" s="1"/>
      <c r="V249" s="1"/>
      <c r="W249" s="1"/>
      <c r="X249" s="1"/>
      <c r="Y249" s="1"/>
      <c r="Z249" s="246"/>
      <c r="AA249" s="1"/>
      <c r="AB249" s="246"/>
    </row>
    <row r="250" spans="2:28" ht="16.5" thickBot="1">
      <c r="B250" s="11"/>
      <c r="C250" s="1"/>
      <c r="D250" s="1"/>
      <c r="E250" s="550" t="s">
        <v>164</v>
      </c>
      <c r="F250" s="551" t="s">
        <v>19</v>
      </c>
      <c r="G250" s="552"/>
      <c r="H250" s="295"/>
      <c r="I250" s="12" t="s">
        <v>12</v>
      </c>
      <c r="J250" s="403"/>
      <c r="K250" s="1"/>
      <c r="L250" s="11"/>
      <c r="M250" s="1"/>
      <c r="N250" s="1"/>
      <c r="O250" s="296"/>
      <c r="P250" s="40"/>
      <c r="Q250" s="40"/>
      <c r="R250" s="40"/>
      <c r="S250" s="40"/>
      <c r="T250" s="40"/>
      <c r="U250" s="40"/>
      <c r="V250" s="40"/>
      <c r="W250" s="40"/>
      <c r="X250" s="40"/>
      <c r="Y250" s="40"/>
      <c r="Z250" s="305"/>
      <c r="AA250" s="1"/>
      <c r="AB250" s="246"/>
    </row>
    <row r="251" spans="2:28" ht="16.5" thickBot="1">
      <c r="B251" s="11"/>
      <c r="C251" s="1"/>
      <c r="D251" s="1"/>
      <c r="E251" s="455" t="s">
        <v>158</v>
      </c>
      <c r="F251" s="498"/>
      <c r="G251" s="499" t="s">
        <v>165</v>
      </c>
      <c r="H251" s="55"/>
      <c r="I251" s="12" t="s">
        <v>12</v>
      </c>
      <c r="J251" s="246"/>
      <c r="K251" s="1"/>
      <c r="L251" s="11"/>
      <c r="M251" s="15"/>
      <c r="N251" s="15"/>
      <c r="O251" s="542" t="s">
        <v>166</v>
      </c>
      <c r="P251" s="543" t="s">
        <v>167</v>
      </c>
      <c r="Q251" s="648" t="s">
        <v>168</v>
      </c>
      <c r="R251" s="775" t="s">
        <v>169</v>
      </c>
      <c r="S251" s="776"/>
      <c r="T251" s="777"/>
      <c r="U251" s="543" t="s">
        <v>170</v>
      </c>
      <c r="V251" s="543" t="s">
        <v>171</v>
      </c>
      <c r="W251" s="543" t="s">
        <v>172</v>
      </c>
      <c r="X251" s="543" t="s">
        <v>173</v>
      </c>
      <c r="Y251" s="543" t="s">
        <v>174</v>
      </c>
      <c r="Z251" s="544" t="s">
        <v>175</v>
      </c>
      <c r="AA251" s="1"/>
      <c r="AB251" s="246"/>
    </row>
    <row r="252" spans="2:28" ht="16.5" thickBot="1">
      <c r="B252" s="11"/>
      <c r="C252" s="1"/>
      <c r="D252" s="1"/>
      <c r="E252" s="1"/>
      <c r="F252" s="1"/>
      <c r="G252" s="1"/>
      <c r="H252" s="1"/>
      <c r="I252" s="1"/>
      <c r="J252" s="246"/>
      <c r="K252" s="1"/>
      <c r="L252" s="11">
        <f>IF(AND($G$73="Yes",$G$15="Simple"),1,0)</f>
        <v>0</v>
      </c>
      <c r="M252" s="15"/>
      <c r="N252" s="230">
        <f>IF(AND($G$15="Simple",SUM(P252:Z252)=1),1,IF(AND($G$15="Simple",SUM(P252:Z252)&lt;&gt;1),2,0))</f>
        <v>0</v>
      </c>
      <c r="O252" s="545" t="str">
        <f t="shared" ref="O252:O257" si="2">E188</f>
        <v>Total Installed Cost</v>
      </c>
      <c r="P252" s="590">
        <v>0.94</v>
      </c>
      <c r="Q252" s="649">
        <v>0</v>
      </c>
      <c r="R252" s="778">
        <v>1.4999999999999999E-2</v>
      </c>
      <c r="S252" s="779"/>
      <c r="T252" s="780"/>
      <c r="U252" s="590">
        <v>0.01</v>
      </c>
      <c r="V252" s="590">
        <v>0</v>
      </c>
      <c r="W252" s="590">
        <v>0</v>
      </c>
      <c r="X252" s="590">
        <v>0.01</v>
      </c>
      <c r="Y252" s="590">
        <v>0</v>
      </c>
      <c r="Z252" s="593">
        <v>2.5000000000000001E-2</v>
      </c>
      <c r="AA252" s="1"/>
      <c r="AB252" s="294" t="s">
        <v>12</v>
      </c>
    </row>
    <row r="253" spans="2:28" ht="16.5" thickBot="1">
      <c r="B253" s="296"/>
      <c r="C253" s="40"/>
      <c r="D253" s="40"/>
      <c r="E253" s="40"/>
      <c r="F253" s="40"/>
      <c r="G253" s="40"/>
      <c r="H253" s="40"/>
      <c r="I253" s="40"/>
      <c r="J253" s="305"/>
      <c r="K253" s="1"/>
      <c r="L253" s="11">
        <f>IF(AND($G$73="Yes",$G$15="Intermediate"),1,0)</f>
        <v>1</v>
      </c>
      <c r="M253" s="15"/>
      <c r="N253" s="230">
        <f>IF(AND($G$15="Intermediate",SUM(P253:Z253)=1),1,IF(AND($G$15="Intermediate",SUM(P253:Z253)&lt;&gt;1),2,0))</f>
        <v>1</v>
      </c>
      <c r="O253" s="595" t="str">
        <f t="shared" si="2"/>
        <v>Generation Equipment</v>
      </c>
      <c r="P253" s="723">
        <v>0.96</v>
      </c>
      <c r="Q253" s="724">
        <v>0</v>
      </c>
      <c r="R253" s="781">
        <v>0.02</v>
      </c>
      <c r="S253" s="782"/>
      <c r="T253" s="783"/>
      <c r="U253" s="748">
        <v>0</v>
      </c>
      <c r="V253" s="748">
        <v>0</v>
      </c>
      <c r="W253" s="748">
        <v>0</v>
      </c>
      <c r="X253" s="748">
        <v>0.02</v>
      </c>
      <c r="Y253" s="748">
        <v>0</v>
      </c>
      <c r="Z253" s="749">
        <v>0</v>
      </c>
      <c r="AA253" s="1"/>
      <c r="AB253" s="294" t="s">
        <v>12</v>
      </c>
    </row>
    <row r="254" spans="2:28" ht="15.75">
      <c r="B254" s="1"/>
      <c r="C254" s="1"/>
      <c r="D254" s="1"/>
      <c r="E254" s="1"/>
      <c r="F254" s="1"/>
      <c r="G254" s="1"/>
      <c r="H254" s="1"/>
      <c r="I254" s="1"/>
      <c r="J254" s="1"/>
      <c r="K254" s="1"/>
      <c r="L254" s="11">
        <f>IF(AND($G$73="Yes",$G$15="Intermediate"),1,0)</f>
        <v>1</v>
      </c>
      <c r="M254" s="15"/>
      <c r="N254" s="230">
        <f>IF(AND($G$15="Intermediate",SUM(P254:Z254)=1),1,IF(AND($G$15="Intermediate",SUM(P254:Z254)&lt;&gt;1),2,0))</f>
        <v>1</v>
      </c>
      <c r="O254" s="596" t="str">
        <f t="shared" si="2"/>
        <v>Balance of Plant</v>
      </c>
      <c r="P254" s="723">
        <v>0.5</v>
      </c>
      <c r="Q254" s="724">
        <v>0</v>
      </c>
      <c r="R254" s="784">
        <v>0</v>
      </c>
      <c r="S254" s="785"/>
      <c r="T254" s="786"/>
      <c r="U254" s="750">
        <v>0</v>
      </c>
      <c r="V254" s="750">
        <v>0</v>
      </c>
      <c r="W254" s="750">
        <v>0.5</v>
      </c>
      <c r="X254" s="750">
        <v>0</v>
      </c>
      <c r="Y254" s="750">
        <v>0</v>
      </c>
      <c r="Z254" s="751">
        <v>0</v>
      </c>
      <c r="AA254" s="1"/>
      <c r="AB254" s="294" t="s">
        <v>12</v>
      </c>
    </row>
    <row r="255" spans="2:28" ht="15.75">
      <c r="B255" s="1"/>
      <c r="C255" s="1"/>
      <c r="D255" s="1"/>
      <c r="E255" s="1"/>
      <c r="F255" s="1"/>
      <c r="G255" s="1"/>
      <c r="H255" s="1"/>
      <c r="I255" s="1"/>
      <c r="J255" s="1"/>
      <c r="K255" s="1"/>
      <c r="L255" s="11">
        <f>IF(AND($G$73="Yes",$G$15="Intermediate"),1,0)</f>
        <v>1</v>
      </c>
      <c r="M255" s="15"/>
      <c r="N255" s="230">
        <f>IF(AND($G$15="Intermediate",SUM(P255:Z255)=1),1,IF(AND($G$15="Intermediate",SUM(P255:Z255)&lt;&gt;1),2,0))</f>
        <v>1</v>
      </c>
      <c r="O255" s="596" t="str">
        <f t="shared" si="2"/>
        <v>Interconnection</v>
      </c>
      <c r="P255" s="723">
        <v>0</v>
      </c>
      <c r="Q255" s="724">
        <v>0</v>
      </c>
      <c r="R255" s="784">
        <v>0</v>
      </c>
      <c r="S255" s="785"/>
      <c r="T255" s="786"/>
      <c r="U255" s="750">
        <v>0</v>
      </c>
      <c r="V255" s="750">
        <v>0</v>
      </c>
      <c r="W255" s="750">
        <v>1</v>
      </c>
      <c r="X255" s="750">
        <v>0</v>
      </c>
      <c r="Y255" s="750">
        <v>0</v>
      </c>
      <c r="Z255" s="751">
        <v>0</v>
      </c>
      <c r="AA255" s="1"/>
      <c r="AB255" s="294" t="s">
        <v>12</v>
      </c>
    </row>
    <row r="256" spans="2:28" ht="15.75">
      <c r="B256" s="1"/>
      <c r="C256" s="1"/>
      <c r="D256" s="1"/>
      <c r="E256" s="1"/>
      <c r="F256" s="1"/>
      <c r="G256" s="1"/>
      <c r="H256" s="1"/>
      <c r="I256" s="1"/>
      <c r="J256" s="1"/>
      <c r="K256" s="1"/>
      <c r="L256" s="11">
        <f>IF(AND($G$73="Yes",$G$15="Intermediate"),1,0)</f>
        <v>1</v>
      </c>
      <c r="M256" s="15"/>
      <c r="N256" s="230">
        <f>IF(AND($G$15="Intermediate",SUM(P256:Z256)=1),1,IF(AND($G$15="Intermediate",SUM(P256:Z256)&lt;&gt;1),2,0))</f>
        <v>1</v>
      </c>
      <c r="O256" s="596" t="str">
        <f t="shared" si="2"/>
        <v>Development Costs &amp; Fee</v>
      </c>
      <c r="P256" s="723">
        <v>0.8</v>
      </c>
      <c r="Q256" s="724">
        <v>0</v>
      </c>
      <c r="R256" s="784">
        <v>0</v>
      </c>
      <c r="S256" s="785"/>
      <c r="T256" s="786"/>
      <c r="U256" s="750">
        <v>0</v>
      </c>
      <c r="V256" s="750">
        <v>0</v>
      </c>
      <c r="W256" s="750">
        <v>0.05</v>
      </c>
      <c r="X256" s="750">
        <v>0.05</v>
      </c>
      <c r="Y256" s="750">
        <v>0</v>
      </c>
      <c r="Z256" s="751">
        <v>0.1</v>
      </c>
      <c r="AA256" s="1"/>
      <c r="AB256" s="294" t="s">
        <v>12</v>
      </c>
    </row>
    <row r="257" spans="2:28" ht="16.5" thickBot="1">
      <c r="B257" s="1"/>
      <c r="C257" s="1"/>
      <c r="D257" s="1"/>
      <c r="E257" s="1"/>
      <c r="F257" s="1"/>
      <c r="G257" s="1"/>
      <c r="H257" s="1"/>
      <c r="I257" s="1"/>
      <c r="J257" s="1"/>
      <c r="K257" s="1"/>
      <c r="L257" s="11">
        <f>IF(AND($G$73="Yes",$G$15="Intermediate"),1,0)</f>
        <v>1</v>
      </c>
      <c r="M257" s="15"/>
      <c r="N257" s="230">
        <f>IF(AND($G$15="Intermediate",SUM(P257:Z257)=1),1,IF(AND($G$15="Intermediate",SUM(P257:Z257)&lt;&gt;1),2,0))</f>
        <v>1</v>
      </c>
      <c r="O257" s="597" t="str">
        <f t="shared" si="2"/>
        <v>Reserves &amp; Financing Costs</v>
      </c>
      <c r="P257" s="728">
        <v>0</v>
      </c>
      <c r="Q257" s="729">
        <v>0</v>
      </c>
      <c r="R257" s="766">
        <v>0</v>
      </c>
      <c r="S257" s="767"/>
      <c r="T257" s="768"/>
      <c r="U257" s="752">
        <v>0</v>
      </c>
      <c r="V257" s="752">
        <v>0</v>
      </c>
      <c r="W257" s="752">
        <v>0</v>
      </c>
      <c r="X257" s="752">
        <v>0.5</v>
      </c>
      <c r="Y257" s="752">
        <v>0</v>
      </c>
      <c r="Z257" s="753">
        <v>0.5</v>
      </c>
      <c r="AA257" s="1"/>
      <c r="AB257" s="294" t="s">
        <v>12</v>
      </c>
    </row>
    <row r="258" spans="2:28" ht="16.5" thickBot="1">
      <c r="B258" s="1"/>
      <c r="C258" s="1"/>
      <c r="D258" s="1"/>
      <c r="E258" s="1"/>
      <c r="F258" s="1"/>
      <c r="G258" s="1"/>
      <c r="H258" s="1"/>
      <c r="I258" s="1"/>
      <c r="J258" s="1"/>
      <c r="K258" s="1"/>
      <c r="L258" s="296">
        <f>IF(AND($G$73="Yes",$G$15="Complex"),1,0)</f>
        <v>0</v>
      </c>
      <c r="M258" s="647"/>
      <c r="N258" s="647"/>
      <c r="O258" s="546" t="s">
        <v>176</v>
      </c>
      <c r="P258" s="591"/>
      <c r="Q258" s="592"/>
      <c r="R258" s="769"/>
      <c r="S258" s="770"/>
      <c r="T258" s="771"/>
      <c r="U258" s="591"/>
      <c r="V258" s="591"/>
      <c r="W258" s="591"/>
      <c r="X258" s="591"/>
      <c r="Y258" s="591"/>
      <c r="Z258" s="594"/>
      <c r="AA258" s="40"/>
      <c r="AB258" s="421" t="s">
        <v>12</v>
      </c>
    </row>
    <row r="260" spans="2:28" ht="36.75" thickBot="1">
      <c r="E260" s="731" t="s">
        <v>488</v>
      </c>
    </row>
    <row r="261" spans="2:28" ht="18.75" thickBot="1">
      <c r="B261" s="413"/>
      <c r="C261" s="772" t="s">
        <v>1</v>
      </c>
      <c r="D261" s="772"/>
      <c r="E261" s="772"/>
      <c r="F261" s="772"/>
      <c r="G261" s="772"/>
      <c r="H261" s="772"/>
      <c r="I261" s="772"/>
      <c r="J261" s="772"/>
      <c r="K261" s="772"/>
      <c r="L261" s="773"/>
      <c r="M261" s="773"/>
      <c r="N261" s="773"/>
      <c r="O261" s="773"/>
      <c r="P261" s="773"/>
      <c r="Q261" s="773"/>
      <c r="R261" s="773"/>
      <c r="S261" s="773"/>
      <c r="T261" s="773"/>
      <c r="U261" s="328"/>
      <c r="V261" s="329"/>
      <c r="W261" s="329"/>
      <c r="X261" s="329"/>
      <c r="Y261" s="329"/>
      <c r="Z261" s="329"/>
      <c r="AA261" s="329"/>
      <c r="AB261" s="330"/>
    </row>
    <row r="262" spans="2:28" ht="18">
      <c r="B262" s="11"/>
      <c r="C262" s="266"/>
      <c r="D262" s="266"/>
      <c r="E262" s="266"/>
      <c r="F262" s="266"/>
      <c r="G262" s="266"/>
      <c r="H262" s="266"/>
      <c r="I262" s="266"/>
      <c r="J262" s="266"/>
      <c r="K262" s="341"/>
      <c r="L262" s="265"/>
      <c r="M262" s="266"/>
      <c r="N262" s="266"/>
      <c r="O262" s="266"/>
      <c r="P262" s="266"/>
      <c r="Q262" s="266"/>
      <c r="R262" s="266"/>
      <c r="S262" s="266"/>
      <c r="T262" s="266"/>
      <c r="U262" s="266"/>
      <c r="V262" s="267"/>
      <c r="W262" s="267"/>
      <c r="X262" s="267"/>
      <c r="Y262" s="267"/>
      <c r="Z262" s="267"/>
      <c r="AA262" s="267"/>
      <c r="AB262" s="297"/>
    </row>
    <row r="263" spans="2:28" ht="18.75" thickBot="1">
      <c r="B263" s="11"/>
      <c r="C263" s="401" t="s">
        <v>2</v>
      </c>
      <c r="D263" s="14"/>
      <c r="E263" s="1"/>
      <c r="F263" s="15"/>
      <c r="G263" s="1"/>
      <c r="H263" s="392"/>
      <c r="I263" s="414" t="s">
        <v>3</v>
      </c>
      <c r="J263" s="1"/>
      <c r="K263" s="342"/>
      <c r="L263" s="298"/>
      <c r="M263" s="401" t="s">
        <v>2</v>
      </c>
      <c r="N263" s="15"/>
      <c r="O263" s="774" t="s">
        <v>4</v>
      </c>
      <c r="P263" s="774"/>
      <c r="Q263" s="420"/>
      <c r="R263" s="15"/>
      <c r="S263" s="401" t="s">
        <v>3</v>
      </c>
      <c r="T263" s="393"/>
      <c r="U263" s="14"/>
      <c r="V263" s="1"/>
      <c r="W263" s="1"/>
      <c r="X263" s="1"/>
      <c r="Y263" s="1"/>
      <c r="Z263" s="1"/>
      <c r="AA263" s="1"/>
      <c r="AB263" s="246"/>
    </row>
    <row r="264" spans="2:28" ht="18.75" thickBot="1">
      <c r="B264" s="415"/>
      <c r="C264" s="267"/>
      <c r="D264" s="267"/>
      <c r="E264" s="20"/>
      <c r="F264" s="16"/>
      <c r="G264" s="19"/>
      <c r="H264" s="416"/>
      <c r="I264" s="417"/>
      <c r="J264" s="418"/>
      <c r="K264" s="15"/>
      <c r="L264" s="415"/>
      <c r="M264" s="267"/>
      <c r="N264" s="267"/>
      <c r="O264" s="267"/>
      <c r="P264" s="267"/>
      <c r="Q264" s="267"/>
      <c r="R264" s="267"/>
      <c r="S264" s="267"/>
      <c r="T264" s="267"/>
      <c r="U264" s="267"/>
      <c r="V264" s="267"/>
      <c r="W264" s="267"/>
      <c r="X264" s="267"/>
      <c r="Y264" s="267"/>
      <c r="Z264" s="267"/>
      <c r="AA264" s="267"/>
      <c r="AB264" s="297"/>
    </row>
    <row r="265" spans="2:28" ht="21" thickBot="1">
      <c r="B265" s="11"/>
      <c r="C265" s="1"/>
      <c r="D265" s="1"/>
      <c r="E265" s="2" t="s">
        <v>5</v>
      </c>
      <c r="F265" s="347" t="s">
        <v>6</v>
      </c>
      <c r="G265" s="411" t="s">
        <v>7</v>
      </c>
      <c r="H265" s="57"/>
      <c r="I265" s="17"/>
      <c r="J265" s="402"/>
      <c r="K265" s="15"/>
      <c r="L265" s="11"/>
      <c r="M265" s="1"/>
      <c r="N265" s="1"/>
      <c r="O265" s="2" t="s">
        <v>8</v>
      </c>
      <c r="P265" s="347" t="s">
        <v>6</v>
      </c>
      <c r="Q265" s="411" t="s">
        <v>7</v>
      </c>
      <c r="R265" s="1"/>
      <c r="S265" s="1"/>
      <c r="T265" s="1"/>
      <c r="U265" s="645" t="s">
        <v>9</v>
      </c>
      <c r="V265" s="1"/>
      <c r="W265" s="1"/>
      <c r="X265" s="1"/>
      <c r="Y265" s="1"/>
      <c r="Z265" s="1"/>
      <c r="AA265" s="1"/>
      <c r="AB265" s="246"/>
    </row>
    <row r="266" spans="2:28" ht="15.75">
      <c r="B266" s="11"/>
      <c r="C266" s="317"/>
      <c r="D266" s="1"/>
      <c r="E266" s="458" t="s">
        <v>10</v>
      </c>
      <c r="F266" s="450" t="s">
        <v>11</v>
      </c>
      <c r="G266" s="717">
        <v>500</v>
      </c>
      <c r="H266" s="269"/>
      <c r="I266" s="12" t="s">
        <v>12</v>
      </c>
      <c r="J266" s="403"/>
      <c r="K266" s="15"/>
      <c r="L266" s="11"/>
      <c r="M266" s="371"/>
      <c r="N266" s="1">
        <f>IF(OR(Q266&lt;=0,Q266&gt;G270),1,0)</f>
        <v>0</v>
      </c>
      <c r="O266" s="458" t="s">
        <v>13</v>
      </c>
      <c r="P266" s="450" t="s">
        <v>14</v>
      </c>
      <c r="Q266" s="667">
        <v>20</v>
      </c>
      <c r="R266" s="272"/>
      <c r="S266" s="12" t="s">
        <v>12</v>
      </c>
      <c r="T266" s="340"/>
      <c r="U266" s="656" t="s">
        <v>15</v>
      </c>
      <c r="V266" s="657" t="s">
        <v>16</v>
      </c>
      <c r="W266" s="658" t="s">
        <v>17</v>
      </c>
      <c r="X266" s="1"/>
      <c r="Y266" s="1"/>
      <c r="Z266" s="1"/>
      <c r="AA266" s="1"/>
      <c r="AB266" s="246"/>
    </row>
    <row r="267" spans="2:28" ht="15.75">
      <c r="B267" s="11"/>
      <c r="C267" s="370"/>
      <c r="D267" s="1">
        <f>IF(OR(G267&lt;=0,G267&gt;1),1,0)</f>
        <v>0</v>
      </c>
      <c r="E267" s="451" t="s">
        <v>18</v>
      </c>
      <c r="F267" s="7" t="s">
        <v>19</v>
      </c>
      <c r="G267" s="472">
        <v>0.14599999999999999</v>
      </c>
      <c r="H267" s="270"/>
      <c r="I267" s="12" t="s">
        <v>12</v>
      </c>
      <c r="J267" s="403"/>
      <c r="K267" s="15"/>
      <c r="L267" s="11"/>
      <c r="M267" s="317"/>
      <c r="N267" s="1"/>
      <c r="O267" s="451" t="s">
        <v>20</v>
      </c>
      <c r="P267" s="7" t="s">
        <v>19</v>
      </c>
      <c r="Q267" s="472">
        <v>0</v>
      </c>
      <c r="R267" s="270">
        <v>0</v>
      </c>
      <c r="S267" s="12" t="s">
        <v>12</v>
      </c>
      <c r="T267" s="340"/>
      <c r="U267" s="474" t="s">
        <v>21</v>
      </c>
      <c r="V267" s="633" t="s">
        <v>22</v>
      </c>
      <c r="W267" s="646" t="s">
        <v>23</v>
      </c>
      <c r="X267" s="1"/>
      <c r="Y267" s="1"/>
      <c r="Z267" s="1"/>
      <c r="AA267" s="1"/>
      <c r="AB267" s="246"/>
    </row>
    <row r="268" spans="2:28" ht="16.5" thickBot="1">
      <c r="B268" s="11"/>
      <c r="C268" s="285"/>
      <c r="D268" s="1"/>
      <c r="E268" s="451" t="s">
        <v>24</v>
      </c>
      <c r="F268" s="8" t="s">
        <v>25</v>
      </c>
      <c r="G268" s="473"/>
      <c r="H268" s="271"/>
      <c r="I268" s="12" t="s">
        <v>12</v>
      </c>
      <c r="J268" s="403"/>
      <c r="K268" s="15"/>
      <c r="L268" s="11"/>
      <c r="M268" s="316"/>
      <c r="N268" s="1"/>
      <c r="O268" s="461" t="s">
        <v>26</v>
      </c>
      <c r="P268" s="466" t="s">
        <v>19</v>
      </c>
      <c r="Q268" s="472">
        <v>0</v>
      </c>
      <c r="R268" s="270"/>
      <c r="S268" s="12" t="s">
        <v>12</v>
      </c>
      <c r="T268" s="340"/>
      <c r="U268" s="451" t="s">
        <v>27</v>
      </c>
      <c r="V268" s="633" t="s">
        <v>22</v>
      </c>
      <c r="W268" s="646" t="s">
        <v>178</v>
      </c>
      <c r="X268" s="1"/>
      <c r="Y268" s="1"/>
      <c r="Z268" s="1"/>
      <c r="AA268" s="1"/>
      <c r="AB268" s="246"/>
    </row>
    <row r="269" spans="2:28" ht="16.5" thickBot="1">
      <c r="B269" s="11"/>
      <c r="C269" s="369"/>
      <c r="D269" s="1">
        <f>IF(OR(G269&lt;0,G269&gt;1),1,0)</f>
        <v>0</v>
      </c>
      <c r="E269" s="453" t="s">
        <v>29</v>
      </c>
      <c r="F269" s="7" t="s">
        <v>19</v>
      </c>
      <c r="G269" s="472">
        <v>8.0000000000000002E-3</v>
      </c>
      <c r="H269" s="270"/>
      <c r="I269" s="12" t="s">
        <v>12</v>
      </c>
      <c r="J269" s="403"/>
      <c r="K269" s="15"/>
      <c r="L269" s="298"/>
      <c r="M269" s="15"/>
      <c r="N269" s="15"/>
      <c r="O269" s="15"/>
      <c r="P269" s="15"/>
      <c r="Q269" s="15"/>
      <c r="R269" s="15"/>
      <c r="S269" s="15"/>
      <c r="T269" s="15"/>
      <c r="U269" s="639"/>
      <c r="V269" s="636"/>
      <c r="W269" s="640"/>
      <c r="X269" s="123"/>
      <c r="Y269" s="123"/>
      <c r="Z269" s="123"/>
      <c r="AA269" s="1"/>
      <c r="AB269" s="246"/>
    </row>
    <row r="270" spans="2:28" ht="16.5" thickBot="1">
      <c r="B270" s="11"/>
      <c r="C270" s="371"/>
      <c r="D270" s="1">
        <f>IF(OR(G270&lt;1,G270&gt;30),1,0)</f>
        <v>0</v>
      </c>
      <c r="E270" s="455" t="s">
        <v>30</v>
      </c>
      <c r="F270" s="466" t="s">
        <v>14</v>
      </c>
      <c r="G270" s="581">
        <v>25</v>
      </c>
      <c r="H270" s="272"/>
      <c r="I270" s="12" t="s">
        <v>12</v>
      </c>
      <c r="J270" s="403"/>
      <c r="K270" s="15"/>
      <c r="L270" s="298"/>
      <c r="M270" s="1"/>
      <c r="N270" s="1"/>
      <c r="O270" s="2" t="s">
        <v>31</v>
      </c>
      <c r="P270" s="3"/>
      <c r="Q270" s="4"/>
      <c r="R270" s="15"/>
      <c r="S270" s="12" t="s">
        <v>12</v>
      </c>
      <c r="T270" s="123"/>
      <c r="U270" s="474" t="s">
        <v>32</v>
      </c>
      <c r="V270" s="634" t="s">
        <v>33</v>
      </c>
      <c r="W270" s="669">
        <v>28.58</v>
      </c>
      <c r="X270" s="178"/>
      <c r="Y270" s="178"/>
      <c r="Z270" s="178"/>
      <c r="AA270" s="1"/>
      <c r="AB270" s="246"/>
    </row>
    <row r="271" spans="2:28" ht="16.5" thickBot="1">
      <c r="B271" s="11"/>
      <c r="C271" s="1"/>
      <c r="D271" s="1"/>
      <c r="E271" s="1"/>
      <c r="F271" s="1"/>
      <c r="G271" s="17"/>
      <c r="H271" s="17"/>
      <c r="I271" s="13"/>
      <c r="J271" s="403"/>
      <c r="K271" s="15"/>
      <c r="L271" s="298"/>
      <c r="M271" s="369"/>
      <c r="N271" s="1"/>
      <c r="O271" s="500" t="s">
        <v>34</v>
      </c>
      <c r="P271" s="501"/>
      <c r="Q271" s="502" t="s">
        <v>35</v>
      </c>
      <c r="R271" s="1"/>
      <c r="S271" s="345" t="s">
        <v>12</v>
      </c>
      <c r="T271" s="346">
        <f>IF(Q266&lt;G270,1,0)</f>
        <v>1</v>
      </c>
      <c r="U271" s="641" t="s">
        <v>36</v>
      </c>
      <c r="V271" s="635" t="s">
        <v>19</v>
      </c>
      <c r="W271" s="670">
        <v>0.02</v>
      </c>
      <c r="X271" s="1"/>
      <c r="Y271" s="123"/>
      <c r="Z271" s="123"/>
      <c r="AA271" s="1"/>
      <c r="AB271" s="246"/>
    </row>
    <row r="272" spans="2:28" ht="16.5" thickBot="1">
      <c r="B272" s="11"/>
      <c r="C272" s="1"/>
      <c r="D272" s="1"/>
      <c r="E272" s="10" t="s">
        <v>37</v>
      </c>
      <c r="F272" s="347" t="s">
        <v>6</v>
      </c>
      <c r="G272" s="411" t="s">
        <v>7</v>
      </c>
      <c r="H272" s="283"/>
      <c r="I272" s="13"/>
      <c r="J272" s="403"/>
      <c r="K272" s="15"/>
      <c r="L272" s="298"/>
      <c r="M272" s="369"/>
      <c r="N272" s="1">
        <f>IF(OR(Q272&lt;=0,Q272=""),1,0)</f>
        <v>0</v>
      </c>
      <c r="O272" s="503" t="s">
        <v>38</v>
      </c>
      <c r="P272" s="343" t="s">
        <v>39</v>
      </c>
      <c r="Q272" s="504">
        <v>5</v>
      </c>
      <c r="R272" s="1"/>
      <c r="S272" s="345" t="s">
        <v>12</v>
      </c>
      <c r="T272" s="346">
        <f>IF(AND($Q$8&lt;$G$12,$Q$13="Year One"),1,0)</f>
        <v>0</v>
      </c>
      <c r="U272" s="642"/>
      <c r="V272" s="637"/>
      <c r="W272" s="643"/>
      <c r="X272" s="1"/>
      <c r="Y272" s="123"/>
      <c r="Z272" s="123"/>
      <c r="AA272" s="1"/>
      <c r="AB272" s="246"/>
    </row>
    <row r="273" spans="2:28" ht="16.5" thickBot="1">
      <c r="B273" s="11"/>
      <c r="C273" s="318"/>
      <c r="D273" s="1"/>
      <c r="E273" s="438" t="s">
        <v>40</v>
      </c>
      <c r="F273" s="439"/>
      <c r="G273" s="440" t="s">
        <v>41</v>
      </c>
      <c r="H273" s="281"/>
      <c r="I273" s="12" t="s">
        <v>12</v>
      </c>
      <c r="J273" s="403"/>
      <c r="K273" s="15"/>
      <c r="L273" s="298"/>
      <c r="M273" s="369"/>
      <c r="N273" s="1">
        <f>IF(OR(Q273&lt;=0,Q273=""),1,0)</f>
        <v>0</v>
      </c>
      <c r="O273" s="505" t="s">
        <v>42</v>
      </c>
      <c r="P273" s="344" t="s">
        <v>19</v>
      </c>
      <c r="Q273" s="506">
        <v>0.03</v>
      </c>
      <c r="R273" s="1"/>
      <c r="S273" s="368" t="s">
        <v>12</v>
      </c>
      <c r="T273" s="346">
        <f>IF(AND($Q$8&lt;$G$12,$Q$13="Year One"),1,0)</f>
        <v>0</v>
      </c>
      <c r="U273" s="451" t="s">
        <v>43</v>
      </c>
      <c r="V273" s="633" t="s">
        <v>19</v>
      </c>
      <c r="W273" s="581">
        <v>0</v>
      </c>
      <c r="X273" s="1"/>
      <c r="Y273" s="123"/>
      <c r="Z273" s="123"/>
      <c r="AA273" s="1"/>
      <c r="AB273" s="246"/>
    </row>
    <row r="274" spans="2:28" ht="16.5" thickBot="1">
      <c r="B274" s="11"/>
      <c r="C274" s="319"/>
      <c r="D274" s="1"/>
      <c r="E274" s="441" t="s">
        <v>44</v>
      </c>
      <c r="F274" s="442" t="s">
        <v>33</v>
      </c>
      <c r="G274" s="443">
        <v>2500</v>
      </c>
      <c r="H274" s="273"/>
      <c r="I274" s="366" t="s">
        <v>12</v>
      </c>
      <c r="J274" s="404"/>
      <c r="K274" s="15"/>
      <c r="L274" s="298"/>
      <c r="M274" s="1"/>
      <c r="N274" s="1"/>
      <c r="O274" s="507" t="str">
        <f>IF(OR($Q$13="Year One",$Q$8=$G$12),"","Click Here for Complex Input Worksheet")</f>
        <v>Click Here for Complex Input Worksheet</v>
      </c>
      <c r="P274" s="508"/>
      <c r="Q274" s="509"/>
      <c r="R274" s="1"/>
      <c r="S274" s="366" t="s">
        <v>12</v>
      </c>
      <c r="T274" s="346">
        <f>IF(AND($Q$8&lt;$G$12,$Q$13="Year-by-Year"),1,0)</f>
        <v>1</v>
      </c>
      <c r="U274" s="451" t="s">
        <v>45</v>
      </c>
      <c r="V274" s="633" t="s">
        <v>19</v>
      </c>
      <c r="W274" s="670">
        <v>0.02</v>
      </c>
      <c r="X274" s="123"/>
      <c r="Y274" s="123"/>
      <c r="Z274" s="123"/>
      <c r="AA274" s="1"/>
      <c r="AB274" s="246"/>
    </row>
    <row r="275" spans="2:28" ht="16.5" thickBot="1">
      <c r="B275" s="11"/>
      <c r="C275" s="320"/>
      <c r="D275" s="1"/>
      <c r="E275" s="444" t="s">
        <v>46</v>
      </c>
      <c r="F275" s="343" t="s">
        <v>47</v>
      </c>
      <c r="G275" s="718">
        <v>1461368.7947500406</v>
      </c>
      <c r="H275" s="274"/>
      <c r="I275" s="366" t="s">
        <v>12</v>
      </c>
      <c r="J275" s="403"/>
      <c r="K275" s="15"/>
      <c r="L275" s="298"/>
      <c r="M275" s="1"/>
      <c r="N275" s="1"/>
      <c r="O275" s="1"/>
      <c r="P275" s="1"/>
      <c r="Q275" s="1"/>
      <c r="R275" s="1"/>
      <c r="S275" s="1"/>
      <c r="T275" s="179"/>
      <c r="U275" s="644"/>
      <c r="V275" s="638"/>
      <c r="W275" s="643"/>
      <c r="X275" s="123"/>
      <c r="Y275" s="123"/>
      <c r="Z275" s="123"/>
      <c r="AA275" s="1"/>
      <c r="AB275" s="246"/>
    </row>
    <row r="276" spans="2:28" ht="16.5" thickBot="1">
      <c r="B276" s="11"/>
      <c r="C276" s="376"/>
      <c r="D276" s="1"/>
      <c r="E276" s="444" t="s">
        <v>48</v>
      </c>
      <c r="F276" s="343" t="s">
        <v>47</v>
      </c>
      <c r="G276" s="718">
        <v>0</v>
      </c>
      <c r="H276" s="274"/>
      <c r="I276" s="366" t="s">
        <v>12</v>
      </c>
      <c r="J276" s="403"/>
      <c r="K276" s="15"/>
      <c r="L276" s="298"/>
      <c r="M276" s="1"/>
      <c r="N276" s="1"/>
      <c r="O276" s="5" t="s">
        <v>49</v>
      </c>
      <c r="P276" s="347" t="s">
        <v>6</v>
      </c>
      <c r="Q276" s="411" t="s">
        <v>7</v>
      </c>
      <c r="R276" s="120"/>
      <c r="S276" s="13"/>
      <c r="T276" s="179"/>
      <c r="U276" s="641" t="s">
        <v>50</v>
      </c>
      <c r="V276" s="257" t="s">
        <v>47</v>
      </c>
      <c r="W276" s="581">
        <v>0</v>
      </c>
      <c r="X276" s="123"/>
      <c r="Y276" s="1"/>
      <c r="Z276" s="1"/>
      <c r="AA276" s="1"/>
      <c r="AB276" s="246"/>
    </row>
    <row r="277" spans="2:28" ht="16.5" thickBot="1">
      <c r="B277" s="11"/>
      <c r="C277" s="376"/>
      <c r="D277" s="1"/>
      <c r="E277" s="444" t="s">
        <v>51</v>
      </c>
      <c r="F277" s="343" t="s">
        <v>47</v>
      </c>
      <c r="G277" s="718">
        <v>0</v>
      </c>
      <c r="H277" s="274"/>
      <c r="I277" s="366" t="s">
        <v>12</v>
      </c>
      <c r="J277" s="403"/>
      <c r="K277" s="15"/>
      <c r="L277" s="298"/>
      <c r="M277" s="374"/>
      <c r="N277" s="1"/>
      <c r="O277" s="518" t="s">
        <v>52</v>
      </c>
      <c r="P277" s="519"/>
      <c r="Q277" s="520" t="s">
        <v>53</v>
      </c>
      <c r="R277" s="1"/>
      <c r="S277" s="12" t="s">
        <v>12</v>
      </c>
      <c r="T277" s="1"/>
      <c r="U277" s="489" t="s">
        <v>54</v>
      </c>
      <c r="V277" s="719" t="s">
        <v>55</v>
      </c>
      <c r="W277" s="720">
        <v>0</v>
      </c>
      <c r="X277" s="1"/>
      <c r="Y277" s="1"/>
      <c r="Z277" s="1"/>
      <c r="AA277" s="1"/>
      <c r="AB277" s="246"/>
    </row>
    <row r="278" spans="2:28" ht="15.75">
      <c r="B278" s="11"/>
      <c r="C278" s="376"/>
      <c r="D278" s="1"/>
      <c r="E278" s="604" t="s">
        <v>56</v>
      </c>
      <c r="F278" s="343" t="s">
        <v>47</v>
      </c>
      <c r="G278" s="721">
        <v>0</v>
      </c>
      <c r="H278" s="274"/>
      <c r="I278" s="366" t="s">
        <v>12</v>
      </c>
      <c r="J278" s="403"/>
      <c r="K278" s="15"/>
      <c r="L278" s="298"/>
      <c r="M278" s="374"/>
      <c r="N278" s="1"/>
      <c r="O278" s="458" t="s">
        <v>57</v>
      </c>
      <c r="P278" s="450"/>
      <c r="Q278" s="496" t="s">
        <v>58</v>
      </c>
      <c r="R278" s="15"/>
      <c r="S278" s="12" t="s">
        <v>12</v>
      </c>
      <c r="T278" s="15"/>
      <c r="U278" s="1"/>
      <c r="V278" s="1"/>
      <c r="W278" s="1"/>
      <c r="X278" s="1"/>
      <c r="Y278" s="1"/>
      <c r="Z278" s="1"/>
      <c r="AA278" s="1"/>
      <c r="AB278" s="246"/>
    </row>
    <row r="279" spans="2:28" ht="15.75">
      <c r="B279" s="11"/>
      <c r="C279" s="321"/>
      <c r="D279" s="1"/>
      <c r="E279" s="444" t="s">
        <v>59</v>
      </c>
      <c r="F279" s="343" t="s">
        <v>47</v>
      </c>
      <c r="G279" s="445"/>
      <c r="H279" s="275"/>
      <c r="I279" s="366" t="s">
        <v>12</v>
      </c>
      <c r="J279" s="403"/>
      <c r="K279" s="15"/>
      <c r="L279" s="298"/>
      <c r="M279" s="374"/>
      <c r="N279" s="1">
        <f>IF(OR(Q279&lt;0,Q279&gt;1,Q279=""),1,0)</f>
        <v>0</v>
      </c>
      <c r="O279" s="468" t="s">
        <v>60</v>
      </c>
      <c r="P279" s="6" t="s">
        <v>19</v>
      </c>
      <c r="Q279" s="674">
        <v>0.3</v>
      </c>
      <c r="R279" s="15"/>
      <c r="S279" s="12" t="s">
        <v>12</v>
      </c>
      <c r="T279" s="15"/>
      <c r="U279" s="1"/>
      <c r="V279" s="1"/>
      <c r="W279" s="1"/>
      <c r="X279" s="1"/>
      <c r="Y279" s="1"/>
      <c r="Z279" s="1"/>
      <c r="AA279" s="1"/>
      <c r="AB279" s="246"/>
    </row>
    <row r="280" spans="2:28" ht="16.5" thickBot="1">
      <c r="B280" s="11"/>
      <c r="C280" s="321"/>
      <c r="D280" s="1"/>
      <c r="E280" s="446" t="s">
        <v>61</v>
      </c>
      <c r="F280" s="447" t="str">
        <f>IF($G$15="Complex","$","")</f>
        <v/>
      </c>
      <c r="G280" s="448"/>
      <c r="H280" s="276"/>
      <c r="I280" s="366" t="s">
        <v>12</v>
      </c>
      <c r="J280" s="403"/>
      <c r="K280" s="15"/>
      <c r="L280" s="298"/>
      <c r="M280" s="369"/>
      <c r="N280" s="1">
        <f>IF(OR(Q280&lt;0,Q280&gt;1,Q280=""),1,0)</f>
        <v>0</v>
      </c>
      <c r="O280" s="483" t="s">
        <v>63</v>
      </c>
      <c r="P280" s="24" t="s">
        <v>19</v>
      </c>
      <c r="Q280" s="674">
        <v>1</v>
      </c>
      <c r="R280" s="121"/>
      <c r="S280" s="12" t="s">
        <v>12</v>
      </c>
      <c r="T280" s="367">
        <f>IF(AND($Q$19="Cost-Based",$Q$20="ITC"),1,0)</f>
        <v>1</v>
      </c>
      <c r="U280" s="1"/>
      <c r="V280" s="1"/>
      <c r="W280" s="1"/>
      <c r="X280" s="1"/>
      <c r="Y280" s="1"/>
      <c r="Z280" s="1"/>
      <c r="AA280" s="1"/>
      <c r="AB280" s="246"/>
    </row>
    <row r="281" spans="2:28" ht="16.5" thickBot="1">
      <c r="B281" s="11"/>
      <c r="C281" s="323"/>
      <c r="D281" s="1"/>
      <c r="E281" s="449" t="s">
        <v>44</v>
      </c>
      <c r="F281" s="450" t="s">
        <v>47</v>
      </c>
      <c r="G281" s="675"/>
      <c r="H281" s="276"/>
      <c r="I281" s="12" t="s">
        <v>12</v>
      </c>
      <c r="J281" s="403"/>
      <c r="K281" s="15"/>
      <c r="L281" s="298"/>
      <c r="M281" s="1"/>
      <c r="N281" s="1"/>
      <c r="O281" s="455" t="s">
        <v>64</v>
      </c>
      <c r="P281" s="462" t="s">
        <v>47</v>
      </c>
      <c r="Q281" s="676"/>
      <c r="R281" s="121"/>
      <c r="S281" s="12" t="s">
        <v>12</v>
      </c>
      <c r="T281" s="15"/>
      <c r="U281" s="1"/>
      <c r="V281" s="1"/>
      <c r="W281" s="1"/>
      <c r="X281" s="1"/>
      <c r="Y281" s="1"/>
      <c r="Z281" s="1"/>
      <c r="AA281" s="1"/>
      <c r="AB281" s="246"/>
    </row>
    <row r="282" spans="2:28" ht="15.75">
      <c r="B282" s="11"/>
      <c r="C282" s="323"/>
      <c r="D282" s="1"/>
      <c r="E282" s="451" t="s">
        <v>44</v>
      </c>
      <c r="F282" s="8" t="str">
        <f>F274</f>
        <v>$/kW</v>
      </c>
      <c r="G282" s="452"/>
      <c r="H282" s="284"/>
      <c r="I282" s="12" t="s">
        <v>12</v>
      </c>
      <c r="J282" s="403"/>
      <c r="K282" s="15"/>
      <c r="L282" s="298"/>
      <c r="M282" s="374"/>
      <c r="N282" s="1"/>
      <c r="O282" s="449" t="s">
        <v>65</v>
      </c>
      <c r="P282" s="522"/>
      <c r="Q282" s="510" t="s">
        <v>66</v>
      </c>
      <c r="R282" s="1"/>
      <c r="S282" s="12" t="s">
        <v>12</v>
      </c>
      <c r="T282" s="1"/>
      <c r="U282" s="1"/>
      <c r="V282" s="1"/>
      <c r="W282" s="1"/>
      <c r="X282" s="1"/>
      <c r="Y282" s="1"/>
      <c r="Z282" s="1"/>
      <c r="AA282" s="1"/>
      <c r="AB282" s="246"/>
    </row>
    <row r="283" spans="2:28" ht="15.75">
      <c r="B283" s="11"/>
      <c r="C283" s="322"/>
      <c r="D283" s="1"/>
      <c r="E283" s="453" t="s">
        <v>67</v>
      </c>
      <c r="F283" s="7" t="s">
        <v>47</v>
      </c>
      <c r="G283" s="454"/>
      <c r="H283" s="277"/>
      <c r="I283" s="12" t="s">
        <v>12</v>
      </c>
      <c r="J283" s="403"/>
      <c r="K283" s="15"/>
      <c r="L283" s="298"/>
      <c r="M283" s="369"/>
      <c r="N283" s="1"/>
      <c r="O283" s="451" t="s">
        <v>68</v>
      </c>
      <c r="P283" s="8" t="s">
        <v>39</v>
      </c>
      <c r="Q283" s="512">
        <v>0</v>
      </c>
      <c r="R283" s="15"/>
      <c r="S283" s="12" t="s">
        <v>12</v>
      </c>
      <c r="T283" s="15"/>
      <c r="U283" s="1"/>
      <c r="V283" s="1"/>
      <c r="W283" s="1"/>
      <c r="X283" s="1"/>
      <c r="Y283" s="1"/>
      <c r="Z283" s="1"/>
      <c r="AA283" s="1"/>
      <c r="AB283" s="246"/>
    </row>
    <row r="284" spans="2:28" ht="15.75">
      <c r="B284" s="11"/>
      <c r="C284" s="322"/>
      <c r="D284" s="1"/>
      <c r="E284" s="453" t="s">
        <v>69</v>
      </c>
      <c r="F284" s="7" t="s">
        <v>47</v>
      </c>
      <c r="G284" s="452"/>
      <c r="H284" s="276"/>
      <c r="I284" s="12" t="s">
        <v>12</v>
      </c>
      <c r="J284" s="403"/>
      <c r="K284" s="15"/>
      <c r="L284" s="298"/>
      <c r="M284" s="369"/>
      <c r="N284" s="1">
        <f>IF(OR(Q284&lt;0,Q284&gt;G270),1,0)</f>
        <v>0</v>
      </c>
      <c r="O284" s="451" t="s">
        <v>70</v>
      </c>
      <c r="P284" s="8" t="s">
        <v>71</v>
      </c>
      <c r="Q284" s="464">
        <v>0</v>
      </c>
      <c r="R284" s="15"/>
      <c r="S284" s="12" t="s">
        <v>12</v>
      </c>
      <c r="T284" s="15"/>
      <c r="U284" s="1"/>
      <c r="V284" s="1"/>
      <c r="W284" s="1"/>
      <c r="X284" s="1"/>
      <c r="Y284" s="1"/>
      <c r="Z284" s="1"/>
      <c r="AA284" s="1"/>
      <c r="AB284" s="246"/>
    </row>
    <row r="285" spans="2:28" ht="16.5" thickBot="1">
      <c r="B285" s="11"/>
      <c r="C285" s="323"/>
      <c r="D285" s="1"/>
      <c r="E285" s="455" t="s">
        <v>69</v>
      </c>
      <c r="F285" s="456" t="str">
        <f>F274</f>
        <v>$/kW</v>
      </c>
      <c r="G285" s="457"/>
      <c r="H285" s="284"/>
      <c r="I285" s="12" t="s">
        <v>12</v>
      </c>
      <c r="J285" s="403"/>
      <c r="K285" s="15"/>
      <c r="L285" s="298"/>
      <c r="M285" s="369"/>
      <c r="N285" s="1"/>
      <c r="O285" s="451" t="s">
        <v>72</v>
      </c>
      <c r="P285" s="6" t="s">
        <v>19</v>
      </c>
      <c r="Q285" s="497">
        <v>0</v>
      </c>
      <c r="R285" s="15"/>
      <c r="S285" s="12" t="s">
        <v>12</v>
      </c>
      <c r="T285" s="15"/>
      <c r="U285" s="1"/>
      <c r="V285" s="1"/>
      <c r="W285" s="1"/>
      <c r="X285" s="1"/>
      <c r="Y285" s="1"/>
      <c r="Z285" s="1"/>
      <c r="AA285" s="1"/>
      <c r="AB285" s="246"/>
    </row>
    <row r="286" spans="2:28" ht="16.5" thickBot="1">
      <c r="B286" s="11"/>
      <c r="C286" s="324"/>
      <c r="D286" s="1"/>
      <c r="E286" s="18"/>
      <c r="F286" s="1"/>
      <c r="G286" s="1"/>
      <c r="H286" s="1"/>
      <c r="I286" s="17"/>
      <c r="J286" s="403"/>
      <c r="K286" s="15"/>
      <c r="L286" s="298"/>
      <c r="M286" s="369"/>
      <c r="N286" s="1">
        <f>IF(OR(Q286&lt;0,Q286&gt;1),1,0)</f>
        <v>0</v>
      </c>
      <c r="O286" s="455" t="s">
        <v>73</v>
      </c>
      <c r="P286" s="462" t="s">
        <v>19</v>
      </c>
      <c r="Q286" s="523">
        <v>0</v>
      </c>
      <c r="R286" s="15"/>
      <c r="S286" s="12" t="s">
        <v>12</v>
      </c>
      <c r="T286" s="15"/>
      <c r="U286" s="1"/>
      <c r="V286" s="1"/>
      <c r="W286" s="1"/>
      <c r="X286" s="1"/>
      <c r="Y286" s="1"/>
      <c r="Z286" s="1"/>
      <c r="AA286" s="1"/>
      <c r="AB286" s="246"/>
    </row>
    <row r="287" spans="2:28" ht="16.5" thickBot="1">
      <c r="B287" s="11"/>
      <c r="C287" s="1"/>
      <c r="D287" s="1"/>
      <c r="E287" s="5" t="s">
        <v>74</v>
      </c>
      <c r="F287" s="347" t="s">
        <v>6</v>
      </c>
      <c r="G287" s="411" t="s">
        <v>7</v>
      </c>
      <c r="H287" s="285"/>
      <c r="I287" s="17"/>
      <c r="J287" s="403"/>
      <c r="K287" s="15"/>
      <c r="L287" s="298"/>
      <c r="M287" s="1"/>
      <c r="N287" s="1"/>
      <c r="O287" s="296" t="s">
        <v>75</v>
      </c>
      <c r="P287" s="521"/>
      <c r="Q287" s="514" t="s">
        <v>76</v>
      </c>
      <c r="R287" s="121"/>
      <c r="S287" s="12" t="s">
        <v>12</v>
      </c>
      <c r="T287" s="15"/>
      <c r="U287" s="1"/>
      <c r="V287" s="1"/>
      <c r="W287" s="1"/>
      <c r="X287" s="1"/>
      <c r="Y287" s="1"/>
      <c r="Z287" s="1"/>
      <c r="AA287" s="1"/>
      <c r="AB287" s="246"/>
    </row>
    <row r="288" spans="2:28" ht="16.5" thickBot="1">
      <c r="B288" s="11"/>
      <c r="C288" s="318"/>
      <c r="D288" s="1"/>
      <c r="E288" s="553" t="s">
        <v>40</v>
      </c>
      <c r="F288" s="554"/>
      <c r="G288" s="555" t="s">
        <v>41</v>
      </c>
      <c r="H288" s="281"/>
      <c r="I288" s="12" t="s">
        <v>12</v>
      </c>
      <c r="J288" s="403"/>
      <c r="K288" s="15"/>
      <c r="L288" s="11"/>
      <c r="M288" s="1"/>
      <c r="N288" s="1"/>
      <c r="O288" s="415"/>
      <c r="P288" s="267"/>
      <c r="Q288" s="297"/>
      <c r="R288" s="1"/>
      <c r="S288" s="1"/>
      <c r="T288" s="1"/>
      <c r="U288" s="1"/>
      <c r="V288" s="1"/>
      <c r="W288" s="1"/>
      <c r="X288" s="1"/>
      <c r="Y288" s="1"/>
      <c r="Z288" s="1"/>
      <c r="AA288" s="1"/>
      <c r="AB288" s="246"/>
    </row>
    <row r="289" spans="2:28" ht="15.75">
      <c r="B289" s="11"/>
      <c r="C289" s="325"/>
      <c r="D289" s="1"/>
      <c r="E289" s="458" t="s">
        <v>77</v>
      </c>
      <c r="F289" s="459" t="s">
        <v>78</v>
      </c>
      <c r="G289" s="460">
        <v>12.025</v>
      </c>
      <c r="H289" s="286"/>
      <c r="I289" s="12" t="s">
        <v>12</v>
      </c>
      <c r="J289" s="403"/>
      <c r="K289" s="15"/>
      <c r="L289" s="298"/>
      <c r="M289" s="369"/>
      <c r="N289" s="1"/>
      <c r="O289" s="515" t="s">
        <v>79</v>
      </c>
      <c r="P289" s="459" t="s">
        <v>47</v>
      </c>
      <c r="Q289" s="516">
        <v>0</v>
      </c>
      <c r="R289" s="121"/>
      <c r="S289" s="12" t="s">
        <v>12</v>
      </c>
      <c r="T289" s="1"/>
      <c r="U289" s="1"/>
      <c r="V289" s="1"/>
      <c r="W289" s="1"/>
      <c r="X289" s="1"/>
      <c r="Y289" s="1"/>
      <c r="Z289" s="1"/>
      <c r="AA289" s="1"/>
      <c r="AB289" s="246"/>
    </row>
    <row r="290" spans="2:28" ht="16.5" thickBot="1">
      <c r="B290" s="11"/>
      <c r="C290" s="369"/>
      <c r="D290" s="1"/>
      <c r="E290" s="453" t="s">
        <v>80</v>
      </c>
      <c r="F290" s="7" t="s">
        <v>81</v>
      </c>
      <c r="G290" s="512">
        <v>0</v>
      </c>
      <c r="H290" s="287"/>
      <c r="I290" s="12" t="s">
        <v>12</v>
      </c>
      <c r="J290" s="403"/>
      <c r="K290" s="15"/>
      <c r="L290" s="298"/>
      <c r="M290" s="374"/>
      <c r="N290" s="1"/>
      <c r="O290" s="455" t="s">
        <v>82</v>
      </c>
      <c r="P290" s="466"/>
      <c r="Q290" s="517" t="s">
        <v>83</v>
      </c>
      <c r="R290" s="21"/>
      <c r="S290" s="12" t="s">
        <v>12</v>
      </c>
      <c r="T290" s="1"/>
      <c r="U290" s="1"/>
      <c r="V290" s="1"/>
      <c r="W290" s="1"/>
      <c r="X290" s="1"/>
      <c r="Y290" s="1"/>
      <c r="Z290" s="1"/>
      <c r="AA290" s="1"/>
      <c r="AB290" s="246"/>
    </row>
    <row r="291" spans="2:28" ht="16.5" thickBot="1">
      <c r="B291" s="11"/>
      <c r="C291" s="326"/>
      <c r="D291" s="15"/>
      <c r="E291" s="474" t="s">
        <v>84</v>
      </c>
      <c r="F291" s="7" t="s">
        <v>19</v>
      </c>
      <c r="G291" s="475">
        <v>0.03</v>
      </c>
      <c r="H291" s="270"/>
      <c r="I291" s="12" t="s">
        <v>12</v>
      </c>
      <c r="J291" s="404"/>
      <c r="K291" s="15"/>
      <c r="L291" s="298"/>
      <c r="M291" s="1"/>
      <c r="N291" s="1"/>
      <c r="O291" s="1"/>
      <c r="P291" s="1"/>
      <c r="Q291" s="1"/>
      <c r="R291" s="1"/>
      <c r="S291" s="1"/>
      <c r="T291" s="1"/>
      <c r="U291" s="1"/>
      <c r="V291" s="1"/>
      <c r="W291" s="1"/>
      <c r="X291" s="1"/>
      <c r="Y291" s="1"/>
      <c r="Z291" s="1"/>
      <c r="AA291" s="1"/>
      <c r="AB291" s="246"/>
    </row>
    <row r="292" spans="2:28" ht="16.5" thickBot="1">
      <c r="B292" s="11"/>
      <c r="C292" s="317"/>
      <c r="D292" s="1"/>
      <c r="E292" s="451" t="s">
        <v>85</v>
      </c>
      <c r="F292" s="7" t="s">
        <v>86</v>
      </c>
      <c r="G292" s="582">
        <v>10</v>
      </c>
      <c r="H292" s="272"/>
      <c r="I292" s="12" t="s">
        <v>12</v>
      </c>
      <c r="J292" s="404"/>
      <c r="K292" s="15"/>
      <c r="L292" s="298"/>
      <c r="M292" s="1"/>
      <c r="N292" s="1"/>
      <c r="O292" s="5" t="s">
        <v>87</v>
      </c>
      <c r="P292" s="347" t="s">
        <v>6</v>
      </c>
      <c r="Q292" s="411" t="s">
        <v>7</v>
      </c>
      <c r="R292" s="15"/>
      <c r="S292" s="1"/>
      <c r="T292" s="412"/>
      <c r="U292" s="677"/>
      <c r="V292" s="1"/>
      <c r="W292" s="1"/>
      <c r="X292" s="1"/>
      <c r="Y292" s="1"/>
      <c r="Z292" s="1"/>
      <c r="AA292" s="1"/>
      <c r="AB292" s="246"/>
    </row>
    <row r="293" spans="2:28" ht="16.5" thickBot="1">
      <c r="B293" s="11"/>
      <c r="C293" s="326"/>
      <c r="D293" s="15"/>
      <c r="E293" s="465" t="s">
        <v>88</v>
      </c>
      <c r="F293" s="466" t="s">
        <v>19</v>
      </c>
      <c r="G293" s="475">
        <v>0.03</v>
      </c>
      <c r="H293" s="278"/>
      <c r="I293" s="12" t="s">
        <v>12</v>
      </c>
      <c r="J293" s="403"/>
      <c r="K293" s="15"/>
      <c r="L293" s="298"/>
      <c r="M293" s="374"/>
      <c r="N293" s="1"/>
      <c r="O293" s="568" t="s">
        <v>89</v>
      </c>
      <c r="P293" s="569"/>
      <c r="Q293" s="570" t="s">
        <v>90</v>
      </c>
      <c r="R293" s="1"/>
      <c r="S293" s="12" t="s">
        <v>12</v>
      </c>
      <c r="T293" s="1"/>
      <c r="U293" s="1"/>
      <c r="V293" s="1"/>
      <c r="W293" s="1"/>
      <c r="X293" s="1"/>
      <c r="Y293" s="1"/>
      <c r="Z293" s="1"/>
      <c r="AA293" s="1"/>
      <c r="AB293" s="246"/>
    </row>
    <row r="294" spans="2:28" ht="15.75">
      <c r="B294" s="11"/>
      <c r="C294" s="369"/>
      <c r="D294" s="1"/>
      <c r="E294" s="483" t="s">
        <v>91</v>
      </c>
      <c r="F294" s="6" t="s">
        <v>19</v>
      </c>
      <c r="G294" s="470">
        <v>5.7150000000000005E-3</v>
      </c>
      <c r="H294" s="270"/>
      <c r="I294" s="366" t="s">
        <v>12</v>
      </c>
      <c r="J294" s="403"/>
      <c r="K294" s="15"/>
      <c r="L294" s="298"/>
      <c r="M294" s="369"/>
      <c r="N294" s="1">
        <f>IF(OR(Q294&lt;0,Q294&gt;1),1,0)</f>
        <v>0</v>
      </c>
      <c r="O294" s="458" t="s">
        <v>92</v>
      </c>
      <c r="P294" s="450" t="s">
        <v>19</v>
      </c>
      <c r="Q294" s="600">
        <v>0</v>
      </c>
      <c r="R294" s="15">
        <f>IF(OR($Q$35="Performance-Based",$Q$35="Neither"),1,0)</f>
        <v>1</v>
      </c>
      <c r="S294" s="12" t="s">
        <v>12</v>
      </c>
      <c r="T294" s="15"/>
      <c r="U294" s="1"/>
      <c r="V294" s="1"/>
      <c r="W294" s="1"/>
      <c r="X294" s="1"/>
      <c r="Y294" s="1"/>
      <c r="Z294" s="1"/>
      <c r="AA294" s="1"/>
      <c r="AB294" s="246"/>
    </row>
    <row r="295" spans="2:28" ht="15.75">
      <c r="B295" s="11"/>
      <c r="C295" s="1"/>
      <c r="D295" s="1"/>
      <c r="E295" s="451" t="s">
        <v>93</v>
      </c>
      <c r="F295" s="7" t="s">
        <v>47</v>
      </c>
      <c r="G295" s="467"/>
      <c r="H295" s="275"/>
      <c r="I295" s="366" t="s">
        <v>12</v>
      </c>
      <c r="J295" s="403"/>
      <c r="K295" s="15"/>
      <c r="L295" s="298"/>
      <c r="M295" s="369"/>
      <c r="N295" s="1">
        <f>IF(OR(Q295&lt;0,Q295&gt;1),1,0)</f>
        <v>0</v>
      </c>
      <c r="O295" s="453" t="s">
        <v>94</v>
      </c>
      <c r="P295" s="7" t="s">
        <v>19</v>
      </c>
      <c r="Q295" s="601">
        <v>0</v>
      </c>
      <c r="R295" s="15"/>
      <c r="S295" s="12" t="s">
        <v>12</v>
      </c>
      <c r="T295" s="15"/>
      <c r="U295" s="15"/>
      <c r="V295" s="1"/>
      <c r="W295" s="1"/>
      <c r="X295" s="1"/>
      <c r="Y295" s="1"/>
      <c r="Z295" s="1"/>
      <c r="AA295" s="1"/>
      <c r="AB295" s="246"/>
    </row>
    <row r="296" spans="2:28" ht="15.75">
      <c r="B296" s="11"/>
      <c r="C296" s="369"/>
      <c r="D296" s="1"/>
      <c r="E296" s="468" t="s">
        <v>95</v>
      </c>
      <c r="F296" s="6" t="s">
        <v>96</v>
      </c>
      <c r="G296" s="469">
        <v>4000</v>
      </c>
      <c r="H296" s="288"/>
      <c r="I296" s="366" t="s">
        <v>12</v>
      </c>
      <c r="J296" s="404"/>
      <c r="K296" s="15"/>
      <c r="L296" s="298"/>
      <c r="M296" s="369"/>
      <c r="N296" s="1">
        <f>IF(OR(Q296&lt;1,Q296&gt;G270),1,0)</f>
        <v>1</v>
      </c>
      <c r="O296" s="451" t="s">
        <v>97</v>
      </c>
      <c r="P296" s="8" t="s">
        <v>71</v>
      </c>
      <c r="Q296" s="602">
        <v>0</v>
      </c>
      <c r="R296" s="15"/>
      <c r="S296" s="12" t="s">
        <v>12</v>
      </c>
      <c r="T296" s="1"/>
      <c r="U296" s="678"/>
      <c r="V296" s="1"/>
      <c r="W296" s="1"/>
      <c r="X296" s="1"/>
      <c r="Y296" s="1"/>
      <c r="Z296" s="1"/>
      <c r="AA296" s="1"/>
      <c r="AB296" s="246"/>
    </row>
    <row r="297" spans="2:28" ht="16.5" thickBot="1">
      <c r="B297" s="11"/>
      <c r="C297" s="369"/>
      <c r="D297" s="1"/>
      <c r="E297" s="451" t="s">
        <v>98</v>
      </c>
      <c r="F297" s="6" t="s">
        <v>33</v>
      </c>
      <c r="G297" s="603">
        <v>5</v>
      </c>
      <c r="H297" s="288"/>
      <c r="I297" s="366" t="s">
        <v>12</v>
      </c>
      <c r="J297" s="403"/>
      <c r="K297" s="15"/>
      <c r="L297" s="11"/>
      <c r="M297" s="1"/>
      <c r="N297" s="1"/>
      <c r="O297" s="455" t="s">
        <v>50</v>
      </c>
      <c r="P297" s="456" t="s">
        <v>47</v>
      </c>
      <c r="Q297" s="572">
        <v>0</v>
      </c>
      <c r="R297" s="1"/>
      <c r="S297" s="12" t="s">
        <v>12</v>
      </c>
      <c r="T297" s="1"/>
      <c r="U297" s="1"/>
      <c r="V297" s="1"/>
      <c r="W297" s="1"/>
      <c r="X297" s="1"/>
      <c r="Y297" s="1"/>
      <c r="Z297" s="1"/>
      <c r="AA297" s="1"/>
      <c r="AB297" s="246"/>
    </row>
    <row r="298" spans="2:28" ht="15.75">
      <c r="B298" s="11"/>
      <c r="C298" s="369"/>
      <c r="D298" s="1"/>
      <c r="E298" s="451" t="s">
        <v>43</v>
      </c>
      <c r="F298" s="6" t="s">
        <v>19</v>
      </c>
      <c r="G298" s="583">
        <v>0</v>
      </c>
      <c r="H298" s="1"/>
      <c r="I298" s="366" t="s">
        <v>12</v>
      </c>
      <c r="J298" s="403"/>
      <c r="K298" s="15"/>
      <c r="L298" s="298"/>
      <c r="M298" s="374"/>
      <c r="N298" s="1"/>
      <c r="O298" s="483" t="s">
        <v>99</v>
      </c>
      <c r="P298" s="6"/>
      <c r="Q298" s="571" t="s">
        <v>66</v>
      </c>
      <c r="R298" s="15">
        <f>IF(OR($Q$35="Cost-Based",$Q$35="Neither"),1,0)</f>
        <v>1</v>
      </c>
      <c r="S298" s="12" t="s">
        <v>12</v>
      </c>
      <c r="T298" s="15"/>
      <c r="U298" s="21"/>
      <c r="V298" s="1"/>
      <c r="W298" s="1"/>
      <c r="X298" s="1"/>
      <c r="Y298" s="1"/>
      <c r="Z298" s="1"/>
      <c r="AA298" s="1"/>
      <c r="AB298" s="246"/>
    </row>
    <row r="299" spans="2:28" ht="15.75">
      <c r="B299" s="11"/>
      <c r="C299" s="369"/>
      <c r="D299" s="1"/>
      <c r="E299" s="451" t="s">
        <v>100</v>
      </c>
      <c r="F299" s="6" t="s">
        <v>96</v>
      </c>
      <c r="G299" s="469">
        <v>41650</v>
      </c>
      <c r="H299" s="288"/>
      <c r="I299" s="366" t="s">
        <v>12</v>
      </c>
      <c r="J299" s="403"/>
      <c r="K299" s="15"/>
      <c r="L299" s="298"/>
      <c r="M299" s="374"/>
      <c r="N299" s="1"/>
      <c r="O299" s="451" t="s">
        <v>101</v>
      </c>
      <c r="P299" s="8"/>
      <c r="Q299" s="511" t="s">
        <v>102</v>
      </c>
      <c r="R299" s="346">
        <f>IF(OR($Q$35="Cost-Based",$Q$35="Neither",$Q$40="Tax Credit"),1,0)</f>
        <v>1</v>
      </c>
      <c r="S299" s="12" t="s">
        <v>12</v>
      </c>
      <c r="T299" s="1"/>
      <c r="U299" s="21"/>
      <c r="V299" s="1"/>
      <c r="W299" s="1"/>
      <c r="X299" s="1"/>
      <c r="Y299" s="1"/>
      <c r="Z299" s="1"/>
      <c r="AA299" s="1"/>
      <c r="AB299" s="246"/>
    </row>
    <row r="300" spans="2:28" ht="15.75">
      <c r="B300" s="11"/>
      <c r="C300" s="369"/>
      <c r="D300" s="1"/>
      <c r="E300" s="453" t="s">
        <v>103</v>
      </c>
      <c r="F300" s="6" t="s">
        <v>19</v>
      </c>
      <c r="G300" s="470">
        <v>0.02</v>
      </c>
      <c r="H300" s="270"/>
      <c r="I300" s="366" t="s">
        <v>12</v>
      </c>
      <c r="J300" s="403"/>
      <c r="K300" s="15"/>
      <c r="L300" s="298"/>
      <c r="M300" s="369"/>
      <c r="N300" s="1"/>
      <c r="O300" s="451" t="s">
        <v>68</v>
      </c>
      <c r="P300" s="55" t="s">
        <v>39</v>
      </c>
      <c r="Q300" s="512">
        <v>1.5</v>
      </c>
      <c r="R300" s="21"/>
      <c r="S300" s="12" t="s">
        <v>12</v>
      </c>
      <c r="T300" s="346"/>
      <c r="U300" s="679"/>
      <c r="V300" s="1"/>
      <c r="W300" s="1"/>
      <c r="X300" s="1"/>
      <c r="Y300" s="1"/>
      <c r="Z300" s="1"/>
      <c r="AA300" s="1"/>
      <c r="AB300" s="246"/>
    </row>
    <row r="301" spans="2:28" ht="16.5" thickBot="1">
      <c r="B301" s="11"/>
      <c r="C301" s="1"/>
      <c r="D301" s="1"/>
      <c r="E301" s="455"/>
      <c r="F301" s="466"/>
      <c r="G301" s="471"/>
      <c r="H301" s="275"/>
      <c r="I301" s="366" t="s">
        <v>12</v>
      </c>
      <c r="J301" s="246"/>
      <c r="K301" s="15"/>
      <c r="L301" s="298"/>
      <c r="M301" s="369"/>
      <c r="N301" s="1">
        <f>IF(OR(Q301&lt;0,Q301&gt;G270),1,0)</f>
        <v>0</v>
      </c>
      <c r="O301" s="451" t="s">
        <v>70</v>
      </c>
      <c r="P301" s="8" t="s">
        <v>71</v>
      </c>
      <c r="Q301" s="464">
        <v>10</v>
      </c>
      <c r="R301" s="21"/>
      <c r="S301" s="12" t="s">
        <v>12</v>
      </c>
      <c r="T301" s="1"/>
      <c r="U301" s="21"/>
      <c r="V301" s="1"/>
      <c r="W301" s="1"/>
      <c r="X301" s="1"/>
      <c r="Y301" s="1"/>
      <c r="Z301" s="1"/>
      <c r="AA301" s="1"/>
      <c r="AB301" s="246"/>
    </row>
    <row r="302" spans="2:28" ht="16.5" thickBot="1">
      <c r="B302" s="11"/>
      <c r="C302" s="327"/>
      <c r="D302" s="1"/>
      <c r="E302" s="1"/>
      <c r="F302" s="1"/>
      <c r="G302" s="1"/>
      <c r="H302" s="1"/>
      <c r="I302" s="17"/>
      <c r="J302" s="403"/>
      <c r="K302" s="15"/>
      <c r="L302" s="298"/>
      <c r="M302" s="369"/>
      <c r="N302" s="1"/>
      <c r="O302" s="451" t="s">
        <v>72</v>
      </c>
      <c r="P302" s="6" t="s">
        <v>19</v>
      </c>
      <c r="Q302" s="497">
        <v>0.02</v>
      </c>
      <c r="R302" s="15"/>
      <c r="S302" s="12" t="s">
        <v>12</v>
      </c>
      <c r="T302" s="346"/>
      <c r="U302" s="21"/>
      <c r="V302" s="1"/>
      <c r="W302" s="1"/>
      <c r="X302" s="1"/>
      <c r="Y302" s="1"/>
      <c r="Z302" s="1"/>
      <c r="AA302" s="1"/>
      <c r="AB302" s="246"/>
    </row>
    <row r="303" spans="2:28" ht="16.5" thickBot="1">
      <c r="B303" s="11"/>
      <c r="C303" s="327"/>
      <c r="D303" s="1"/>
      <c r="E303" s="5" t="s">
        <v>104</v>
      </c>
      <c r="F303" s="347" t="s">
        <v>6</v>
      </c>
      <c r="G303" s="411" t="s">
        <v>7</v>
      </c>
      <c r="H303" s="289"/>
      <c r="I303" s="17"/>
      <c r="J303" s="403"/>
      <c r="K303" s="15"/>
      <c r="L303" s="298"/>
      <c r="M303" s="369"/>
      <c r="N303" s="1">
        <f>IF(OR(Q303&lt;0,Q303&gt;1),1,0)</f>
        <v>0</v>
      </c>
      <c r="O303" s="455" t="s">
        <v>105</v>
      </c>
      <c r="P303" s="462" t="s">
        <v>19</v>
      </c>
      <c r="Q303" s="523">
        <v>1</v>
      </c>
      <c r="R303" s="15"/>
      <c r="S303" s="12" t="s">
        <v>12</v>
      </c>
      <c r="T303" s="21"/>
      <c r="U303" s="15"/>
      <c r="V303" s="1"/>
      <c r="W303" s="1"/>
      <c r="X303" s="1"/>
      <c r="Y303" s="1"/>
      <c r="Z303" s="1"/>
      <c r="AA303" s="1"/>
      <c r="AB303" s="246"/>
    </row>
    <row r="304" spans="2:28" ht="16.5" thickBot="1">
      <c r="B304" s="11"/>
      <c r="C304" s="372"/>
      <c r="D304" s="1"/>
      <c r="E304" s="463" t="s">
        <v>106</v>
      </c>
      <c r="F304" s="450" t="s">
        <v>107</v>
      </c>
      <c r="G304" s="556">
        <v>0</v>
      </c>
      <c r="H304" s="289"/>
      <c r="I304" s="12" t="s">
        <v>12</v>
      </c>
      <c r="J304" s="403"/>
      <c r="K304" s="15"/>
      <c r="L304" s="298"/>
      <c r="M304" s="15"/>
      <c r="N304" s="15"/>
      <c r="O304" s="524" t="s">
        <v>108</v>
      </c>
      <c r="P304" s="525"/>
      <c r="Q304" s="526" t="s">
        <v>76</v>
      </c>
      <c r="R304" s="15">
        <f>IF($Q$35="Neither",1,0)</f>
        <v>1</v>
      </c>
      <c r="S304" s="12" t="s">
        <v>12</v>
      </c>
      <c r="T304" s="21"/>
      <c r="U304" s="15"/>
      <c r="V304" s="1"/>
      <c r="W304" s="1"/>
      <c r="X304" s="1"/>
      <c r="Y304" s="1"/>
      <c r="Z304" s="1"/>
      <c r="AA304" s="1"/>
      <c r="AB304" s="246"/>
    </row>
    <row r="305" spans="2:28" ht="16.5" thickBot="1">
      <c r="B305" s="11"/>
      <c r="C305" s="372"/>
      <c r="D305" s="1"/>
      <c r="E305" s="474" t="s">
        <v>109</v>
      </c>
      <c r="F305" s="7" t="s">
        <v>19</v>
      </c>
      <c r="G305" s="548">
        <v>0</v>
      </c>
      <c r="H305" s="289"/>
      <c r="I305" s="12" t="s">
        <v>12</v>
      </c>
      <c r="J305" s="403"/>
      <c r="K305" s="15"/>
      <c r="L305" s="11"/>
      <c r="M305" s="1"/>
      <c r="N305" s="1"/>
      <c r="O305" s="415"/>
      <c r="P305" s="267"/>
      <c r="Q305" s="297"/>
      <c r="R305" s="1"/>
      <c r="S305" s="1"/>
      <c r="T305" s="1"/>
      <c r="U305" s="15"/>
      <c r="V305" s="1"/>
      <c r="W305" s="1"/>
      <c r="X305" s="1"/>
      <c r="Y305" s="1"/>
      <c r="Z305" s="1"/>
      <c r="AA305" s="1"/>
      <c r="AB305" s="246"/>
    </row>
    <row r="306" spans="2:28" ht="16.5" thickBot="1">
      <c r="B306" s="11"/>
      <c r="C306" s="327"/>
      <c r="D306" s="1"/>
      <c r="E306" s="465" t="s">
        <v>110</v>
      </c>
      <c r="F306" s="456" t="s">
        <v>47</v>
      </c>
      <c r="G306" s="471"/>
      <c r="H306" s="289"/>
      <c r="I306" s="12" t="s">
        <v>12</v>
      </c>
      <c r="J306" s="403"/>
      <c r="K306" s="15"/>
      <c r="L306" s="298"/>
      <c r="M306" s="369"/>
      <c r="N306" s="15"/>
      <c r="O306" s="515" t="s">
        <v>111</v>
      </c>
      <c r="P306" s="450" t="s">
        <v>47</v>
      </c>
      <c r="Q306" s="516">
        <v>0</v>
      </c>
      <c r="R306" s="1"/>
      <c r="S306" s="12" t="s">
        <v>12</v>
      </c>
      <c r="T306" s="15"/>
      <c r="U306" s="15"/>
      <c r="V306" s="1"/>
      <c r="W306" s="1"/>
      <c r="X306" s="1"/>
      <c r="Y306" s="1"/>
      <c r="Z306" s="1"/>
      <c r="AA306" s="1"/>
      <c r="AB306" s="246"/>
    </row>
    <row r="307" spans="2:28" ht="16.5" thickBot="1">
      <c r="B307" s="11"/>
      <c r="C307" s="1"/>
      <c r="D307" s="1"/>
      <c r="E307" s="1"/>
      <c r="F307" s="1"/>
      <c r="G307" s="182"/>
      <c r="H307" s="182"/>
      <c r="I307" s="17"/>
      <c r="J307" s="403"/>
      <c r="K307" s="15"/>
      <c r="L307" s="298"/>
      <c r="M307" s="374"/>
      <c r="N307" s="1"/>
      <c r="O307" s="455" t="s">
        <v>112</v>
      </c>
      <c r="P307" s="466"/>
      <c r="Q307" s="517" t="s">
        <v>83</v>
      </c>
      <c r="R307" s="21"/>
      <c r="S307" s="12" t="s">
        <v>12</v>
      </c>
      <c r="T307" s="15"/>
      <c r="U307" s="15"/>
      <c r="V307" s="1"/>
      <c r="W307" s="1"/>
      <c r="X307" s="1"/>
      <c r="Y307" s="1"/>
      <c r="Z307" s="1"/>
      <c r="AA307" s="1"/>
      <c r="AB307" s="246"/>
    </row>
    <row r="308" spans="2:28" ht="16.5" thickBot="1">
      <c r="B308" s="11"/>
      <c r="C308" s="327"/>
      <c r="D308" s="1"/>
      <c r="E308" s="480" t="s">
        <v>113</v>
      </c>
      <c r="F308" s="481" t="s">
        <v>6</v>
      </c>
      <c r="G308" s="482" t="s">
        <v>7</v>
      </c>
      <c r="H308" s="289"/>
      <c r="I308" s="405"/>
      <c r="J308" s="403"/>
      <c r="K308" s="15"/>
      <c r="L308" s="298"/>
      <c r="M308" s="1"/>
      <c r="N308" s="1"/>
      <c r="O308" s="1"/>
      <c r="P308" s="1"/>
      <c r="Q308" s="1"/>
      <c r="R308" s="1"/>
      <c r="S308" s="1"/>
      <c r="T308" s="15"/>
      <c r="U308" s="300"/>
      <c r="V308" s="1"/>
      <c r="W308" s="1"/>
      <c r="X308" s="1"/>
      <c r="Y308" s="1"/>
      <c r="Z308" s="1"/>
      <c r="AA308" s="1"/>
      <c r="AB308" s="246"/>
    </row>
    <row r="309" spans="2:28" ht="16.5" thickBot="1">
      <c r="B309" s="11"/>
      <c r="C309" s="369"/>
      <c r="D309" s="1">
        <f>IF(OR(G309="",G309&lt;0,G309&gt;1),1,0)</f>
        <v>0</v>
      </c>
      <c r="E309" s="449" t="s">
        <v>114</v>
      </c>
      <c r="F309" s="450" t="s">
        <v>19</v>
      </c>
      <c r="G309" s="476">
        <v>0.46499999999999997</v>
      </c>
      <c r="H309" s="290"/>
      <c r="I309" s="12" t="s">
        <v>12</v>
      </c>
      <c r="J309" s="404"/>
      <c r="K309" s="15"/>
      <c r="L309" s="298"/>
      <c r="M309" s="15"/>
      <c r="N309" s="15"/>
      <c r="O309" s="5" t="s">
        <v>115</v>
      </c>
      <c r="P309" s="22"/>
      <c r="Q309" s="411"/>
      <c r="R309" s="15"/>
      <c r="S309" s="15"/>
      <c r="T309" s="15"/>
      <c r="U309" s="15"/>
      <c r="V309" s="1"/>
      <c r="W309" s="1"/>
      <c r="X309" s="1"/>
      <c r="Y309" s="1"/>
      <c r="Z309" s="1"/>
      <c r="AA309" s="1"/>
      <c r="AB309" s="246"/>
    </row>
    <row r="310" spans="2:28" ht="15.75">
      <c r="B310" s="11"/>
      <c r="C310" s="369"/>
      <c r="D310" s="1">
        <f>IF(OR(G310&lt;=0,G310&gt;G270),1,0)</f>
        <v>0</v>
      </c>
      <c r="E310" s="451" t="s">
        <v>116</v>
      </c>
      <c r="F310" s="7" t="s">
        <v>14</v>
      </c>
      <c r="G310" s="464">
        <v>13</v>
      </c>
      <c r="H310" s="272"/>
      <c r="I310" s="12" t="s">
        <v>12</v>
      </c>
      <c r="J310" s="404"/>
      <c r="K310" s="15"/>
      <c r="L310" s="298"/>
      <c r="M310" s="375"/>
      <c r="N310" s="15">
        <f>IF(OR(Q310&lt;1,Q310&gt;$G$12),1,0)</f>
        <v>0</v>
      </c>
      <c r="O310" s="463" t="s">
        <v>117</v>
      </c>
      <c r="P310" s="459" t="s">
        <v>86</v>
      </c>
      <c r="Q310" s="556">
        <v>12</v>
      </c>
      <c r="R310" s="15"/>
      <c r="S310" s="12" t="s">
        <v>12</v>
      </c>
      <c r="T310" s="15"/>
      <c r="U310" s="15"/>
      <c r="V310" s="1"/>
      <c r="W310" s="1"/>
      <c r="X310" s="1"/>
      <c r="Y310" s="1"/>
      <c r="Z310" s="1"/>
      <c r="AA310" s="1"/>
      <c r="AB310" s="246"/>
    </row>
    <row r="311" spans="2:28" ht="16.5" thickBot="1">
      <c r="B311" s="11"/>
      <c r="C311" s="372"/>
      <c r="D311" s="1">
        <f>IF(OR(G311&lt;0,G311=""),1,0)</f>
        <v>0</v>
      </c>
      <c r="E311" s="451" t="s">
        <v>118</v>
      </c>
      <c r="F311" s="7" t="s">
        <v>19</v>
      </c>
      <c r="G311" s="485">
        <v>7.5975931558935353E-2</v>
      </c>
      <c r="H311" s="291"/>
      <c r="I311" s="12" t="s">
        <v>12</v>
      </c>
      <c r="J311" s="404"/>
      <c r="K311" s="15"/>
      <c r="L311" s="298"/>
      <c r="M311" s="326"/>
      <c r="N311" s="15"/>
      <c r="O311" s="465" t="s">
        <v>119</v>
      </c>
      <c r="P311" s="456" t="str">
        <f>$F$16</f>
        <v>$/kW</v>
      </c>
      <c r="Q311" s="531">
        <v>21</v>
      </c>
      <c r="R311" s="15"/>
      <c r="S311" s="12" t="s">
        <v>12</v>
      </c>
      <c r="T311" s="15"/>
      <c r="U311" s="15"/>
      <c r="V311" s="1"/>
      <c r="W311" s="1"/>
      <c r="X311" s="1"/>
      <c r="Y311" s="1"/>
      <c r="Z311" s="1"/>
      <c r="AA311" s="1"/>
      <c r="AB311" s="246"/>
    </row>
    <row r="312" spans="2:28" ht="16.5" thickBot="1">
      <c r="B312" s="11"/>
      <c r="C312" s="369"/>
      <c r="D312" s="1">
        <f>IF(OR(G312&lt;0,G312=""),1,0)</f>
        <v>0</v>
      </c>
      <c r="E312" s="486" t="s">
        <v>120</v>
      </c>
      <c r="F312" s="466" t="s">
        <v>19</v>
      </c>
      <c r="G312" s="487">
        <v>0.01</v>
      </c>
      <c r="H312" s="270"/>
      <c r="I312" s="12" t="s">
        <v>12</v>
      </c>
      <c r="J312" s="403"/>
      <c r="K312" s="15"/>
      <c r="L312" s="298"/>
      <c r="M312" s="375"/>
      <c r="N312" s="15">
        <f>IF(OR(Q312&lt;Q310,Q312&gt;$G$12),1,0)</f>
        <v>0</v>
      </c>
      <c r="O312" s="529" t="s">
        <v>121</v>
      </c>
      <c r="P312" s="24" t="s">
        <v>86</v>
      </c>
      <c r="Q312" s="530">
        <v>12</v>
      </c>
      <c r="R312" s="15"/>
      <c r="S312" s="12" t="s">
        <v>12</v>
      </c>
      <c r="T312" s="15"/>
      <c r="U312" s="15"/>
      <c r="V312" s="1"/>
      <c r="W312" s="1"/>
      <c r="X312" s="1"/>
      <c r="Y312" s="1"/>
      <c r="Z312" s="1"/>
      <c r="AA312" s="1"/>
      <c r="AB312" s="246"/>
    </row>
    <row r="313" spans="2:28" ht="16.5" thickBot="1">
      <c r="B313" s="11"/>
      <c r="C313" s="369"/>
      <c r="D313" s="1"/>
      <c r="E313" s="483" t="s">
        <v>122</v>
      </c>
      <c r="F313" s="24"/>
      <c r="G313" s="484">
        <v>1</v>
      </c>
      <c r="H313" s="279"/>
      <c r="I313" s="12" t="s">
        <v>12</v>
      </c>
      <c r="J313" s="403"/>
      <c r="K313" s="15"/>
      <c r="L313" s="298"/>
      <c r="M313" s="326"/>
      <c r="N313" s="15"/>
      <c r="O313" s="465" t="s">
        <v>123</v>
      </c>
      <c r="P313" s="456" t="str">
        <f>$F$16</f>
        <v>$/kW</v>
      </c>
      <c r="Q313" s="531">
        <v>0</v>
      </c>
      <c r="R313" s="15"/>
      <c r="S313" s="12" t="s">
        <v>12</v>
      </c>
      <c r="T313" s="15"/>
      <c r="U313" s="15"/>
      <c r="V313" s="1"/>
      <c r="W313" s="1"/>
      <c r="X313" s="1"/>
      <c r="Y313" s="1"/>
      <c r="Z313" s="1"/>
      <c r="AA313" s="1"/>
      <c r="AB313" s="246"/>
    </row>
    <row r="314" spans="2:28" ht="15.75">
      <c r="B314" s="11"/>
      <c r="C314" s="1"/>
      <c r="D314" s="1"/>
      <c r="E314" s="451" t="s">
        <v>124</v>
      </c>
      <c r="F314" s="248">
        <f>MAX('[2]Cash Flow'!G303:AJ303)</f>
        <v>0</v>
      </c>
      <c r="G314" s="477"/>
      <c r="H314" s="280"/>
      <c r="I314" s="12" t="s">
        <v>12</v>
      </c>
      <c r="J314" s="403"/>
      <c r="K314" s="15"/>
      <c r="L314" s="298"/>
      <c r="M314" s="375"/>
      <c r="N314" s="15">
        <f>IF(OR(Q314&lt;Q312,Q314&gt;$G$12),1,0)</f>
        <v>0</v>
      </c>
      <c r="O314" s="474" t="s">
        <v>125</v>
      </c>
      <c r="P314" s="8" t="s">
        <v>86</v>
      </c>
      <c r="Q314" s="530">
        <v>12</v>
      </c>
      <c r="R314" s="15"/>
      <c r="S314" s="12" t="s">
        <v>12</v>
      </c>
      <c r="T314" s="15"/>
      <c r="U314" s="15"/>
      <c r="V314" s="1"/>
      <c r="W314" s="1"/>
      <c r="X314" s="1"/>
      <c r="Y314" s="1"/>
      <c r="Z314" s="1"/>
      <c r="AA314" s="1"/>
      <c r="AB314" s="246"/>
    </row>
    <row r="315" spans="2:28" ht="16.5" thickBot="1">
      <c r="B315" s="11"/>
      <c r="C315" s="369"/>
      <c r="D315" s="1"/>
      <c r="E315" s="451" t="s">
        <v>126</v>
      </c>
      <c r="F315" s="8" t="s">
        <v>127</v>
      </c>
      <c r="G315" s="478"/>
      <c r="H315" s="406"/>
      <c r="I315" s="12" t="s">
        <v>12</v>
      </c>
      <c r="J315" s="404"/>
      <c r="K315" s="15"/>
      <c r="L315" s="298"/>
      <c r="M315" s="326"/>
      <c r="N315" s="15"/>
      <c r="O315" s="465" t="s">
        <v>128</v>
      </c>
      <c r="P315" s="456" t="str">
        <f>$F$16</f>
        <v>$/kW</v>
      </c>
      <c r="Q315" s="531">
        <v>0</v>
      </c>
      <c r="R315" s="15"/>
      <c r="S315" s="12" t="s">
        <v>12</v>
      </c>
      <c r="T315" s="1"/>
      <c r="U315" s="1"/>
      <c r="V315" s="1"/>
      <c r="W315" s="1"/>
      <c r="X315" s="1"/>
      <c r="Y315" s="1"/>
      <c r="Z315" s="1"/>
      <c r="AA315" s="1"/>
      <c r="AB315" s="246"/>
    </row>
    <row r="316" spans="2:28" ht="15.75">
      <c r="B316" s="11"/>
      <c r="C316" s="369"/>
      <c r="D316" s="1"/>
      <c r="E316" s="451" t="s">
        <v>129</v>
      </c>
      <c r="F316" s="8"/>
      <c r="G316" s="680">
        <v>1.25</v>
      </c>
      <c r="H316" s="279"/>
      <c r="I316" s="12" t="s">
        <v>12</v>
      </c>
      <c r="J316" s="403"/>
      <c r="K316" s="15"/>
      <c r="L316" s="298"/>
      <c r="M316" s="375"/>
      <c r="N316" s="15">
        <f>IF(OR(Q316&lt;Q314,Q316&gt;$G$12),1,0)</f>
        <v>0</v>
      </c>
      <c r="O316" s="474" t="s">
        <v>130</v>
      </c>
      <c r="P316" s="8" t="s">
        <v>86</v>
      </c>
      <c r="Q316" s="530">
        <v>12</v>
      </c>
      <c r="R316" s="15"/>
      <c r="S316" s="12" t="s">
        <v>12</v>
      </c>
      <c r="T316" s="1"/>
      <c r="U316" s="1"/>
      <c r="V316" s="1"/>
      <c r="W316" s="1"/>
      <c r="X316" s="1"/>
      <c r="Y316" s="1"/>
      <c r="Z316" s="1"/>
      <c r="AA316" s="1"/>
      <c r="AB316" s="246"/>
    </row>
    <row r="317" spans="2:28" ht="16.5" thickBot="1">
      <c r="B317" s="11"/>
      <c r="C317" s="1"/>
      <c r="D317" s="1"/>
      <c r="E317" s="451" t="s">
        <v>131</v>
      </c>
      <c r="F317" s="248"/>
      <c r="G317" s="477"/>
      <c r="H317" s="280"/>
      <c r="I317" s="12" t="s">
        <v>12</v>
      </c>
      <c r="J317" s="403"/>
      <c r="K317" s="15"/>
      <c r="L317" s="298"/>
      <c r="M317" s="326"/>
      <c r="N317" s="15"/>
      <c r="O317" s="465" t="s">
        <v>132</v>
      </c>
      <c r="P317" s="456" t="str">
        <f>$F$16</f>
        <v>$/kW</v>
      </c>
      <c r="Q317" s="531">
        <v>0</v>
      </c>
      <c r="R317" s="15"/>
      <c r="S317" s="12" t="s">
        <v>12</v>
      </c>
      <c r="T317" s="1"/>
      <c r="U317" s="1"/>
      <c r="V317" s="1"/>
      <c r="W317" s="1"/>
      <c r="X317" s="1"/>
      <c r="Y317" s="1"/>
      <c r="Z317" s="1"/>
      <c r="AA317" s="1"/>
      <c r="AB317" s="246"/>
    </row>
    <row r="318" spans="2:28" ht="16.5" thickBot="1">
      <c r="B318" s="11"/>
      <c r="C318" s="369"/>
      <c r="D318" s="1"/>
      <c r="E318" s="455" t="s">
        <v>133</v>
      </c>
      <c r="F318" s="456" t="s">
        <v>127</v>
      </c>
      <c r="G318" s="479"/>
      <c r="H318" s="406"/>
      <c r="I318" s="12" t="s">
        <v>12</v>
      </c>
      <c r="J318" s="403"/>
      <c r="K318" s="15"/>
      <c r="L318" s="298"/>
      <c r="M318" s="1"/>
      <c r="N318" s="1"/>
      <c r="O318" s="1"/>
      <c r="P318" s="1"/>
      <c r="Q318" s="1"/>
      <c r="R318" s="1"/>
      <c r="S318" s="1"/>
      <c r="T318" s="1"/>
      <c r="U318" s="1"/>
      <c r="V318" s="1"/>
      <c r="W318" s="1"/>
      <c r="X318" s="1"/>
      <c r="Y318" s="1"/>
      <c r="Z318" s="1"/>
      <c r="AA318" s="1"/>
      <c r="AB318" s="246"/>
    </row>
    <row r="319" spans="2:28" ht="16.5" thickBot="1">
      <c r="B319" s="11"/>
      <c r="C319" s="1"/>
      <c r="D319" s="1"/>
      <c r="E319" s="449" t="s">
        <v>134</v>
      </c>
      <c r="F319" s="450" t="s">
        <v>19</v>
      </c>
      <c r="G319" s="488"/>
      <c r="H319" s="292"/>
      <c r="I319" s="12" t="s">
        <v>12</v>
      </c>
      <c r="J319" s="403"/>
      <c r="K319" s="15"/>
      <c r="L319" s="298"/>
      <c r="M319" s="15"/>
      <c r="N319" s="15"/>
      <c r="O319" s="5" t="s">
        <v>135</v>
      </c>
      <c r="P319" s="347" t="s">
        <v>6</v>
      </c>
      <c r="Q319" s="411" t="s">
        <v>7</v>
      </c>
      <c r="R319" s="15"/>
      <c r="S319" s="15"/>
      <c r="T319" s="15"/>
      <c r="U319" s="15"/>
      <c r="V319" s="1"/>
      <c r="W319" s="1"/>
      <c r="X319" s="1"/>
      <c r="Y319" s="1"/>
      <c r="Z319" s="1"/>
      <c r="AA319" s="1"/>
      <c r="AB319" s="246"/>
    </row>
    <row r="320" spans="2:28" ht="16.5" thickBot="1">
      <c r="B320" s="11"/>
      <c r="C320" s="369"/>
      <c r="D320" s="1">
        <f>IF(OR(G320&lt;0,G320=""),1,0)</f>
        <v>0</v>
      </c>
      <c r="E320" s="489" t="s">
        <v>136</v>
      </c>
      <c r="F320" s="466" t="s">
        <v>19</v>
      </c>
      <c r="G320" s="722">
        <v>0.10299999999999998</v>
      </c>
      <c r="H320" s="291"/>
      <c r="I320" s="12" t="s">
        <v>12</v>
      </c>
      <c r="J320" s="403"/>
      <c r="K320" s="15"/>
      <c r="L320" s="298"/>
      <c r="M320" s="15"/>
      <c r="N320" s="15"/>
      <c r="O320" s="532" t="s">
        <v>137</v>
      </c>
      <c r="P320" s="533"/>
      <c r="Q320" s="534"/>
      <c r="R320" s="15"/>
      <c r="S320" s="15"/>
      <c r="T320" s="15"/>
      <c r="U320" s="1"/>
      <c r="V320" s="1"/>
      <c r="W320" s="1"/>
      <c r="X320" s="1"/>
      <c r="Y320" s="1"/>
      <c r="Z320" s="1"/>
      <c r="AA320" s="1"/>
      <c r="AB320" s="246"/>
    </row>
    <row r="321" spans="2:28" ht="15.75">
      <c r="B321" s="11"/>
      <c r="C321" s="1"/>
      <c r="D321" s="1"/>
      <c r="E321" s="449" t="s">
        <v>138</v>
      </c>
      <c r="F321" s="450" t="s">
        <v>19</v>
      </c>
      <c r="G321" s="681"/>
      <c r="H321" s="1"/>
      <c r="I321" s="12" t="s">
        <v>12</v>
      </c>
      <c r="J321" s="246"/>
      <c r="K321" s="15"/>
      <c r="L321" s="298"/>
      <c r="M321" s="374"/>
      <c r="N321" s="15"/>
      <c r="O321" s="535" t="s">
        <v>139</v>
      </c>
      <c r="P321" s="23"/>
      <c r="Q321" s="511" t="s">
        <v>140</v>
      </c>
      <c r="R321" s="15"/>
      <c r="S321" s="12" t="s">
        <v>12</v>
      </c>
      <c r="T321" s="15"/>
      <c r="U321" s="15"/>
      <c r="V321" s="1"/>
      <c r="W321" s="1"/>
      <c r="X321" s="1"/>
      <c r="Y321" s="1"/>
      <c r="Z321" s="1"/>
      <c r="AA321" s="1"/>
      <c r="AB321" s="246"/>
    </row>
    <row r="322" spans="2:28" ht="16.5" thickBot="1">
      <c r="B322" s="11"/>
      <c r="C322" s="369"/>
      <c r="D322" s="1"/>
      <c r="E322" s="486" t="s">
        <v>141</v>
      </c>
      <c r="F322" s="466" t="s">
        <v>47</v>
      </c>
      <c r="G322" s="490">
        <v>0</v>
      </c>
      <c r="H322" s="288"/>
      <c r="I322" s="12" t="s">
        <v>12</v>
      </c>
      <c r="J322" s="246"/>
      <c r="K322" s="15"/>
      <c r="L322" s="298"/>
      <c r="M322" s="375"/>
      <c r="N322" s="15"/>
      <c r="O322" s="465" t="s">
        <v>142</v>
      </c>
      <c r="P322" s="456" t="s">
        <v>47</v>
      </c>
      <c r="Q322" s="588">
        <v>0</v>
      </c>
      <c r="R322" s="15"/>
      <c r="S322" s="12" t="s">
        <v>12</v>
      </c>
      <c r="T322" s="15"/>
      <c r="U322" s="385"/>
      <c r="V322" s="1"/>
      <c r="W322" s="1"/>
      <c r="X322" s="1"/>
      <c r="Y322" s="1"/>
      <c r="Z322" s="1"/>
      <c r="AA322" s="1"/>
      <c r="AB322" s="246"/>
    </row>
    <row r="323" spans="2:28" ht="16.5" thickBot="1">
      <c r="B323" s="11"/>
      <c r="C323" s="1"/>
      <c r="D323" s="1"/>
      <c r="E323" s="1"/>
      <c r="F323" s="1"/>
      <c r="G323" s="1"/>
      <c r="H323" s="1"/>
      <c r="I323" s="1"/>
      <c r="J323" s="246"/>
      <c r="K323" s="15"/>
      <c r="L323" s="298"/>
      <c r="M323" s="1"/>
      <c r="N323" s="1"/>
      <c r="O323" s="1"/>
      <c r="P323" s="1"/>
      <c r="Q323" s="1"/>
      <c r="R323" s="1"/>
      <c r="S323" s="1"/>
      <c r="T323" s="1"/>
      <c r="U323" s="385"/>
      <c r="V323" s="1"/>
      <c r="W323" s="1"/>
      <c r="X323" s="1"/>
      <c r="Y323" s="1"/>
      <c r="Z323" s="1"/>
      <c r="AA323" s="1"/>
      <c r="AB323" s="246"/>
    </row>
    <row r="324" spans="2:28" ht="16.5" thickBot="1">
      <c r="B324" s="298"/>
      <c r="C324" s="1"/>
      <c r="D324" s="1"/>
      <c r="E324" s="314" t="s">
        <v>143</v>
      </c>
      <c r="F324" s="22"/>
      <c r="G324" s="315"/>
      <c r="H324" s="1"/>
      <c r="I324" s="1"/>
      <c r="J324" s="246"/>
      <c r="K324" s="1"/>
      <c r="L324" s="298"/>
      <c r="M324" s="15"/>
      <c r="N324" s="15"/>
      <c r="O324" s="5" t="s">
        <v>144</v>
      </c>
      <c r="P324" s="347" t="s">
        <v>6</v>
      </c>
      <c r="Q324" s="411" t="s">
        <v>7</v>
      </c>
      <c r="R324" s="15"/>
      <c r="S324" s="15"/>
      <c r="T324" s="15"/>
      <c r="U324" s="378"/>
      <c r="V324" s="1"/>
      <c r="W324" s="1"/>
      <c r="X324" s="1"/>
      <c r="Y324" s="1"/>
      <c r="Z324" s="1"/>
      <c r="AA324" s="1"/>
      <c r="AB324" s="246"/>
    </row>
    <row r="325" spans="2:28" ht="15.75">
      <c r="B325" s="298"/>
      <c r="C325" s="1"/>
      <c r="D325" s="1"/>
      <c r="E325" s="449" t="s">
        <v>145</v>
      </c>
      <c r="F325" s="574"/>
      <c r="G325" s="491"/>
      <c r="H325" s="1"/>
      <c r="I325" s="12" t="s">
        <v>12</v>
      </c>
      <c r="J325" s="246"/>
      <c r="K325" s="15"/>
      <c r="L325" s="298"/>
      <c r="M325" s="15"/>
      <c r="N325" s="15"/>
      <c r="O325" s="536" t="s">
        <v>146</v>
      </c>
      <c r="P325" s="527"/>
      <c r="Q325" s="528"/>
      <c r="R325" s="15"/>
      <c r="S325" s="15"/>
      <c r="T325" s="15"/>
      <c r="U325" s="15"/>
      <c r="V325" s="1"/>
      <c r="W325" s="1"/>
      <c r="X325" s="1"/>
      <c r="Y325" s="1"/>
      <c r="Z325" s="1"/>
      <c r="AA325" s="1"/>
      <c r="AB325" s="246"/>
    </row>
    <row r="326" spans="2:28" ht="15.75">
      <c r="B326" s="298"/>
      <c r="C326" s="1"/>
      <c r="D326" s="1"/>
      <c r="E326" s="451" t="s">
        <v>147</v>
      </c>
      <c r="F326" s="573"/>
      <c r="G326" s="467"/>
      <c r="H326" s="1"/>
      <c r="I326" s="12" t="s">
        <v>12</v>
      </c>
      <c r="J326" s="246"/>
      <c r="K326" s="1"/>
      <c r="L326" s="298"/>
      <c r="M326" s="375"/>
      <c r="N326" s="15"/>
      <c r="O326" s="451" t="s">
        <v>148</v>
      </c>
      <c r="P326" s="7" t="s">
        <v>107</v>
      </c>
      <c r="Q326" s="584">
        <v>0</v>
      </c>
      <c r="R326" s="15"/>
      <c r="S326" s="12" t="s">
        <v>12</v>
      </c>
      <c r="T326" s="15"/>
      <c r="U326" s="15"/>
      <c r="V326" s="1"/>
      <c r="W326" s="1"/>
      <c r="X326" s="1"/>
      <c r="Y326" s="1"/>
      <c r="Z326" s="1"/>
      <c r="AA326" s="1"/>
      <c r="AB326" s="246"/>
    </row>
    <row r="327" spans="2:28" ht="16.5" thickBot="1">
      <c r="B327" s="11"/>
      <c r="C327" s="1"/>
      <c r="D327" s="1"/>
      <c r="E327" s="492" t="s">
        <v>149</v>
      </c>
      <c r="F327" s="575"/>
      <c r="G327" s="493"/>
      <c r="H327" s="1"/>
      <c r="I327" s="12" t="s">
        <v>12</v>
      </c>
      <c r="J327" s="246"/>
      <c r="K327" s="1"/>
      <c r="L327" s="298"/>
      <c r="M327" s="15"/>
      <c r="N327" s="15"/>
      <c r="O327" s="455" t="s">
        <v>150</v>
      </c>
      <c r="P327" s="466" t="s">
        <v>47</v>
      </c>
      <c r="Q327" s="537"/>
      <c r="R327" s="15"/>
      <c r="S327" s="12" t="s">
        <v>12</v>
      </c>
      <c r="T327" s="15"/>
      <c r="U327" s="15"/>
      <c r="V327" s="1"/>
      <c r="W327" s="1"/>
      <c r="X327" s="1"/>
      <c r="Y327" s="1"/>
      <c r="Z327" s="1"/>
      <c r="AA327" s="1"/>
      <c r="AB327" s="246"/>
    </row>
    <row r="328" spans="2:28" ht="17.25" thickTop="1" thickBot="1">
      <c r="B328" s="298"/>
      <c r="C328" s="1"/>
      <c r="D328" s="1"/>
      <c r="E328" s="494" t="s">
        <v>44</v>
      </c>
      <c r="F328" s="462" t="s">
        <v>47</v>
      </c>
      <c r="G328" s="495"/>
      <c r="H328" s="1"/>
      <c r="I328" s="12" t="s">
        <v>12</v>
      </c>
      <c r="J328" s="246"/>
      <c r="K328" s="1"/>
      <c r="L328" s="298"/>
      <c r="M328" s="15"/>
      <c r="N328" s="15"/>
      <c r="O328" s="536" t="s">
        <v>151</v>
      </c>
      <c r="P328" s="527"/>
      <c r="Q328" s="538"/>
      <c r="R328" s="15"/>
      <c r="S328" s="15"/>
      <c r="T328" s="15"/>
      <c r="U328" s="15"/>
      <c r="V328" s="1"/>
      <c r="W328" s="1"/>
      <c r="X328" s="1"/>
      <c r="Y328" s="1"/>
      <c r="Z328" s="1"/>
      <c r="AA328" s="1"/>
      <c r="AB328" s="246"/>
    </row>
    <row r="329" spans="2:28" ht="16.5" thickBot="1">
      <c r="B329" s="11"/>
      <c r="C329" s="1"/>
      <c r="D329" s="1"/>
      <c r="E329" s="1"/>
      <c r="F329" s="1"/>
      <c r="G329" s="1"/>
      <c r="H329" s="1"/>
      <c r="I329" s="1"/>
      <c r="J329" s="246"/>
      <c r="K329" s="1"/>
      <c r="L329" s="298"/>
      <c r="M329" s="375"/>
      <c r="N329" s="15"/>
      <c r="O329" s="474" t="s">
        <v>152</v>
      </c>
      <c r="P329" s="7" t="s">
        <v>107</v>
      </c>
      <c r="Q329" s="584">
        <v>0</v>
      </c>
      <c r="R329" s="15"/>
      <c r="S329" s="12" t="s">
        <v>12</v>
      </c>
      <c r="T329" s="15"/>
      <c r="U329" s="1"/>
      <c r="V329" s="1"/>
      <c r="W329" s="1"/>
      <c r="X329" s="1"/>
      <c r="Y329" s="1"/>
      <c r="Z329" s="1"/>
      <c r="AA329" s="1"/>
      <c r="AB329" s="246"/>
    </row>
    <row r="330" spans="2:28" ht="16.5" thickBot="1">
      <c r="B330" s="11"/>
      <c r="C330" s="1"/>
      <c r="D330" s="1"/>
      <c r="E330" s="5" t="s">
        <v>153</v>
      </c>
      <c r="F330" s="347" t="s">
        <v>6</v>
      </c>
      <c r="G330" s="411" t="s">
        <v>7</v>
      </c>
      <c r="H330" s="293"/>
      <c r="I330" s="17"/>
      <c r="J330" s="246"/>
      <c r="K330" s="1"/>
      <c r="L330" s="298"/>
      <c r="M330" s="15"/>
      <c r="N330" s="15"/>
      <c r="O330" s="465" t="s">
        <v>154</v>
      </c>
      <c r="P330" s="466" t="s">
        <v>47</v>
      </c>
      <c r="Q330" s="537"/>
      <c r="R330" s="15"/>
      <c r="S330" s="12" t="s">
        <v>12</v>
      </c>
      <c r="T330" s="15"/>
      <c r="U330" s="15"/>
      <c r="V330" s="1"/>
      <c r="W330" s="1"/>
      <c r="X330" s="1"/>
      <c r="Y330" s="1"/>
      <c r="Z330" s="1"/>
      <c r="AA330" s="1"/>
      <c r="AB330" s="246"/>
    </row>
    <row r="331" spans="2:28" ht="16.5" thickBot="1">
      <c r="B331" s="11"/>
      <c r="C331" s="373"/>
      <c r="D331" s="1"/>
      <c r="E331" s="438" t="s">
        <v>155</v>
      </c>
      <c r="F331" s="525"/>
      <c r="G331" s="547" t="s">
        <v>83</v>
      </c>
      <c r="H331" s="282"/>
      <c r="I331" s="12" t="s">
        <v>12</v>
      </c>
      <c r="J331" s="246"/>
      <c r="K331" s="1"/>
      <c r="L331" s="298"/>
      <c r="M331" s="375"/>
      <c r="N331" s="15"/>
      <c r="O331" s="540" t="s">
        <v>156</v>
      </c>
      <c r="P331" s="439" t="s">
        <v>19</v>
      </c>
      <c r="Q331" s="539">
        <v>0.02</v>
      </c>
      <c r="R331" s="15"/>
      <c r="S331" s="12" t="s">
        <v>12</v>
      </c>
      <c r="T331" s="15"/>
      <c r="U331" s="1"/>
      <c r="V331" s="1"/>
      <c r="W331" s="1"/>
      <c r="X331" s="1"/>
      <c r="Y331" s="1"/>
      <c r="Z331" s="1"/>
      <c r="AA331" s="1"/>
      <c r="AB331" s="246"/>
    </row>
    <row r="332" spans="2:28" ht="16.5" thickBot="1">
      <c r="B332" s="11"/>
      <c r="C332" s="369"/>
      <c r="D332" s="1">
        <f>IF(OR(G332&lt;0,G332=""),1,0)</f>
        <v>0</v>
      </c>
      <c r="E332" s="458" t="s">
        <v>157</v>
      </c>
      <c r="F332" s="450" t="s">
        <v>19</v>
      </c>
      <c r="G332" s="548">
        <v>0.21</v>
      </c>
      <c r="H332" s="270"/>
      <c r="I332" s="12" t="s">
        <v>12</v>
      </c>
      <c r="J332" s="403"/>
      <c r="K332" s="1"/>
      <c r="L332" s="11"/>
      <c r="M332" s="1"/>
      <c r="N332" s="1"/>
      <c r="O332" s="1"/>
      <c r="P332" s="1"/>
      <c r="Q332" s="1"/>
      <c r="R332" s="1"/>
      <c r="S332" s="1"/>
      <c r="T332" s="1"/>
      <c r="U332" s="1"/>
      <c r="V332" s="1"/>
      <c r="W332" s="1"/>
      <c r="X332" s="1"/>
      <c r="Y332" s="1"/>
      <c r="Z332" s="1"/>
      <c r="AA332" s="1"/>
      <c r="AB332" s="246"/>
    </row>
    <row r="333" spans="2:28" ht="16.5" thickBot="1">
      <c r="B333" s="11"/>
      <c r="C333" s="373"/>
      <c r="D333" s="1"/>
      <c r="E333" s="513" t="s">
        <v>75</v>
      </c>
      <c r="F333" s="549"/>
      <c r="G333" s="517" t="s">
        <v>76</v>
      </c>
      <c r="H333" s="282"/>
      <c r="I333" s="12" t="s">
        <v>12</v>
      </c>
      <c r="J333" s="246"/>
      <c r="K333" s="1"/>
      <c r="L333" s="11"/>
      <c r="M333" s="15"/>
      <c r="N333" s="15"/>
      <c r="O333" s="348" t="s">
        <v>158</v>
      </c>
      <c r="P333" s="432" t="s">
        <v>159</v>
      </c>
      <c r="Q333" s="432"/>
      <c r="R333" s="432"/>
      <c r="S333" s="432"/>
      <c r="T333" s="432"/>
      <c r="U333" s="432"/>
      <c r="V333" s="432"/>
      <c r="W333" s="432"/>
      <c r="X333" s="432"/>
      <c r="Y333" s="432"/>
      <c r="Z333" s="315"/>
      <c r="AA333" s="1"/>
      <c r="AB333" s="246"/>
    </row>
    <row r="334" spans="2:28" ht="15.75">
      <c r="B334" s="11"/>
      <c r="C334" s="369"/>
      <c r="D334" s="1">
        <f>IF(OR(G334&lt;0,G334=""),1,0)</f>
        <v>0</v>
      </c>
      <c r="E334" s="458" t="s">
        <v>160</v>
      </c>
      <c r="F334" s="450" t="s">
        <v>19</v>
      </c>
      <c r="G334" s="682">
        <v>0.09</v>
      </c>
      <c r="H334" s="270"/>
      <c r="I334" s="12" t="s">
        <v>12</v>
      </c>
      <c r="J334" s="403"/>
      <c r="K334" s="1"/>
      <c r="L334" s="11"/>
      <c r="M334" s="373"/>
      <c r="N334" s="15"/>
      <c r="O334" s="515" t="s">
        <v>161</v>
      </c>
      <c r="P334" s="496" t="str">
        <f>[2]Input_Dashboard!$D$141</f>
        <v>No</v>
      </c>
      <c r="Q334" s="1"/>
      <c r="R334" s="1"/>
      <c r="S334" s="419" t="s">
        <v>12</v>
      </c>
      <c r="T334" s="1"/>
      <c r="U334" s="1"/>
      <c r="V334" s="1"/>
      <c r="W334" s="1"/>
      <c r="X334" s="1"/>
      <c r="Y334" s="1"/>
      <c r="Z334" s="246"/>
      <c r="AA334" s="1"/>
      <c r="AB334" s="246"/>
    </row>
    <row r="335" spans="2:28" ht="16.5" thickBot="1">
      <c r="B335" s="11"/>
      <c r="C335" s="373"/>
      <c r="D335" s="1"/>
      <c r="E335" s="513" t="s">
        <v>162</v>
      </c>
      <c r="F335" s="549"/>
      <c r="G335" s="517" t="s">
        <v>76</v>
      </c>
      <c r="H335" s="282"/>
      <c r="I335" s="12" t="s">
        <v>12</v>
      </c>
      <c r="J335" s="403"/>
      <c r="K335" s="1"/>
      <c r="L335" s="11"/>
      <c r="M335" s="375"/>
      <c r="N335" s="1"/>
      <c r="O335" s="455" t="s">
        <v>163</v>
      </c>
      <c r="P335" s="683">
        <f>[2]Input_Dashboard!D400</f>
        <v>0</v>
      </c>
      <c r="Q335" s="1"/>
      <c r="R335" s="1"/>
      <c r="S335" s="12" t="s">
        <v>12</v>
      </c>
      <c r="T335" s="1"/>
      <c r="U335" s="1"/>
      <c r="V335" s="1"/>
      <c r="W335" s="1"/>
      <c r="X335" s="1"/>
      <c r="Y335" s="1"/>
      <c r="Z335" s="246"/>
      <c r="AA335" s="1"/>
      <c r="AB335" s="246"/>
    </row>
    <row r="336" spans="2:28" ht="16.5" thickBot="1">
      <c r="B336" s="11"/>
      <c r="C336" s="1"/>
      <c r="D336" s="1"/>
      <c r="E336" s="550" t="s">
        <v>164</v>
      </c>
      <c r="F336" s="551" t="s">
        <v>19</v>
      </c>
      <c r="G336" s="552"/>
      <c r="H336" s="295"/>
      <c r="I336" s="12" t="s">
        <v>12</v>
      </c>
      <c r="J336" s="403"/>
      <c r="K336" s="1"/>
      <c r="L336" s="11"/>
      <c r="M336" s="1"/>
      <c r="N336" s="1"/>
      <c r="O336" s="296"/>
      <c r="P336" s="40"/>
      <c r="Q336" s="40"/>
      <c r="R336" s="40"/>
      <c r="S336" s="40"/>
      <c r="T336" s="40"/>
      <c r="U336" s="40"/>
      <c r="V336" s="40"/>
      <c r="W336" s="40"/>
      <c r="X336" s="40"/>
      <c r="Y336" s="40"/>
      <c r="Z336" s="305"/>
      <c r="AA336" s="1"/>
      <c r="AB336" s="246"/>
    </row>
    <row r="337" spans="2:28" ht="16.5" thickBot="1">
      <c r="B337" s="11"/>
      <c r="C337" s="1"/>
      <c r="D337" s="1"/>
      <c r="E337" s="455" t="s">
        <v>158</v>
      </c>
      <c r="F337" s="498"/>
      <c r="G337" s="499" t="s">
        <v>165</v>
      </c>
      <c r="H337" s="55"/>
      <c r="I337" s="12" t="s">
        <v>12</v>
      </c>
      <c r="J337" s="246"/>
      <c r="K337" s="1"/>
      <c r="L337" s="11"/>
      <c r="M337" s="15"/>
      <c r="N337" s="15"/>
      <c r="O337" s="542" t="s">
        <v>166</v>
      </c>
      <c r="P337" s="543" t="s">
        <v>167</v>
      </c>
      <c r="Q337" s="648" t="s">
        <v>168</v>
      </c>
      <c r="R337" s="775" t="s">
        <v>169</v>
      </c>
      <c r="S337" s="776"/>
      <c r="T337" s="777"/>
      <c r="U337" s="543" t="s">
        <v>170</v>
      </c>
      <c r="V337" s="543" t="s">
        <v>171</v>
      </c>
      <c r="W337" s="543" t="s">
        <v>172</v>
      </c>
      <c r="X337" s="543" t="s">
        <v>173</v>
      </c>
      <c r="Y337" s="543" t="s">
        <v>174</v>
      </c>
      <c r="Z337" s="544" t="s">
        <v>175</v>
      </c>
      <c r="AA337" s="1"/>
      <c r="AB337" s="246"/>
    </row>
    <row r="338" spans="2:28" ht="16.5" thickBot="1">
      <c r="B338" s="11"/>
      <c r="C338" s="1"/>
      <c r="D338" s="1"/>
      <c r="E338" s="1"/>
      <c r="F338" s="1"/>
      <c r="G338" s="1"/>
      <c r="H338" s="1"/>
      <c r="I338" s="1"/>
      <c r="J338" s="246"/>
      <c r="K338" s="1"/>
      <c r="L338" s="11">
        <f>IF(AND($G$73="Yes",$G$15="Simple"),1,0)</f>
        <v>0</v>
      </c>
      <c r="M338" s="15"/>
      <c r="N338" s="230">
        <f>IF(AND($G$15="Simple",SUM(P338:Z338)=1),1,IF(AND($G$15="Simple",SUM(P338:Z338)&lt;&gt;1),2,0))</f>
        <v>0</v>
      </c>
      <c r="O338" s="545" t="str">
        <f t="shared" ref="O338:O343" si="3">E274</f>
        <v>Total Installed Cost</v>
      </c>
      <c r="P338" s="590">
        <v>0.94</v>
      </c>
      <c r="Q338" s="649">
        <v>0</v>
      </c>
      <c r="R338" s="778">
        <v>1.4999999999999999E-2</v>
      </c>
      <c r="S338" s="779"/>
      <c r="T338" s="780"/>
      <c r="U338" s="590">
        <v>0.01</v>
      </c>
      <c r="V338" s="590">
        <v>0</v>
      </c>
      <c r="W338" s="590">
        <v>0</v>
      </c>
      <c r="X338" s="590">
        <v>0.01</v>
      </c>
      <c r="Y338" s="590">
        <v>0</v>
      </c>
      <c r="Z338" s="593">
        <v>2.5000000000000001E-2</v>
      </c>
      <c r="AA338" s="1"/>
      <c r="AB338" s="294" t="s">
        <v>12</v>
      </c>
    </row>
    <row r="339" spans="2:28" ht="16.5" thickBot="1">
      <c r="B339" s="296"/>
      <c r="C339" s="40"/>
      <c r="D339" s="40"/>
      <c r="E339" s="40"/>
      <c r="F339" s="40"/>
      <c r="G339" s="40"/>
      <c r="H339" s="40"/>
      <c r="I339" s="40"/>
      <c r="J339" s="305"/>
      <c r="K339" s="1"/>
      <c r="L339" s="11">
        <f>IF(AND($G$73="Yes",$G$15="Intermediate"),1,0)</f>
        <v>1</v>
      </c>
      <c r="M339" s="15"/>
      <c r="N339" s="230">
        <f>IF(AND($G$15="Intermediate",SUM(P339:Z339)=1),1,IF(AND($G$15="Intermediate",SUM(P339:Z339)&lt;&gt;1),2,0))</f>
        <v>1</v>
      </c>
      <c r="O339" s="595" t="str">
        <f t="shared" si="3"/>
        <v>Generation Equipment</v>
      </c>
      <c r="P339" s="723">
        <v>0.96</v>
      </c>
      <c r="Q339" s="724">
        <v>0</v>
      </c>
      <c r="R339" s="781">
        <v>0.02</v>
      </c>
      <c r="S339" s="782"/>
      <c r="T339" s="783"/>
      <c r="U339" s="725">
        <v>0</v>
      </c>
      <c r="V339" s="725">
        <v>0</v>
      </c>
      <c r="W339" s="725">
        <v>0</v>
      </c>
      <c r="X339" s="725">
        <v>0.02</v>
      </c>
      <c r="Y339" s="725">
        <v>0</v>
      </c>
      <c r="Z339" s="726">
        <v>0</v>
      </c>
      <c r="AA339" s="1"/>
      <c r="AB339" s="294" t="s">
        <v>12</v>
      </c>
    </row>
    <row r="340" spans="2:28" ht="15.75">
      <c r="B340" s="1"/>
      <c r="C340" s="1"/>
      <c r="D340" s="1"/>
      <c r="E340" s="1"/>
      <c r="F340" s="1"/>
      <c r="G340" s="1"/>
      <c r="H340" s="1"/>
      <c r="I340" s="1"/>
      <c r="J340" s="1"/>
      <c r="K340" s="1"/>
      <c r="L340" s="11">
        <f>IF(AND($G$73="Yes",$G$15="Intermediate"),1,0)</f>
        <v>1</v>
      </c>
      <c r="M340" s="15"/>
      <c r="N340" s="230">
        <f>IF(AND($G$15="Intermediate",SUM(P340:Z340)=1),1,IF(AND($G$15="Intermediate",SUM(P340:Z340)&lt;&gt;1),2,0))</f>
        <v>1</v>
      </c>
      <c r="O340" s="596" t="str">
        <f t="shared" si="3"/>
        <v>Balance of Plant</v>
      </c>
      <c r="P340" s="723">
        <v>0.5</v>
      </c>
      <c r="Q340" s="724">
        <v>0</v>
      </c>
      <c r="R340" s="784">
        <v>0</v>
      </c>
      <c r="S340" s="785"/>
      <c r="T340" s="786"/>
      <c r="U340" s="724">
        <v>0</v>
      </c>
      <c r="V340" s="724">
        <v>0</v>
      </c>
      <c r="W340" s="724">
        <v>0.5</v>
      </c>
      <c r="X340" s="724">
        <v>0</v>
      </c>
      <c r="Y340" s="724">
        <v>0</v>
      </c>
      <c r="Z340" s="727">
        <v>0</v>
      </c>
      <c r="AA340" s="1"/>
      <c r="AB340" s="294" t="s">
        <v>12</v>
      </c>
    </row>
    <row r="341" spans="2:28" ht="15.75">
      <c r="B341" s="1"/>
      <c r="C341" s="1"/>
      <c r="D341" s="1"/>
      <c r="E341" s="1"/>
      <c r="F341" s="1"/>
      <c r="G341" s="1"/>
      <c r="H341" s="1"/>
      <c r="I341" s="1"/>
      <c r="J341" s="1"/>
      <c r="K341" s="1"/>
      <c r="L341" s="11">
        <f>IF(AND($G$73="Yes",$G$15="Intermediate"),1,0)</f>
        <v>1</v>
      </c>
      <c r="M341" s="15"/>
      <c r="N341" s="230">
        <f>IF(AND($G$15="Intermediate",SUM(P341:Z341)=1),1,IF(AND($G$15="Intermediate",SUM(P341:Z341)&lt;&gt;1),2,0))</f>
        <v>1</v>
      </c>
      <c r="O341" s="596" t="str">
        <f t="shared" si="3"/>
        <v>Interconnection</v>
      </c>
      <c r="P341" s="723">
        <v>0</v>
      </c>
      <c r="Q341" s="724">
        <v>0</v>
      </c>
      <c r="R341" s="784">
        <v>0</v>
      </c>
      <c r="S341" s="785"/>
      <c r="T341" s="786"/>
      <c r="U341" s="724">
        <v>0</v>
      </c>
      <c r="V341" s="724">
        <v>0</v>
      </c>
      <c r="W341" s="724">
        <v>1</v>
      </c>
      <c r="X341" s="724">
        <v>0</v>
      </c>
      <c r="Y341" s="724">
        <v>0</v>
      </c>
      <c r="Z341" s="727">
        <v>0</v>
      </c>
      <c r="AA341" s="1"/>
      <c r="AB341" s="294" t="s">
        <v>12</v>
      </c>
    </row>
    <row r="342" spans="2:28" ht="15.75">
      <c r="B342" s="1"/>
      <c r="C342" s="1"/>
      <c r="D342" s="1"/>
      <c r="E342" s="1"/>
      <c r="F342" s="1"/>
      <c r="G342" s="1"/>
      <c r="H342" s="1"/>
      <c r="I342" s="1"/>
      <c r="J342" s="1"/>
      <c r="K342" s="1"/>
      <c r="L342" s="11">
        <f>IF(AND($G$73="Yes",$G$15="Intermediate"),1,0)</f>
        <v>1</v>
      </c>
      <c r="M342" s="15"/>
      <c r="N342" s="230">
        <f>IF(AND($G$15="Intermediate",SUM(P342:Z342)=1),1,IF(AND($G$15="Intermediate",SUM(P342:Z342)&lt;&gt;1),2,0))</f>
        <v>1</v>
      </c>
      <c r="O342" s="596" t="str">
        <f t="shared" si="3"/>
        <v>Development Costs &amp; Fee</v>
      </c>
      <c r="P342" s="723">
        <v>0.8</v>
      </c>
      <c r="Q342" s="724">
        <v>0</v>
      </c>
      <c r="R342" s="784">
        <v>0</v>
      </c>
      <c r="S342" s="785"/>
      <c r="T342" s="786"/>
      <c r="U342" s="724">
        <v>0</v>
      </c>
      <c r="V342" s="724">
        <v>0</v>
      </c>
      <c r="W342" s="724">
        <v>0.05</v>
      </c>
      <c r="X342" s="724">
        <v>0.05</v>
      </c>
      <c r="Y342" s="724">
        <v>0</v>
      </c>
      <c r="Z342" s="727">
        <v>0.1</v>
      </c>
      <c r="AA342" s="1"/>
      <c r="AB342" s="294" t="s">
        <v>12</v>
      </c>
    </row>
    <row r="343" spans="2:28" ht="16.5" thickBot="1">
      <c r="B343" s="1"/>
      <c r="C343" s="1"/>
      <c r="D343" s="1"/>
      <c r="E343" s="1"/>
      <c r="F343" s="1"/>
      <c r="G343" s="1"/>
      <c r="H343" s="1"/>
      <c r="I343" s="1"/>
      <c r="J343" s="1"/>
      <c r="K343" s="1"/>
      <c r="L343" s="11">
        <f>IF(AND($G$73="Yes",$G$15="Intermediate"),1,0)</f>
        <v>1</v>
      </c>
      <c r="M343" s="15"/>
      <c r="N343" s="230">
        <f>IF(AND($G$15="Intermediate",SUM(P343:Z343)=1),1,IF(AND($G$15="Intermediate",SUM(P343:Z343)&lt;&gt;1),2,0))</f>
        <v>1</v>
      </c>
      <c r="O343" s="597" t="str">
        <f t="shared" si="3"/>
        <v>Reserves &amp; Financing Costs</v>
      </c>
      <c r="P343" s="728">
        <v>0</v>
      </c>
      <c r="Q343" s="729">
        <v>0</v>
      </c>
      <c r="R343" s="766">
        <v>0</v>
      </c>
      <c r="S343" s="767"/>
      <c r="T343" s="768"/>
      <c r="U343" s="729">
        <v>0</v>
      </c>
      <c r="V343" s="729">
        <v>0</v>
      </c>
      <c r="W343" s="729">
        <v>0</v>
      </c>
      <c r="X343" s="729">
        <v>0.5</v>
      </c>
      <c r="Y343" s="729">
        <v>0</v>
      </c>
      <c r="Z343" s="730">
        <v>0.5</v>
      </c>
      <c r="AA343" s="1"/>
      <c r="AB343" s="294" t="s">
        <v>12</v>
      </c>
    </row>
    <row r="344" spans="2:28" ht="16.5" thickBot="1">
      <c r="B344" s="1"/>
      <c r="C344" s="1"/>
      <c r="D344" s="1"/>
      <c r="E344" s="1"/>
      <c r="F344" s="1"/>
      <c r="G344" s="1"/>
      <c r="H344" s="1"/>
      <c r="I344" s="1"/>
      <c r="J344" s="1"/>
      <c r="K344" s="1"/>
      <c r="L344" s="296">
        <f>IF(AND($G$73="Yes",$G$15="Complex"),1,0)</f>
        <v>0</v>
      </c>
      <c r="M344" s="647"/>
      <c r="N344" s="647"/>
      <c r="O344" s="546" t="s">
        <v>176</v>
      </c>
      <c r="P344" s="591"/>
      <c r="Q344" s="592"/>
      <c r="R344" s="769"/>
      <c r="S344" s="770"/>
      <c r="T344" s="771"/>
      <c r="U344" s="591"/>
      <c r="V344" s="591"/>
      <c r="W344" s="591"/>
      <c r="X344" s="591"/>
      <c r="Y344" s="591"/>
      <c r="Z344" s="594"/>
      <c r="AA344" s="40"/>
      <c r="AB344" s="421" t="s">
        <v>12</v>
      </c>
    </row>
    <row r="346" spans="2:28" ht="36.75" thickBot="1">
      <c r="E346" s="731" t="s">
        <v>180</v>
      </c>
    </row>
    <row r="347" spans="2:28" ht="18.75" thickBot="1">
      <c r="B347" s="413"/>
      <c r="C347" s="772" t="s">
        <v>1</v>
      </c>
      <c r="D347" s="772"/>
      <c r="E347" s="772"/>
      <c r="F347" s="772"/>
      <c r="G347" s="772"/>
      <c r="H347" s="772"/>
      <c r="I347" s="772"/>
      <c r="J347" s="772"/>
      <c r="K347" s="772"/>
      <c r="L347" s="773"/>
      <c r="M347" s="773"/>
      <c r="N347" s="773"/>
      <c r="O347" s="773"/>
      <c r="P347" s="773"/>
      <c r="Q347" s="773"/>
      <c r="R347" s="773"/>
      <c r="S347" s="773"/>
      <c r="T347" s="773"/>
      <c r="U347" s="328"/>
      <c r="V347" s="329"/>
      <c r="W347" s="329"/>
      <c r="X347" s="329"/>
      <c r="Y347" s="329"/>
      <c r="Z347" s="329"/>
      <c r="AA347" s="329"/>
      <c r="AB347" s="330"/>
    </row>
    <row r="348" spans="2:28" ht="18">
      <c r="B348" s="11"/>
      <c r="C348" s="266"/>
      <c r="D348" s="266"/>
      <c r="E348" s="266"/>
      <c r="F348" s="266"/>
      <c r="G348" s="266"/>
      <c r="H348" s="266"/>
      <c r="I348" s="266"/>
      <c r="J348" s="266"/>
      <c r="K348" s="341"/>
      <c r="L348" s="265"/>
      <c r="M348" s="266"/>
      <c r="N348" s="266"/>
      <c r="O348" s="266"/>
      <c r="P348" s="266"/>
      <c r="Q348" s="266"/>
      <c r="R348" s="266"/>
      <c r="S348" s="266"/>
      <c r="T348" s="266"/>
      <c r="U348" s="266"/>
      <c r="V348" s="267"/>
      <c r="W348" s="267"/>
      <c r="X348" s="267"/>
      <c r="Y348" s="267"/>
      <c r="Z348" s="267"/>
      <c r="AA348" s="267"/>
      <c r="AB348" s="297"/>
    </row>
    <row r="349" spans="2:28" ht="18.75" thickBot="1">
      <c r="B349" s="11"/>
      <c r="C349" s="401" t="s">
        <v>2</v>
      </c>
      <c r="D349" s="14"/>
      <c r="E349" s="1"/>
      <c r="F349" s="15"/>
      <c r="G349" s="1"/>
      <c r="H349" s="392"/>
      <c r="I349" s="414" t="s">
        <v>3</v>
      </c>
      <c r="J349" s="1"/>
      <c r="K349" s="342"/>
      <c r="L349" s="298"/>
      <c r="M349" s="401" t="s">
        <v>2</v>
      </c>
      <c r="N349" s="15"/>
      <c r="O349" s="774" t="s">
        <v>4</v>
      </c>
      <c r="P349" s="774"/>
      <c r="Q349" s="420"/>
      <c r="R349" s="15"/>
      <c r="S349" s="401" t="s">
        <v>3</v>
      </c>
      <c r="T349" s="393"/>
      <c r="U349" s="14"/>
      <c r="V349" s="1"/>
      <c r="W349" s="1"/>
      <c r="X349" s="1"/>
      <c r="Y349" s="1"/>
      <c r="Z349" s="1"/>
      <c r="AA349" s="1"/>
      <c r="AB349" s="246"/>
    </row>
    <row r="350" spans="2:28" ht="18.75" thickBot="1">
      <c r="B350" s="415"/>
      <c r="C350" s="267"/>
      <c r="D350" s="267"/>
      <c r="E350" s="20"/>
      <c r="F350" s="16"/>
      <c r="G350" s="19"/>
      <c r="H350" s="416"/>
      <c r="I350" s="417"/>
      <c r="J350" s="418"/>
      <c r="K350" s="15"/>
      <c r="L350" s="415"/>
      <c r="M350" s="267"/>
      <c r="N350" s="267"/>
      <c r="O350" s="267"/>
      <c r="P350" s="267"/>
      <c r="Q350" s="267"/>
      <c r="R350" s="267"/>
      <c r="S350" s="267"/>
      <c r="T350" s="267"/>
      <c r="U350" s="267"/>
      <c r="V350" s="267"/>
      <c r="W350" s="267"/>
      <c r="X350" s="267"/>
      <c r="Y350" s="267"/>
      <c r="Z350" s="267"/>
      <c r="AA350" s="267"/>
      <c r="AB350" s="297"/>
    </row>
    <row r="351" spans="2:28" ht="21" thickBot="1">
      <c r="B351" s="11"/>
      <c r="C351" s="1"/>
      <c r="D351" s="1"/>
      <c r="E351" s="2" t="s">
        <v>5</v>
      </c>
      <c r="F351" s="347" t="s">
        <v>6</v>
      </c>
      <c r="G351" s="411" t="s">
        <v>7</v>
      </c>
      <c r="H351" s="57"/>
      <c r="I351" s="17"/>
      <c r="J351" s="402"/>
      <c r="K351" s="15"/>
      <c r="L351" s="11"/>
      <c r="M351" s="1"/>
      <c r="N351" s="1"/>
      <c r="O351" s="2" t="s">
        <v>8</v>
      </c>
      <c r="P351" s="347" t="s">
        <v>6</v>
      </c>
      <c r="Q351" s="411" t="s">
        <v>7</v>
      </c>
      <c r="R351" s="1"/>
      <c r="S351" s="1"/>
      <c r="T351" s="1"/>
      <c r="U351" s="645" t="s">
        <v>9</v>
      </c>
      <c r="V351" s="1"/>
      <c r="W351" s="1"/>
      <c r="X351" s="1"/>
      <c r="Y351" s="1"/>
      <c r="Z351" s="1"/>
      <c r="AA351" s="1"/>
      <c r="AB351" s="246"/>
    </row>
    <row r="352" spans="2:28" ht="15.75">
      <c r="B352" s="11"/>
      <c r="C352" s="317"/>
      <c r="D352" s="1"/>
      <c r="E352" s="458" t="s">
        <v>10</v>
      </c>
      <c r="F352" s="450" t="s">
        <v>11</v>
      </c>
      <c r="G352" s="717">
        <v>500</v>
      </c>
      <c r="H352" s="269"/>
      <c r="I352" s="12" t="s">
        <v>12</v>
      </c>
      <c r="J352" s="403"/>
      <c r="K352" s="15"/>
      <c r="L352" s="11"/>
      <c r="M352" s="371"/>
      <c r="N352" s="1">
        <f>IF(OR(Q352&lt;=0,Q352&gt;G356),1,0)</f>
        <v>0</v>
      </c>
      <c r="O352" s="458" t="s">
        <v>13</v>
      </c>
      <c r="P352" s="450" t="s">
        <v>14</v>
      </c>
      <c r="Q352" s="667">
        <v>20</v>
      </c>
      <c r="R352" s="272"/>
      <c r="S352" s="12" t="s">
        <v>12</v>
      </c>
      <c r="T352" s="340"/>
      <c r="U352" s="656" t="s">
        <v>15</v>
      </c>
      <c r="V352" s="657" t="s">
        <v>16</v>
      </c>
      <c r="W352" s="658" t="s">
        <v>17</v>
      </c>
      <c r="X352" s="1"/>
      <c r="Y352" s="1"/>
      <c r="Z352" s="1"/>
      <c r="AA352" s="1"/>
      <c r="AB352" s="246"/>
    </row>
    <row r="353" spans="2:28" ht="15.75">
      <c r="B353" s="11"/>
      <c r="C353" s="370"/>
      <c r="D353" s="1">
        <f>IF(OR(G353&lt;=0,G353&gt;1),1,0)</f>
        <v>0</v>
      </c>
      <c r="E353" s="451" t="s">
        <v>18</v>
      </c>
      <c r="F353" s="7" t="s">
        <v>19</v>
      </c>
      <c r="G353" s="472">
        <v>0.14599999999999999</v>
      </c>
      <c r="H353" s="270"/>
      <c r="I353" s="12" t="s">
        <v>12</v>
      </c>
      <c r="J353" s="403"/>
      <c r="K353" s="15"/>
      <c r="L353" s="11"/>
      <c r="M353" s="317"/>
      <c r="N353" s="1"/>
      <c r="O353" s="451" t="s">
        <v>20</v>
      </c>
      <c r="P353" s="7" t="s">
        <v>19</v>
      </c>
      <c r="Q353" s="472">
        <v>0</v>
      </c>
      <c r="R353" s="270">
        <v>0</v>
      </c>
      <c r="S353" s="12" t="s">
        <v>12</v>
      </c>
      <c r="T353" s="340"/>
      <c r="U353" s="474" t="s">
        <v>21</v>
      </c>
      <c r="V353" s="633" t="s">
        <v>22</v>
      </c>
      <c r="W353" s="646" t="s">
        <v>23</v>
      </c>
      <c r="X353" s="1"/>
      <c r="Y353" s="1"/>
      <c r="Z353" s="1"/>
      <c r="AA353" s="1"/>
      <c r="AB353" s="246"/>
    </row>
    <row r="354" spans="2:28" ht="16.5" thickBot="1">
      <c r="B354" s="11"/>
      <c r="C354" s="285"/>
      <c r="D354" s="1"/>
      <c r="E354" s="451" t="s">
        <v>24</v>
      </c>
      <c r="F354" s="8" t="s">
        <v>25</v>
      </c>
      <c r="G354" s="473"/>
      <c r="H354" s="271"/>
      <c r="I354" s="12" t="s">
        <v>12</v>
      </c>
      <c r="J354" s="403"/>
      <c r="K354" s="15"/>
      <c r="L354" s="11"/>
      <c r="M354" s="316"/>
      <c r="N354" s="1"/>
      <c r="O354" s="461" t="s">
        <v>26</v>
      </c>
      <c r="P354" s="466" t="s">
        <v>19</v>
      </c>
      <c r="Q354" s="472">
        <v>0</v>
      </c>
      <c r="R354" s="270"/>
      <c r="S354" s="12" t="s">
        <v>12</v>
      </c>
      <c r="T354" s="340"/>
      <c r="U354" s="451" t="s">
        <v>27</v>
      </c>
      <c r="V354" s="633" t="s">
        <v>22</v>
      </c>
      <c r="W354" s="646" t="s">
        <v>178</v>
      </c>
      <c r="X354" s="1"/>
      <c r="Y354" s="1"/>
      <c r="Z354" s="1"/>
      <c r="AA354" s="1"/>
      <c r="AB354" s="246"/>
    </row>
    <row r="355" spans="2:28" ht="16.5" thickBot="1">
      <c r="B355" s="11"/>
      <c r="C355" s="369"/>
      <c r="D355" s="1">
        <f>IF(OR(G355&lt;0,G355&gt;1),1,0)</f>
        <v>0</v>
      </c>
      <c r="E355" s="453" t="s">
        <v>29</v>
      </c>
      <c r="F355" s="7" t="s">
        <v>19</v>
      </c>
      <c r="G355" s="472">
        <v>8.0000000000000002E-3</v>
      </c>
      <c r="H355" s="270"/>
      <c r="I355" s="12" t="s">
        <v>12</v>
      </c>
      <c r="J355" s="403"/>
      <c r="K355" s="15"/>
      <c r="L355" s="298"/>
      <c r="M355" s="15"/>
      <c r="N355" s="15"/>
      <c r="O355" s="15"/>
      <c r="P355" s="15"/>
      <c r="Q355" s="15"/>
      <c r="R355" s="15"/>
      <c r="S355" s="15"/>
      <c r="T355" s="15"/>
      <c r="U355" s="639"/>
      <c r="V355" s="636"/>
      <c r="W355" s="640"/>
      <c r="X355" s="123"/>
      <c r="Y355" s="123"/>
      <c r="Z355" s="123"/>
      <c r="AA355" s="1"/>
      <c r="AB355" s="246"/>
    </row>
    <row r="356" spans="2:28" ht="16.5" thickBot="1">
      <c r="B356" s="11"/>
      <c r="C356" s="371"/>
      <c r="D356" s="1">
        <f>IF(OR(G356&lt;1,G356&gt;30),1,0)</f>
        <v>0</v>
      </c>
      <c r="E356" s="455" t="s">
        <v>30</v>
      </c>
      <c r="F356" s="466" t="s">
        <v>14</v>
      </c>
      <c r="G356" s="581">
        <v>25</v>
      </c>
      <c r="H356" s="272"/>
      <c r="I356" s="12" t="s">
        <v>12</v>
      </c>
      <c r="J356" s="403"/>
      <c r="K356" s="15"/>
      <c r="L356" s="298"/>
      <c r="M356" s="1"/>
      <c r="N356" s="1"/>
      <c r="O356" s="2" t="s">
        <v>31</v>
      </c>
      <c r="P356" s="3"/>
      <c r="Q356" s="4"/>
      <c r="R356" s="15"/>
      <c r="S356" s="12" t="s">
        <v>12</v>
      </c>
      <c r="T356" s="123"/>
      <c r="U356" s="474" t="s">
        <v>32</v>
      </c>
      <c r="V356" s="634" t="s">
        <v>33</v>
      </c>
      <c r="W356" s="669">
        <v>28.58</v>
      </c>
      <c r="X356" s="178"/>
      <c r="Y356" s="178"/>
      <c r="Z356" s="178"/>
      <c r="AA356" s="1"/>
      <c r="AB356" s="246"/>
    </row>
    <row r="357" spans="2:28" ht="16.5" thickBot="1">
      <c r="B357" s="11"/>
      <c r="C357" s="1"/>
      <c r="D357" s="1"/>
      <c r="E357" s="1"/>
      <c r="F357" s="1"/>
      <c r="G357" s="17"/>
      <c r="H357" s="17"/>
      <c r="I357" s="13"/>
      <c r="J357" s="403"/>
      <c r="K357" s="15"/>
      <c r="L357" s="298"/>
      <c r="M357" s="369"/>
      <c r="N357" s="1"/>
      <c r="O357" s="500" t="s">
        <v>34</v>
      </c>
      <c r="P357" s="501"/>
      <c r="Q357" s="502" t="s">
        <v>35</v>
      </c>
      <c r="R357" s="1"/>
      <c r="S357" s="345" t="s">
        <v>12</v>
      </c>
      <c r="T357" s="346">
        <f>IF(Q352&lt;G356,1,0)</f>
        <v>1</v>
      </c>
      <c r="U357" s="641" t="s">
        <v>36</v>
      </c>
      <c r="V357" s="635" t="s">
        <v>19</v>
      </c>
      <c r="W357" s="670">
        <v>0.02</v>
      </c>
      <c r="X357" s="1"/>
      <c r="Y357" s="123"/>
      <c r="Z357" s="123"/>
      <c r="AA357" s="1"/>
      <c r="AB357" s="246"/>
    </row>
    <row r="358" spans="2:28" ht="16.5" thickBot="1">
      <c r="B358" s="11"/>
      <c r="C358" s="1"/>
      <c r="D358" s="1"/>
      <c r="E358" s="10" t="s">
        <v>37</v>
      </c>
      <c r="F358" s="347" t="s">
        <v>6</v>
      </c>
      <c r="G358" s="411" t="s">
        <v>7</v>
      </c>
      <c r="H358" s="283"/>
      <c r="I358" s="13"/>
      <c r="J358" s="403"/>
      <c r="K358" s="15"/>
      <c r="L358" s="298"/>
      <c r="M358" s="369"/>
      <c r="N358" s="1">
        <f>IF(OR(Q358&lt;=0,Q358=""),1,0)</f>
        <v>0</v>
      </c>
      <c r="O358" s="503" t="s">
        <v>38</v>
      </c>
      <c r="P358" s="343" t="s">
        <v>39</v>
      </c>
      <c r="Q358" s="504">
        <v>5</v>
      </c>
      <c r="R358" s="1"/>
      <c r="S358" s="345" t="s">
        <v>12</v>
      </c>
      <c r="T358" s="346">
        <f>IF(AND($Q$8&lt;$G$12,$Q$13="Year One"),1,0)</f>
        <v>0</v>
      </c>
      <c r="U358" s="642"/>
      <c r="V358" s="637"/>
      <c r="W358" s="643"/>
      <c r="X358" s="1"/>
      <c r="Y358" s="123"/>
      <c r="Z358" s="123"/>
      <c r="AA358" s="1"/>
      <c r="AB358" s="246"/>
    </row>
    <row r="359" spans="2:28" ht="16.5" thickBot="1">
      <c r="B359" s="11"/>
      <c r="C359" s="318"/>
      <c r="D359" s="1"/>
      <c r="E359" s="438" t="s">
        <v>40</v>
      </c>
      <c r="F359" s="439"/>
      <c r="G359" s="440" t="s">
        <v>41</v>
      </c>
      <c r="H359" s="281"/>
      <c r="I359" s="12" t="s">
        <v>12</v>
      </c>
      <c r="J359" s="403"/>
      <c r="K359" s="15"/>
      <c r="L359" s="298"/>
      <c r="M359" s="369"/>
      <c r="N359" s="1">
        <f>IF(OR(Q359&lt;=0,Q359=""),1,0)</f>
        <v>0</v>
      </c>
      <c r="O359" s="505" t="s">
        <v>42</v>
      </c>
      <c r="P359" s="344" t="s">
        <v>19</v>
      </c>
      <c r="Q359" s="506">
        <v>0.03</v>
      </c>
      <c r="R359" s="1"/>
      <c r="S359" s="368" t="s">
        <v>12</v>
      </c>
      <c r="T359" s="346">
        <f>IF(AND($Q$8&lt;$G$12,$Q$13="Year One"),1,0)</f>
        <v>0</v>
      </c>
      <c r="U359" s="451" t="s">
        <v>43</v>
      </c>
      <c r="V359" s="633" t="s">
        <v>19</v>
      </c>
      <c r="W359" s="581">
        <v>0</v>
      </c>
      <c r="X359" s="1"/>
      <c r="Y359" s="123"/>
      <c r="Z359" s="123"/>
      <c r="AA359" s="1"/>
      <c r="AB359" s="246"/>
    </row>
    <row r="360" spans="2:28" ht="16.5" thickBot="1">
      <c r="B360" s="11"/>
      <c r="C360" s="319"/>
      <c r="D360" s="1"/>
      <c r="E360" s="441" t="s">
        <v>44</v>
      </c>
      <c r="F360" s="442" t="s">
        <v>33</v>
      </c>
      <c r="G360" s="443">
        <v>2500</v>
      </c>
      <c r="H360" s="273"/>
      <c r="I360" s="366" t="s">
        <v>12</v>
      </c>
      <c r="J360" s="404"/>
      <c r="K360" s="15"/>
      <c r="L360" s="298"/>
      <c r="M360" s="1"/>
      <c r="N360" s="1"/>
      <c r="O360" s="507" t="str">
        <f>IF(OR($Q$13="Year One",$Q$8=$G$12),"","Click Here for Complex Input Worksheet")</f>
        <v>Click Here for Complex Input Worksheet</v>
      </c>
      <c r="P360" s="508"/>
      <c r="Q360" s="509"/>
      <c r="R360" s="1"/>
      <c r="S360" s="366" t="s">
        <v>12</v>
      </c>
      <c r="T360" s="346">
        <f>IF(AND($Q$8&lt;$G$12,$Q$13="Year-by-Year"),1,0)</f>
        <v>1</v>
      </c>
      <c r="U360" s="451" t="s">
        <v>45</v>
      </c>
      <c r="V360" s="633" t="s">
        <v>19</v>
      </c>
      <c r="W360" s="670">
        <v>0.02</v>
      </c>
      <c r="X360" s="123"/>
      <c r="Y360" s="123"/>
      <c r="Z360" s="123"/>
      <c r="AA360" s="1"/>
      <c r="AB360" s="246"/>
    </row>
    <row r="361" spans="2:28" ht="16.5" thickBot="1">
      <c r="B361" s="11"/>
      <c r="C361" s="320"/>
      <c r="D361" s="1"/>
      <c r="E361" s="444" t="s">
        <v>46</v>
      </c>
      <c r="F361" s="343" t="s">
        <v>47</v>
      </c>
      <c r="G361" s="718">
        <v>1511368.7947500406</v>
      </c>
      <c r="H361" s="274"/>
      <c r="I361" s="366" t="s">
        <v>12</v>
      </c>
      <c r="J361" s="403"/>
      <c r="K361" s="15"/>
      <c r="L361" s="298"/>
      <c r="M361" s="1"/>
      <c r="N361" s="1"/>
      <c r="O361" s="1"/>
      <c r="P361" s="1"/>
      <c r="Q361" s="1"/>
      <c r="R361" s="1"/>
      <c r="S361" s="1"/>
      <c r="T361" s="179"/>
      <c r="U361" s="644"/>
      <c r="V361" s="638"/>
      <c r="W361" s="643"/>
      <c r="X361" s="123"/>
      <c r="Y361" s="123"/>
      <c r="Z361" s="123"/>
      <c r="AA361" s="1"/>
      <c r="AB361" s="246"/>
    </row>
    <row r="362" spans="2:28" ht="16.5" thickBot="1">
      <c r="B362" s="11"/>
      <c r="C362" s="376"/>
      <c r="D362" s="1"/>
      <c r="E362" s="444" t="s">
        <v>48</v>
      </c>
      <c r="F362" s="343" t="s">
        <v>47</v>
      </c>
      <c r="G362" s="718">
        <v>0</v>
      </c>
      <c r="H362" s="274"/>
      <c r="I362" s="366" t="s">
        <v>12</v>
      </c>
      <c r="J362" s="403"/>
      <c r="K362" s="15"/>
      <c r="L362" s="298"/>
      <c r="M362" s="1"/>
      <c r="N362" s="1"/>
      <c r="O362" s="5" t="s">
        <v>49</v>
      </c>
      <c r="P362" s="347" t="s">
        <v>6</v>
      </c>
      <c r="Q362" s="411" t="s">
        <v>7</v>
      </c>
      <c r="R362" s="120"/>
      <c r="S362" s="13"/>
      <c r="T362" s="179"/>
      <c r="U362" s="641" t="s">
        <v>50</v>
      </c>
      <c r="V362" s="257" t="s">
        <v>47</v>
      </c>
      <c r="W362" s="581">
        <v>0</v>
      </c>
      <c r="X362" s="123"/>
      <c r="Y362" s="1"/>
      <c r="Z362" s="1"/>
      <c r="AA362" s="1"/>
      <c r="AB362" s="246"/>
    </row>
    <row r="363" spans="2:28" ht="16.5" thickBot="1">
      <c r="B363" s="11"/>
      <c r="C363" s="376"/>
      <c r="D363" s="1"/>
      <c r="E363" s="444" t="s">
        <v>51</v>
      </c>
      <c r="F363" s="343" t="s">
        <v>47</v>
      </c>
      <c r="G363" s="718">
        <v>0</v>
      </c>
      <c r="H363" s="274"/>
      <c r="I363" s="366" t="s">
        <v>12</v>
      </c>
      <c r="J363" s="403"/>
      <c r="K363" s="15"/>
      <c r="L363" s="298"/>
      <c r="M363" s="374"/>
      <c r="N363" s="1"/>
      <c r="O363" s="518" t="s">
        <v>52</v>
      </c>
      <c r="P363" s="519"/>
      <c r="Q363" s="520" t="s">
        <v>53</v>
      </c>
      <c r="R363" s="1"/>
      <c r="S363" s="12" t="s">
        <v>12</v>
      </c>
      <c r="T363" s="1"/>
      <c r="U363" s="489" t="s">
        <v>54</v>
      </c>
      <c r="V363" s="719" t="s">
        <v>55</v>
      </c>
      <c r="W363" s="720">
        <v>22</v>
      </c>
      <c r="X363" s="1"/>
      <c r="Y363" s="1"/>
      <c r="Z363" s="1"/>
      <c r="AA363" s="1"/>
      <c r="AB363" s="246"/>
    </row>
    <row r="364" spans="2:28" ht="15.75">
      <c r="B364" s="11"/>
      <c r="C364" s="376"/>
      <c r="D364" s="1"/>
      <c r="E364" s="604" t="s">
        <v>56</v>
      </c>
      <c r="F364" s="343" t="s">
        <v>47</v>
      </c>
      <c r="G364" s="721">
        <v>0</v>
      </c>
      <c r="H364" s="274"/>
      <c r="I364" s="366" t="s">
        <v>12</v>
      </c>
      <c r="J364" s="403"/>
      <c r="K364" s="15"/>
      <c r="L364" s="298"/>
      <c r="M364" s="374"/>
      <c r="N364" s="1"/>
      <c r="O364" s="458" t="s">
        <v>57</v>
      </c>
      <c r="P364" s="450"/>
      <c r="Q364" s="496" t="s">
        <v>58</v>
      </c>
      <c r="R364" s="15"/>
      <c r="S364" s="12" t="s">
        <v>12</v>
      </c>
      <c r="T364" s="15"/>
      <c r="U364" s="1"/>
      <c r="V364" s="1"/>
      <c r="W364" s="1"/>
      <c r="X364" s="1"/>
      <c r="Y364" s="1"/>
      <c r="Z364" s="1"/>
      <c r="AA364" s="1"/>
      <c r="AB364" s="246"/>
    </row>
    <row r="365" spans="2:28" ht="15.75">
      <c r="B365" s="11"/>
      <c r="C365" s="321"/>
      <c r="D365" s="1"/>
      <c r="E365" s="444" t="s">
        <v>59</v>
      </c>
      <c r="F365" s="343" t="s">
        <v>47</v>
      </c>
      <c r="G365" s="445"/>
      <c r="H365" s="275"/>
      <c r="I365" s="366" t="s">
        <v>12</v>
      </c>
      <c r="J365" s="403"/>
      <c r="K365" s="15"/>
      <c r="L365" s="298"/>
      <c r="M365" s="374"/>
      <c r="N365" s="1">
        <f>IF(OR(Q365&lt;0,Q365&gt;1,Q365=""),1,0)</f>
        <v>0</v>
      </c>
      <c r="O365" s="468" t="s">
        <v>60</v>
      </c>
      <c r="P365" s="6" t="s">
        <v>19</v>
      </c>
      <c r="Q365" s="674">
        <v>0.3</v>
      </c>
      <c r="R365" s="15"/>
      <c r="S365" s="12" t="s">
        <v>12</v>
      </c>
      <c r="T365" s="15"/>
      <c r="U365" s="1"/>
      <c r="V365" s="1"/>
      <c r="W365" s="1"/>
      <c r="X365" s="1"/>
      <c r="Y365" s="1"/>
      <c r="Z365" s="1"/>
      <c r="AA365" s="1"/>
      <c r="AB365" s="246"/>
    </row>
    <row r="366" spans="2:28" ht="16.5" thickBot="1">
      <c r="B366" s="11"/>
      <c r="C366" s="321"/>
      <c r="D366" s="1"/>
      <c r="E366" s="446" t="s">
        <v>61</v>
      </c>
      <c r="F366" s="447" t="str">
        <f>IF($G$15="Complex","$","")</f>
        <v/>
      </c>
      <c r="G366" s="448"/>
      <c r="H366" s="276"/>
      <c r="I366" s="366" t="s">
        <v>12</v>
      </c>
      <c r="J366" s="403"/>
      <c r="K366" s="15"/>
      <c r="L366" s="298"/>
      <c r="M366" s="369"/>
      <c r="N366" s="1">
        <f>IF(OR(Q366&lt;0,Q366&gt;1,Q366=""),1,0)</f>
        <v>0</v>
      </c>
      <c r="O366" s="483" t="s">
        <v>63</v>
      </c>
      <c r="P366" s="24" t="s">
        <v>19</v>
      </c>
      <c r="Q366" s="674">
        <v>1</v>
      </c>
      <c r="R366" s="121"/>
      <c r="S366" s="12" t="s">
        <v>12</v>
      </c>
      <c r="T366" s="367">
        <f>IF(AND($Q$19="Cost-Based",$Q$20="ITC"),1,0)</f>
        <v>1</v>
      </c>
      <c r="U366" s="1"/>
      <c r="V366" s="1"/>
      <c r="W366" s="1"/>
      <c r="X366" s="1"/>
      <c r="Y366" s="1"/>
      <c r="Z366" s="1"/>
      <c r="AA366" s="1"/>
      <c r="AB366" s="246"/>
    </row>
    <row r="367" spans="2:28" ht="16.5" thickBot="1">
      <c r="B367" s="11"/>
      <c r="C367" s="323"/>
      <c r="D367" s="1"/>
      <c r="E367" s="449" t="s">
        <v>44</v>
      </c>
      <c r="F367" s="450" t="s">
        <v>47</v>
      </c>
      <c r="G367" s="675"/>
      <c r="H367" s="276"/>
      <c r="I367" s="12" t="s">
        <v>12</v>
      </c>
      <c r="J367" s="403"/>
      <c r="K367" s="15"/>
      <c r="L367" s="298"/>
      <c r="M367" s="1"/>
      <c r="N367" s="1"/>
      <c r="O367" s="455" t="s">
        <v>64</v>
      </c>
      <c r="P367" s="462" t="s">
        <v>47</v>
      </c>
      <c r="Q367" s="676"/>
      <c r="R367" s="121"/>
      <c r="S367" s="12" t="s">
        <v>12</v>
      </c>
      <c r="T367" s="15"/>
      <c r="U367" s="1"/>
      <c r="V367" s="1"/>
      <c r="W367" s="1"/>
      <c r="X367" s="1"/>
      <c r="Y367" s="1"/>
      <c r="Z367" s="1"/>
      <c r="AA367" s="1"/>
      <c r="AB367" s="246"/>
    </row>
    <row r="368" spans="2:28" ht="15.75">
      <c r="B368" s="11"/>
      <c r="C368" s="323"/>
      <c r="D368" s="1"/>
      <c r="E368" s="451" t="s">
        <v>44</v>
      </c>
      <c r="F368" s="8" t="str">
        <f>F360</f>
        <v>$/kW</v>
      </c>
      <c r="G368" s="452"/>
      <c r="H368" s="284"/>
      <c r="I368" s="12" t="s">
        <v>12</v>
      </c>
      <c r="J368" s="403"/>
      <c r="K368" s="15"/>
      <c r="L368" s="298"/>
      <c r="M368" s="374"/>
      <c r="N368" s="1"/>
      <c r="O368" s="449" t="s">
        <v>65</v>
      </c>
      <c r="P368" s="522"/>
      <c r="Q368" s="510" t="s">
        <v>66</v>
      </c>
      <c r="R368" s="1"/>
      <c r="S368" s="12" t="s">
        <v>12</v>
      </c>
      <c r="T368" s="1"/>
      <c r="U368" s="1"/>
      <c r="V368" s="1"/>
      <c r="W368" s="1"/>
      <c r="X368" s="1"/>
      <c r="Y368" s="1"/>
      <c r="Z368" s="1"/>
      <c r="AA368" s="1"/>
      <c r="AB368" s="246"/>
    </row>
    <row r="369" spans="2:28" ht="15.75">
      <c r="B369" s="11"/>
      <c r="C369" s="322"/>
      <c r="D369" s="1"/>
      <c r="E369" s="453" t="s">
        <v>67</v>
      </c>
      <c r="F369" s="7" t="s">
        <v>47</v>
      </c>
      <c r="G369" s="454"/>
      <c r="H369" s="277"/>
      <c r="I369" s="12" t="s">
        <v>12</v>
      </c>
      <c r="J369" s="403"/>
      <c r="K369" s="15"/>
      <c r="L369" s="298"/>
      <c r="M369" s="369"/>
      <c r="N369" s="1"/>
      <c r="O369" s="451" t="s">
        <v>68</v>
      </c>
      <c r="P369" s="8" t="s">
        <v>39</v>
      </c>
      <c r="Q369" s="512">
        <v>0</v>
      </c>
      <c r="R369" s="15"/>
      <c r="S369" s="12" t="s">
        <v>12</v>
      </c>
      <c r="T369" s="15"/>
      <c r="U369" s="1"/>
      <c r="V369" s="1"/>
      <c r="W369" s="1"/>
      <c r="X369" s="1"/>
      <c r="Y369" s="1"/>
      <c r="Z369" s="1"/>
      <c r="AA369" s="1"/>
      <c r="AB369" s="246"/>
    </row>
    <row r="370" spans="2:28" ht="15.75">
      <c r="B370" s="11"/>
      <c r="C370" s="322"/>
      <c r="D370" s="1"/>
      <c r="E370" s="453" t="s">
        <v>69</v>
      </c>
      <c r="F370" s="7" t="s">
        <v>47</v>
      </c>
      <c r="G370" s="452"/>
      <c r="H370" s="276"/>
      <c r="I370" s="12" t="s">
        <v>12</v>
      </c>
      <c r="J370" s="403"/>
      <c r="K370" s="15"/>
      <c r="L370" s="298"/>
      <c r="M370" s="369"/>
      <c r="N370" s="1">
        <f>IF(OR(Q370&lt;0,Q370&gt;G356),1,0)</f>
        <v>0</v>
      </c>
      <c r="O370" s="451" t="s">
        <v>70</v>
      </c>
      <c r="P370" s="8" t="s">
        <v>71</v>
      </c>
      <c r="Q370" s="464">
        <v>0</v>
      </c>
      <c r="R370" s="15"/>
      <c r="S370" s="12" t="s">
        <v>12</v>
      </c>
      <c r="T370" s="15"/>
      <c r="U370" s="1"/>
      <c r="V370" s="1"/>
      <c r="W370" s="1"/>
      <c r="X370" s="1"/>
      <c r="Y370" s="1"/>
      <c r="Z370" s="1"/>
      <c r="AA370" s="1"/>
      <c r="AB370" s="246"/>
    </row>
    <row r="371" spans="2:28" ht="16.5" thickBot="1">
      <c r="B371" s="11"/>
      <c r="C371" s="323"/>
      <c r="D371" s="1"/>
      <c r="E371" s="455" t="s">
        <v>69</v>
      </c>
      <c r="F371" s="456" t="str">
        <f>F360</f>
        <v>$/kW</v>
      </c>
      <c r="G371" s="457"/>
      <c r="H371" s="284"/>
      <c r="I371" s="12" t="s">
        <v>12</v>
      </c>
      <c r="J371" s="403"/>
      <c r="K371" s="15"/>
      <c r="L371" s="298"/>
      <c r="M371" s="369"/>
      <c r="N371" s="1"/>
      <c r="O371" s="451" t="s">
        <v>72</v>
      </c>
      <c r="P371" s="6" t="s">
        <v>19</v>
      </c>
      <c r="Q371" s="497">
        <v>0</v>
      </c>
      <c r="R371" s="15"/>
      <c r="S371" s="12" t="s">
        <v>12</v>
      </c>
      <c r="T371" s="15"/>
      <c r="U371" s="1"/>
      <c r="V371" s="1"/>
      <c r="W371" s="1"/>
      <c r="X371" s="1"/>
      <c r="Y371" s="1"/>
      <c r="Z371" s="1"/>
      <c r="AA371" s="1"/>
      <c r="AB371" s="246"/>
    </row>
    <row r="372" spans="2:28" ht="16.5" thickBot="1">
      <c r="B372" s="11"/>
      <c r="C372" s="324"/>
      <c r="D372" s="1"/>
      <c r="E372" s="18"/>
      <c r="F372" s="1"/>
      <c r="G372" s="1"/>
      <c r="H372" s="1"/>
      <c r="I372" s="17"/>
      <c r="J372" s="403"/>
      <c r="K372" s="15"/>
      <c r="L372" s="298"/>
      <c r="M372" s="369"/>
      <c r="N372" s="1">
        <f>IF(OR(Q372&lt;0,Q372&gt;1),1,0)</f>
        <v>0</v>
      </c>
      <c r="O372" s="455" t="s">
        <v>73</v>
      </c>
      <c r="P372" s="462" t="s">
        <v>19</v>
      </c>
      <c r="Q372" s="523">
        <v>0</v>
      </c>
      <c r="R372" s="15"/>
      <c r="S372" s="12" t="s">
        <v>12</v>
      </c>
      <c r="T372" s="15"/>
      <c r="U372" s="1"/>
      <c r="V372" s="1"/>
      <c r="W372" s="1"/>
      <c r="X372" s="1"/>
      <c r="Y372" s="1"/>
      <c r="Z372" s="1"/>
      <c r="AA372" s="1"/>
      <c r="AB372" s="246"/>
    </row>
    <row r="373" spans="2:28" ht="16.5" thickBot="1">
      <c r="B373" s="11"/>
      <c r="C373" s="1"/>
      <c r="D373" s="1"/>
      <c r="E373" s="5" t="s">
        <v>74</v>
      </c>
      <c r="F373" s="347" t="s">
        <v>6</v>
      </c>
      <c r="G373" s="411" t="s">
        <v>7</v>
      </c>
      <c r="H373" s="285"/>
      <c r="I373" s="17"/>
      <c r="J373" s="403"/>
      <c r="K373" s="15"/>
      <c r="L373" s="298"/>
      <c r="M373" s="1"/>
      <c r="N373" s="1"/>
      <c r="O373" s="296" t="s">
        <v>75</v>
      </c>
      <c r="P373" s="521"/>
      <c r="Q373" s="514" t="s">
        <v>76</v>
      </c>
      <c r="R373" s="121"/>
      <c r="S373" s="12" t="s">
        <v>12</v>
      </c>
      <c r="T373" s="15"/>
      <c r="U373" s="1"/>
      <c r="V373" s="1"/>
      <c r="W373" s="1"/>
      <c r="X373" s="1"/>
      <c r="Y373" s="1"/>
      <c r="Z373" s="1"/>
      <c r="AA373" s="1"/>
      <c r="AB373" s="246"/>
    </row>
    <row r="374" spans="2:28" ht="16.5" thickBot="1">
      <c r="B374" s="11"/>
      <c r="C374" s="318"/>
      <c r="D374" s="1"/>
      <c r="E374" s="553" t="s">
        <v>40</v>
      </c>
      <c r="F374" s="554"/>
      <c r="G374" s="555" t="s">
        <v>41</v>
      </c>
      <c r="H374" s="281"/>
      <c r="I374" s="12" t="s">
        <v>12</v>
      </c>
      <c r="J374" s="403"/>
      <c r="K374" s="15"/>
      <c r="L374" s="11"/>
      <c r="M374" s="1"/>
      <c r="N374" s="1"/>
      <c r="O374" s="415"/>
      <c r="P374" s="267"/>
      <c r="Q374" s="297"/>
      <c r="R374" s="1"/>
      <c r="S374" s="1"/>
      <c r="T374" s="1"/>
      <c r="U374" s="1"/>
      <c r="V374" s="1"/>
      <c r="W374" s="1"/>
      <c r="X374" s="1"/>
      <c r="Y374" s="1"/>
      <c r="Z374" s="1"/>
      <c r="AA374" s="1"/>
      <c r="AB374" s="246"/>
    </row>
    <row r="375" spans="2:28" ht="15.75">
      <c r="B375" s="11"/>
      <c r="C375" s="325"/>
      <c r="D375" s="1"/>
      <c r="E375" s="458" t="s">
        <v>77</v>
      </c>
      <c r="F375" s="459" t="s">
        <v>78</v>
      </c>
      <c r="G375" s="460">
        <v>34.024999999999999</v>
      </c>
      <c r="H375" s="286"/>
      <c r="I375" s="12" t="s">
        <v>12</v>
      </c>
      <c r="J375" s="403"/>
      <c r="K375" s="15"/>
      <c r="L375" s="298"/>
      <c r="M375" s="369"/>
      <c r="N375" s="1"/>
      <c r="O375" s="515" t="s">
        <v>79</v>
      </c>
      <c r="P375" s="459" t="s">
        <v>47</v>
      </c>
      <c r="Q375" s="516">
        <v>0</v>
      </c>
      <c r="R375" s="121"/>
      <c r="S375" s="12" t="s">
        <v>12</v>
      </c>
      <c r="T375" s="1"/>
      <c r="U375" s="1"/>
      <c r="V375" s="1"/>
      <c r="W375" s="1"/>
      <c r="X375" s="1"/>
      <c r="Y375" s="1"/>
      <c r="Z375" s="1"/>
      <c r="AA375" s="1"/>
      <c r="AB375" s="246"/>
    </row>
    <row r="376" spans="2:28" ht="16.5" thickBot="1">
      <c r="B376" s="11"/>
      <c r="C376" s="369"/>
      <c r="D376" s="1"/>
      <c r="E376" s="453" t="s">
        <v>80</v>
      </c>
      <c r="F376" s="7" t="s">
        <v>81</v>
      </c>
      <c r="G376" s="512">
        <v>0</v>
      </c>
      <c r="H376" s="287"/>
      <c r="I376" s="12" t="s">
        <v>12</v>
      </c>
      <c r="J376" s="403"/>
      <c r="K376" s="15"/>
      <c r="L376" s="298"/>
      <c r="M376" s="374"/>
      <c r="N376" s="1"/>
      <c r="O376" s="455" t="s">
        <v>82</v>
      </c>
      <c r="P376" s="466"/>
      <c r="Q376" s="517" t="s">
        <v>83</v>
      </c>
      <c r="R376" s="21"/>
      <c r="S376" s="12" t="s">
        <v>12</v>
      </c>
      <c r="T376" s="1"/>
      <c r="U376" s="1"/>
      <c r="V376" s="1"/>
      <c r="W376" s="1"/>
      <c r="X376" s="1"/>
      <c r="Y376" s="1"/>
      <c r="Z376" s="1"/>
      <c r="AA376" s="1"/>
      <c r="AB376" s="246"/>
    </row>
    <row r="377" spans="2:28" ht="16.5" thickBot="1">
      <c r="B377" s="11"/>
      <c r="C377" s="326"/>
      <c r="D377" s="15"/>
      <c r="E377" s="474" t="s">
        <v>84</v>
      </c>
      <c r="F377" s="7" t="s">
        <v>19</v>
      </c>
      <c r="G377" s="475">
        <v>0.03</v>
      </c>
      <c r="H377" s="270"/>
      <c r="I377" s="12" t="s">
        <v>12</v>
      </c>
      <c r="J377" s="404"/>
      <c r="K377" s="15"/>
      <c r="L377" s="298"/>
      <c r="M377" s="1"/>
      <c r="N377" s="1"/>
      <c r="O377" s="1"/>
      <c r="P377" s="1"/>
      <c r="Q377" s="1"/>
      <c r="R377" s="1"/>
      <c r="S377" s="1"/>
      <c r="T377" s="1"/>
      <c r="U377" s="1"/>
      <c r="V377" s="1"/>
      <c r="W377" s="1"/>
      <c r="X377" s="1"/>
      <c r="Y377" s="1"/>
      <c r="Z377" s="1"/>
      <c r="AA377" s="1"/>
      <c r="AB377" s="246"/>
    </row>
    <row r="378" spans="2:28" ht="16.5" thickBot="1">
      <c r="B378" s="11"/>
      <c r="C378" s="317"/>
      <c r="D378" s="1"/>
      <c r="E378" s="451" t="s">
        <v>85</v>
      </c>
      <c r="F378" s="7" t="s">
        <v>86</v>
      </c>
      <c r="G378" s="582">
        <v>10</v>
      </c>
      <c r="H378" s="272"/>
      <c r="I378" s="12" t="s">
        <v>12</v>
      </c>
      <c r="J378" s="404"/>
      <c r="K378" s="15"/>
      <c r="L378" s="298"/>
      <c r="M378" s="1"/>
      <c r="N378" s="1"/>
      <c r="O378" s="5" t="s">
        <v>87</v>
      </c>
      <c r="P378" s="347" t="s">
        <v>6</v>
      </c>
      <c r="Q378" s="411" t="s">
        <v>7</v>
      </c>
      <c r="R378" s="15"/>
      <c r="S378" s="1"/>
      <c r="T378" s="412"/>
      <c r="U378" s="677"/>
      <c r="V378" s="1"/>
      <c r="W378" s="1"/>
      <c r="X378" s="1"/>
      <c r="Y378" s="1"/>
      <c r="Z378" s="1"/>
      <c r="AA378" s="1"/>
      <c r="AB378" s="246"/>
    </row>
    <row r="379" spans="2:28" ht="16.5" thickBot="1">
      <c r="B379" s="11"/>
      <c r="C379" s="326"/>
      <c r="D379" s="15"/>
      <c r="E379" s="465" t="s">
        <v>88</v>
      </c>
      <c r="F379" s="466" t="s">
        <v>19</v>
      </c>
      <c r="G379" s="475">
        <v>0.03</v>
      </c>
      <c r="H379" s="278"/>
      <c r="I379" s="12" t="s">
        <v>12</v>
      </c>
      <c r="J379" s="403"/>
      <c r="K379" s="15"/>
      <c r="L379" s="298"/>
      <c r="M379" s="374"/>
      <c r="N379" s="1"/>
      <c r="O379" s="568" t="s">
        <v>89</v>
      </c>
      <c r="P379" s="569"/>
      <c r="Q379" s="570" t="s">
        <v>90</v>
      </c>
      <c r="R379" s="1"/>
      <c r="S379" s="12" t="s">
        <v>12</v>
      </c>
      <c r="T379" s="1"/>
      <c r="U379" s="1"/>
      <c r="V379" s="1"/>
      <c r="W379" s="1"/>
      <c r="X379" s="1"/>
      <c r="Y379" s="1"/>
      <c r="Z379" s="1"/>
      <c r="AA379" s="1"/>
      <c r="AB379" s="246"/>
    </row>
    <row r="380" spans="2:28" ht="15.75">
      <c r="B380" s="11"/>
      <c r="C380" s="369"/>
      <c r="D380" s="1"/>
      <c r="E380" s="483" t="s">
        <v>91</v>
      </c>
      <c r="F380" s="6" t="s">
        <v>19</v>
      </c>
      <c r="G380" s="470">
        <v>5.7150000000000005E-3</v>
      </c>
      <c r="H380" s="270"/>
      <c r="I380" s="366" t="s">
        <v>12</v>
      </c>
      <c r="J380" s="403"/>
      <c r="K380" s="15"/>
      <c r="L380" s="298"/>
      <c r="M380" s="369"/>
      <c r="N380" s="1">
        <f>IF(OR(Q380&lt;0,Q380&gt;1),1,0)</f>
        <v>0</v>
      </c>
      <c r="O380" s="458" t="s">
        <v>92</v>
      </c>
      <c r="P380" s="450" t="s">
        <v>19</v>
      </c>
      <c r="Q380" s="600">
        <v>0</v>
      </c>
      <c r="R380" s="15">
        <f>IF(OR($Q$35="Performance-Based",$Q$35="Neither"),1,0)</f>
        <v>1</v>
      </c>
      <c r="S380" s="12" t="s">
        <v>12</v>
      </c>
      <c r="T380" s="15"/>
      <c r="U380" s="1"/>
      <c r="V380" s="1"/>
      <c r="W380" s="1"/>
      <c r="X380" s="1"/>
      <c r="Y380" s="1"/>
      <c r="Z380" s="1"/>
      <c r="AA380" s="1"/>
      <c r="AB380" s="246"/>
    </row>
    <row r="381" spans="2:28" ht="15.75">
      <c r="B381" s="11"/>
      <c r="C381" s="1"/>
      <c r="D381" s="1"/>
      <c r="E381" s="451" t="s">
        <v>93</v>
      </c>
      <c r="F381" s="7" t="s">
        <v>47</v>
      </c>
      <c r="G381" s="467"/>
      <c r="H381" s="275"/>
      <c r="I381" s="366" t="s">
        <v>12</v>
      </c>
      <c r="J381" s="403"/>
      <c r="K381" s="15"/>
      <c r="L381" s="298"/>
      <c r="M381" s="369"/>
      <c r="N381" s="1">
        <f>IF(OR(Q381&lt;0,Q381&gt;1),1,0)</f>
        <v>0</v>
      </c>
      <c r="O381" s="453" t="s">
        <v>94</v>
      </c>
      <c r="P381" s="7" t="s">
        <v>19</v>
      </c>
      <c r="Q381" s="601">
        <v>0</v>
      </c>
      <c r="R381" s="15"/>
      <c r="S381" s="12" t="s">
        <v>12</v>
      </c>
      <c r="T381" s="15"/>
      <c r="U381" s="15"/>
      <c r="V381" s="1"/>
      <c r="W381" s="1"/>
      <c r="X381" s="1"/>
      <c r="Y381" s="1"/>
      <c r="Z381" s="1"/>
      <c r="AA381" s="1"/>
      <c r="AB381" s="246"/>
    </row>
    <row r="382" spans="2:28" ht="15.75">
      <c r="B382" s="11"/>
      <c r="C382" s="369"/>
      <c r="D382" s="1"/>
      <c r="E382" s="468" t="s">
        <v>95</v>
      </c>
      <c r="F382" s="6" t="s">
        <v>96</v>
      </c>
      <c r="G382" s="469">
        <v>4000</v>
      </c>
      <c r="H382" s="288"/>
      <c r="I382" s="366" t="s">
        <v>12</v>
      </c>
      <c r="J382" s="404"/>
      <c r="K382" s="15"/>
      <c r="L382" s="298"/>
      <c r="M382" s="369"/>
      <c r="N382" s="1">
        <f>IF(OR(Q382&lt;1,Q382&gt;G356),1,0)</f>
        <v>1</v>
      </c>
      <c r="O382" s="451" t="s">
        <v>97</v>
      </c>
      <c r="P382" s="8" t="s">
        <v>71</v>
      </c>
      <c r="Q382" s="602">
        <v>0</v>
      </c>
      <c r="R382" s="15"/>
      <c r="S382" s="12" t="s">
        <v>12</v>
      </c>
      <c r="T382" s="1"/>
      <c r="U382" s="678"/>
      <c r="V382" s="1"/>
      <c r="W382" s="1"/>
      <c r="X382" s="1"/>
      <c r="Y382" s="1"/>
      <c r="Z382" s="1"/>
      <c r="AA382" s="1"/>
      <c r="AB382" s="246"/>
    </row>
    <row r="383" spans="2:28" ht="16.5" thickBot="1">
      <c r="B383" s="11"/>
      <c r="C383" s="369"/>
      <c r="D383" s="1"/>
      <c r="E383" s="451" t="s">
        <v>98</v>
      </c>
      <c r="F383" s="6" t="s">
        <v>33</v>
      </c>
      <c r="G383" s="603">
        <v>5</v>
      </c>
      <c r="H383" s="288"/>
      <c r="I383" s="366" t="s">
        <v>12</v>
      </c>
      <c r="J383" s="403"/>
      <c r="K383" s="15"/>
      <c r="L383" s="11"/>
      <c r="M383" s="1"/>
      <c r="N383" s="1"/>
      <c r="O383" s="455" t="s">
        <v>50</v>
      </c>
      <c r="P383" s="456" t="s">
        <v>47</v>
      </c>
      <c r="Q383" s="572">
        <v>0</v>
      </c>
      <c r="R383" s="1"/>
      <c r="S383" s="12" t="s">
        <v>12</v>
      </c>
      <c r="T383" s="1"/>
      <c r="U383" s="1"/>
      <c r="V383" s="1"/>
      <c r="W383" s="1"/>
      <c r="X383" s="1"/>
      <c r="Y383" s="1"/>
      <c r="Z383" s="1"/>
      <c r="AA383" s="1"/>
      <c r="AB383" s="246"/>
    </row>
    <row r="384" spans="2:28" ht="15.75">
      <c r="B384" s="11"/>
      <c r="C384" s="369"/>
      <c r="D384" s="1"/>
      <c r="E384" s="451" t="s">
        <v>43</v>
      </c>
      <c r="F384" s="6" t="s">
        <v>19</v>
      </c>
      <c r="G384" s="583">
        <v>0</v>
      </c>
      <c r="H384" s="1"/>
      <c r="I384" s="366" t="s">
        <v>12</v>
      </c>
      <c r="J384" s="403"/>
      <c r="K384" s="15"/>
      <c r="L384" s="298"/>
      <c r="M384" s="374"/>
      <c r="N384" s="1"/>
      <c r="O384" s="483" t="s">
        <v>99</v>
      </c>
      <c r="P384" s="6"/>
      <c r="Q384" s="571" t="s">
        <v>66</v>
      </c>
      <c r="R384" s="15">
        <f>IF(OR($Q$35="Cost-Based",$Q$35="Neither"),1,0)</f>
        <v>1</v>
      </c>
      <c r="S384" s="12" t="s">
        <v>12</v>
      </c>
      <c r="T384" s="15"/>
      <c r="U384" s="21"/>
      <c r="V384" s="1"/>
      <c r="W384" s="1"/>
      <c r="X384" s="1"/>
      <c r="Y384" s="1"/>
      <c r="Z384" s="1"/>
      <c r="AA384" s="1"/>
      <c r="AB384" s="246"/>
    </row>
    <row r="385" spans="2:28" ht="15.75">
      <c r="B385" s="11"/>
      <c r="C385" s="369"/>
      <c r="D385" s="1"/>
      <c r="E385" s="451" t="s">
        <v>100</v>
      </c>
      <c r="F385" s="6" t="s">
        <v>96</v>
      </c>
      <c r="G385" s="469">
        <v>41650</v>
      </c>
      <c r="H385" s="288"/>
      <c r="I385" s="366" t="s">
        <v>12</v>
      </c>
      <c r="J385" s="403"/>
      <c r="K385" s="15"/>
      <c r="L385" s="298"/>
      <c r="M385" s="374"/>
      <c r="N385" s="1"/>
      <c r="O385" s="451" t="s">
        <v>101</v>
      </c>
      <c r="P385" s="8"/>
      <c r="Q385" s="511" t="s">
        <v>102</v>
      </c>
      <c r="R385" s="346">
        <f>IF(OR($Q$35="Cost-Based",$Q$35="Neither",$Q$40="Tax Credit"),1,0)</f>
        <v>1</v>
      </c>
      <c r="S385" s="12" t="s">
        <v>12</v>
      </c>
      <c r="T385" s="1"/>
      <c r="U385" s="21"/>
      <c r="V385" s="1"/>
      <c r="W385" s="1"/>
      <c r="X385" s="1"/>
      <c r="Y385" s="1"/>
      <c r="Z385" s="1"/>
      <c r="AA385" s="1"/>
      <c r="AB385" s="246"/>
    </row>
    <row r="386" spans="2:28" ht="15.75">
      <c r="B386" s="11"/>
      <c r="C386" s="369"/>
      <c r="D386" s="1"/>
      <c r="E386" s="453" t="s">
        <v>103</v>
      </c>
      <c r="F386" s="6" t="s">
        <v>19</v>
      </c>
      <c r="G386" s="470">
        <v>0.02</v>
      </c>
      <c r="H386" s="270"/>
      <c r="I386" s="366" t="s">
        <v>12</v>
      </c>
      <c r="J386" s="403"/>
      <c r="K386" s="15"/>
      <c r="L386" s="298"/>
      <c r="M386" s="369"/>
      <c r="N386" s="1"/>
      <c r="O386" s="451" t="s">
        <v>68</v>
      </c>
      <c r="P386" s="55" t="s">
        <v>39</v>
      </c>
      <c r="Q386" s="512">
        <v>1.5</v>
      </c>
      <c r="R386" s="21"/>
      <c r="S386" s="12" t="s">
        <v>12</v>
      </c>
      <c r="T386" s="346"/>
      <c r="U386" s="679"/>
      <c r="V386" s="1"/>
      <c r="W386" s="1"/>
      <c r="X386" s="1"/>
      <c r="Y386" s="1"/>
      <c r="Z386" s="1"/>
      <c r="AA386" s="1"/>
      <c r="AB386" s="246"/>
    </row>
    <row r="387" spans="2:28" ht="16.5" thickBot="1">
      <c r="B387" s="11"/>
      <c r="C387" s="1"/>
      <c r="D387" s="1"/>
      <c r="E387" s="455"/>
      <c r="F387" s="466"/>
      <c r="G387" s="471"/>
      <c r="H387" s="275"/>
      <c r="I387" s="366" t="s">
        <v>12</v>
      </c>
      <c r="J387" s="246"/>
      <c r="K387" s="15"/>
      <c r="L387" s="298"/>
      <c r="M387" s="369"/>
      <c r="N387" s="1">
        <f>IF(OR(Q387&lt;0,Q387&gt;G356),1,0)</f>
        <v>0</v>
      </c>
      <c r="O387" s="451" t="s">
        <v>70</v>
      </c>
      <c r="P387" s="8" t="s">
        <v>71</v>
      </c>
      <c r="Q387" s="464">
        <v>10</v>
      </c>
      <c r="R387" s="21"/>
      <c r="S387" s="12" t="s">
        <v>12</v>
      </c>
      <c r="T387" s="1"/>
      <c r="U387" s="21"/>
      <c r="V387" s="1"/>
      <c r="W387" s="1"/>
      <c r="X387" s="1"/>
      <c r="Y387" s="1"/>
      <c r="Z387" s="1"/>
      <c r="AA387" s="1"/>
      <c r="AB387" s="246"/>
    </row>
    <row r="388" spans="2:28" ht="16.5" thickBot="1">
      <c r="B388" s="11"/>
      <c r="C388" s="327"/>
      <c r="D388" s="1"/>
      <c r="E388" s="1"/>
      <c r="F388" s="1"/>
      <c r="G388" s="1"/>
      <c r="H388" s="1"/>
      <c r="I388" s="17"/>
      <c r="J388" s="403"/>
      <c r="K388" s="15"/>
      <c r="L388" s="298"/>
      <c r="M388" s="369"/>
      <c r="N388" s="1"/>
      <c r="O388" s="451" t="s">
        <v>72</v>
      </c>
      <c r="P388" s="6" t="s">
        <v>19</v>
      </c>
      <c r="Q388" s="497">
        <v>0.02</v>
      </c>
      <c r="R388" s="15"/>
      <c r="S388" s="12" t="s">
        <v>12</v>
      </c>
      <c r="T388" s="346"/>
      <c r="U388" s="21"/>
      <c r="V388" s="1"/>
      <c r="W388" s="1"/>
      <c r="X388" s="1"/>
      <c r="Y388" s="1"/>
      <c r="Z388" s="1"/>
      <c r="AA388" s="1"/>
      <c r="AB388" s="246"/>
    </row>
    <row r="389" spans="2:28" ht="16.5" thickBot="1">
      <c r="B389" s="11"/>
      <c r="C389" s="327"/>
      <c r="D389" s="1"/>
      <c r="E389" s="5" t="s">
        <v>104</v>
      </c>
      <c r="F389" s="347" t="s">
        <v>6</v>
      </c>
      <c r="G389" s="411" t="s">
        <v>7</v>
      </c>
      <c r="H389" s="289"/>
      <c r="I389" s="17"/>
      <c r="J389" s="403"/>
      <c r="K389" s="15"/>
      <c r="L389" s="298"/>
      <c r="M389" s="369"/>
      <c r="N389" s="1">
        <f>IF(OR(Q389&lt;0,Q389&gt;1),1,0)</f>
        <v>0</v>
      </c>
      <c r="O389" s="455" t="s">
        <v>105</v>
      </c>
      <c r="P389" s="462" t="s">
        <v>19</v>
      </c>
      <c r="Q389" s="523">
        <v>1</v>
      </c>
      <c r="R389" s="15"/>
      <c r="S389" s="12" t="s">
        <v>12</v>
      </c>
      <c r="T389" s="21"/>
      <c r="U389" s="15"/>
      <c r="V389" s="1"/>
      <c r="W389" s="1"/>
      <c r="X389" s="1"/>
      <c r="Y389" s="1"/>
      <c r="Z389" s="1"/>
      <c r="AA389" s="1"/>
      <c r="AB389" s="246"/>
    </row>
    <row r="390" spans="2:28" ht="16.5" thickBot="1">
      <c r="B390" s="11"/>
      <c r="C390" s="372"/>
      <c r="D390" s="1"/>
      <c r="E390" s="463" t="s">
        <v>106</v>
      </c>
      <c r="F390" s="450" t="s">
        <v>107</v>
      </c>
      <c r="G390" s="556">
        <v>0</v>
      </c>
      <c r="H390" s="289"/>
      <c r="I390" s="12" t="s">
        <v>12</v>
      </c>
      <c r="J390" s="403"/>
      <c r="K390" s="15"/>
      <c r="L390" s="298"/>
      <c r="M390" s="15"/>
      <c r="N390" s="15"/>
      <c r="O390" s="524" t="s">
        <v>108</v>
      </c>
      <c r="P390" s="525"/>
      <c r="Q390" s="526" t="s">
        <v>76</v>
      </c>
      <c r="R390" s="15">
        <f>IF($Q$35="Neither",1,0)</f>
        <v>1</v>
      </c>
      <c r="S390" s="12" t="s">
        <v>12</v>
      </c>
      <c r="T390" s="21"/>
      <c r="U390" s="15"/>
      <c r="V390" s="1"/>
      <c r="W390" s="1"/>
      <c r="X390" s="1"/>
      <c r="Y390" s="1"/>
      <c r="Z390" s="1"/>
      <c r="AA390" s="1"/>
      <c r="AB390" s="246"/>
    </row>
    <row r="391" spans="2:28" ht="16.5" thickBot="1">
      <c r="B391" s="11"/>
      <c r="C391" s="372"/>
      <c r="D391" s="1"/>
      <c r="E391" s="474" t="s">
        <v>109</v>
      </c>
      <c r="F391" s="7" t="s">
        <v>19</v>
      </c>
      <c r="G391" s="548">
        <v>0</v>
      </c>
      <c r="H391" s="289"/>
      <c r="I391" s="12" t="s">
        <v>12</v>
      </c>
      <c r="J391" s="403"/>
      <c r="K391" s="15"/>
      <c r="L391" s="11"/>
      <c r="M391" s="1"/>
      <c r="N391" s="1"/>
      <c r="O391" s="415"/>
      <c r="P391" s="267"/>
      <c r="Q391" s="297"/>
      <c r="R391" s="1"/>
      <c r="S391" s="1"/>
      <c r="T391" s="1"/>
      <c r="U391" s="15"/>
      <c r="V391" s="1"/>
      <c r="W391" s="1"/>
      <c r="X391" s="1"/>
      <c r="Y391" s="1"/>
      <c r="Z391" s="1"/>
      <c r="AA391" s="1"/>
      <c r="AB391" s="246"/>
    </row>
    <row r="392" spans="2:28" ht="16.5" thickBot="1">
      <c r="B392" s="11"/>
      <c r="C392" s="327"/>
      <c r="D392" s="1"/>
      <c r="E392" s="465" t="s">
        <v>110</v>
      </c>
      <c r="F392" s="456" t="s">
        <v>47</v>
      </c>
      <c r="G392" s="471"/>
      <c r="H392" s="289"/>
      <c r="I392" s="12" t="s">
        <v>12</v>
      </c>
      <c r="J392" s="403"/>
      <c r="K392" s="15"/>
      <c r="L392" s="298"/>
      <c r="M392" s="369"/>
      <c r="N392" s="15"/>
      <c r="O392" s="515" t="s">
        <v>111</v>
      </c>
      <c r="P392" s="450" t="s">
        <v>47</v>
      </c>
      <c r="Q392" s="516">
        <v>0</v>
      </c>
      <c r="R392" s="1"/>
      <c r="S392" s="12" t="s">
        <v>12</v>
      </c>
      <c r="T392" s="15"/>
      <c r="U392" s="15"/>
      <c r="V392" s="1"/>
      <c r="W392" s="1"/>
      <c r="X392" s="1"/>
      <c r="Y392" s="1"/>
      <c r="Z392" s="1"/>
      <c r="AA392" s="1"/>
      <c r="AB392" s="246"/>
    </row>
    <row r="393" spans="2:28" ht="16.5" thickBot="1">
      <c r="B393" s="11"/>
      <c r="C393" s="1"/>
      <c r="D393" s="1"/>
      <c r="E393" s="1"/>
      <c r="F393" s="1"/>
      <c r="G393" s="182"/>
      <c r="H393" s="182"/>
      <c r="I393" s="17"/>
      <c r="J393" s="403"/>
      <c r="K393" s="15"/>
      <c r="L393" s="298"/>
      <c r="M393" s="374"/>
      <c r="N393" s="1"/>
      <c r="O393" s="455" t="s">
        <v>112</v>
      </c>
      <c r="P393" s="466"/>
      <c r="Q393" s="517" t="s">
        <v>83</v>
      </c>
      <c r="R393" s="21"/>
      <c r="S393" s="12" t="s">
        <v>12</v>
      </c>
      <c r="T393" s="15"/>
      <c r="U393" s="15"/>
      <c r="V393" s="1"/>
      <c r="W393" s="1"/>
      <c r="X393" s="1"/>
      <c r="Y393" s="1"/>
      <c r="Z393" s="1"/>
      <c r="AA393" s="1"/>
      <c r="AB393" s="246"/>
    </row>
    <row r="394" spans="2:28" ht="16.5" thickBot="1">
      <c r="B394" s="11"/>
      <c r="C394" s="327"/>
      <c r="D394" s="1"/>
      <c r="E394" s="480" t="s">
        <v>113</v>
      </c>
      <c r="F394" s="481" t="s">
        <v>6</v>
      </c>
      <c r="G394" s="482" t="s">
        <v>7</v>
      </c>
      <c r="H394" s="289"/>
      <c r="I394" s="405"/>
      <c r="J394" s="403"/>
      <c r="K394" s="15"/>
      <c r="L394" s="298"/>
      <c r="M394" s="1"/>
      <c r="N394" s="1"/>
      <c r="O394" s="1"/>
      <c r="P394" s="1"/>
      <c r="Q394" s="1"/>
      <c r="R394" s="1"/>
      <c r="S394" s="1"/>
      <c r="T394" s="15"/>
      <c r="U394" s="300"/>
      <c r="V394" s="1"/>
      <c r="W394" s="1"/>
      <c r="X394" s="1"/>
      <c r="Y394" s="1"/>
      <c r="Z394" s="1"/>
      <c r="AA394" s="1"/>
      <c r="AB394" s="246"/>
    </row>
    <row r="395" spans="2:28" ht="16.5" thickBot="1">
      <c r="B395" s="11"/>
      <c r="C395" s="369"/>
      <c r="D395" s="1">
        <f>IF(OR(G395="",G395&lt;0,G395&gt;1),1,0)</f>
        <v>0</v>
      </c>
      <c r="E395" s="449" t="s">
        <v>114</v>
      </c>
      <c r="F395" s="450" t="s">
        <v>19</v>
      </c>
      <c r="G395" s="476">
        <v>0.46499999999999997</v>
      </c>
      <c r="H395" s="290"/>
      <c r="I395" s="12" t="s">
        <v>12</v>
      </c>
      <c r="J395" s="404"/>
      <c r="K395" s="15"/>
      <c r="L395" s="298"/>
      <c r="M395" s="15"/>
      <c r="N395" s="15"/>
      <c r="O395" s="5" t="s">
        <v>115</v>
      </c>
      <c r="P395" s="22"/>
      <c r="Q395" s="411"/>
      <c r="R395" s="15"/>
      <c r="S395" s="15"/>
      <c r="T395" s="15"/>
      <c r="U395" s="15"/>
      <c r="V395" s="1"/>
      <c r="W395" s="1"/>
      <c r="X395" s="1"/>
      <c r="Y395" s="1"/>
      <c r="Z395" s="1"/>
      <c r="AA395" s="1"/>
      <c r="AB395" s="246"/>
    </row>
    <row r="396" spans="2:28" ht="15.75">
      <c r="B396" s="11"/>
      <c r="C396" s="369"/>
      <c r="D396" s="1">
        <f>IF(OR(G396&lt;=0,G396&gt;G356),1,0)</f>
        <v>0</v>
      </c>
      <c r="E396" s="451" t="s">
        <v>116</v>
      </c>
      <c r="F396" s="7" t="s">
        <v>14</v>
      </c>
      <c r="G396" s="464">
        <v>13</v>
      </c>
      <c r="H396" s="272"/>
      <c r="I396" s="12" t="s">
        <v>12</v>
      </c>
      <c r="J396" s="404"/>
      <c r="K396" s="15"/>
      <c r="L396" s="298"/>
      <c r="M396" s="375"/>
      <c r="N396" s="15">
        <f>IF(OR(Q396&lt;1,Q396&gt;$G$12),1,0)</f>
        <v>0</v>
      </c>
      <c r="O396" s="463" t="s">
        <v>117</v>
      </c>
      <c r="P396" s="459" t="s">
        <v>86</v>
      </c>
      <c r="Q396" s="556">
        <v>12</v>
      </c>
      <c r="R396" s="15"/>
      <c r="S396" s="12" t="s">
        <v>12</v>
      </c>
      <c r="T396" s="15"/>
      <c r="U396" s="15"/>
      <c r="V396" s="1"/>
      <c r="W396" s="1"/>
      <c r="X396" s="1"/>
      <c r="Y396" s="1"/>
      <c r="Z396" s="1"/>
      <c r="AA396" s="1"/>
      <c r="AB396" s="246"/>
    </row>
    <row r="397" spans="2:28" ht="16.5" thickBot="1">
      <c r="B397" s="11"/>
      <c r="C397" s="372"/>
      <c r="D397" s="1">
        <f>IF(OR(G397&lt;0,G397=""),1,0)</f>
        <v>0</v>
      </c>
      <c r="E397" s="451" t="s">
        <v>118</v>
      </c>
      <c r="F397" s="7" t="s">
        <v>19</v>
      </c>
      <c r="G397" s="485">
        <v>7.5975931558935353E-2</v>
      </c>
      <c r="H397" s="291"/>
      <c r="I397" s="12" t="s">
        <v>12</v>
      </c>
      <c r="J397" s="404"/>
      <c r="K397" s="15"/>
      <c r="L397" s="298"/>
      <c r="M397" s="326"/>
      <c r="N397" s="15"/>
      <c r="O397" s="465" t="s">
        <v>119</v>
      </c>
      <c r="P397" s="456" t="str">
        <f>$F$16</f>
        <v>$/kW</v>
      </c>
      <c r="Q397" s="531">
        <v>21</v>
      </c>
      <c r="R397" s="15"/>
      <c r="S397" s="12" t="s">
        <v>12</v>
      </c>
      <c r="T397" s="15"/>
      <c r="U397" s="15"/>
      <c r="V397" s="1"/>
      <c r="W397" s="1"/>
      <c r="X397" s="1"/>
      <c r="Y397" s="1"/>
      <c r="Z397" s="1"/>
      <c r="AA397" s="1"/>
      <c r="AB397" s="246"/>
    </row>
    <row r="398" spans="2:28" ht="16.5" thickBot="1">
      <c r="B398" s="11"/>
      <c r="C398" s="369"/>
      <c r="D398" s="1">
        <f>IF(OR(G398&lt;0,G398=""),1,0)</f>
        <v>0</v>
      </c>
      <c r="E398" s="486" t="s">
        <v>120</v>
      </c>
      <c r="F398" s="466" t="s">
        <v>19</v>
      </c>
      <c r="G398" s="487">
        <v>0.01</v>
      </c>
      <c r="H398" s="270"/>
      <c r="I398" s="12" t="s">
        <v>12</v>
      </c>
      <c r="J398" s="403"/>
      <c r="K398" s="15"/>
      <c r="L398" s="298"/>
      <c r="M398" s="375"/>
      <c r="N398" s="15">
        <f>IF(OR(Q398&lt;Q396,Q398&gt;$G$12),1,0)</f>
        <v>0</v>
      </c>
      <c r="O398" s="529" t="s">
        <v>121</v>
      </c>
      <c r="P398" s="24" t="s">
        <v>86</v>
      </c>
      <c r="Q398" s="530">
        <v>12</v>
      </c>
      <c r="R398" s="15"/>
      <c r="S398" s="12" t="s">
        <v>12</v>
      </c>
      <c r="T398" s="15"/>
      <c r="U398" s="15"/>
      <c r="V398" s="1"/>
      <c r="W398" s="1"/>
      <c r="X398" s="1"/>
      <c r="Y398" s="1"/>
      <c r="Z398" s="1"/>
      <c r="AA398" s="1"/>
      <c r="AB398" s="246"/>
    </row>
    <row r="399" spans="2:28" ht="16.5" thickBot="1">
      <c r="B399" s="11"/>
      <c r="C399" s="369"/>
      <c r="D399" s="1"/>
      <c r="E399" s="483" t="s">
        <v>122</v>
      </c>
      <c r="F399" s="24"/>
      <c r="G399" s="484">
        <v>1</v>
      </c>
      <c r="H399" s="279"/>
      <c r="I399" s="12" t="s">
        <v>12</v>
      </c>
      <c r="J399" s="403"/>
      <c r="K399" s="15"/>
      <c r="L399" s="298"/>
      <c r="M399" s="326"/>
      <c r="N399" s="15"/>
      <c r="O399" s="465" t="s">
        <v>123</v>
      </c>
      <c r="P399" s="456" t="str">
        <f>$F$16</f>
        <v>$/kW</v>
      </c>
      <c r="Q399" s="531">
        <v>0</v>
      </c>
      <c r="R399" s="15"/>
      <c r="S399" s="12" t="s">
        <v>12</v>
      </c>
      <c r="T399" s="15"/>
      <c r="U399" s="15"/>
      <c r="V399" s="1"/>
      <c r="W399" s="1"/>
      <c r="X399" s="1"/>
      <c r="Y399" s="1"/>
      <c r="Z399" s="1"/>
      <c r="AA399" s="1"/>
      <c r="AB399" s="246"/>
    </row>
    <row r="400" spans="2:28" ht="15.75">
      <c r="B400" s="11"/>
      <c r="C400" s="1"/>
      <c r="D400" s="1"/>
      <c r="E400" s="451" t="s">
        <v>124</v>
      </c>
      <c r="F400" s="248">
        <f>MAX('[2]Cash Flow'!G389:AJ389)</f>
        <v>0</v>
      </c>
      <c r="G400" s="477"/>
      <c r="H400" s="280"/>
      <c r="I400" s="12" t="s">
        <v>12</v>
      </c>
      <c r="J400" s="403"/>
      <c r="K400" s="15"/>
      <c r="L400" s="298"/>
      <c r="M400" s="375"/>
      <c r="N400" s="15">
        <f>IF(OR(Q400&lt;Q398,Q400&gt;$G$12),1,0)</f>
        <v>0</v>
      </c>
      <c r="O400" s="474" t="s">
        <v>125</v>
      </c>
      <c r="P400" s="8" t="s">
        <v>86</v>
      </c>
      <c r="Q400" s="530">
        <v>12</v>
      </c>
      <c r="R400" s="15"/>
      <c r="S400" s="12" t="s">
        <v>12</v>
      </c>
      <c r="T400" s="15"/>
      <c r="U400" s="15"/>
      <c r="V400" s="1"/>
      <c r="W400" s="1"/>
      <c r="X400" s="1"/>
      <c r="Y400" s="1"/>
      <c r="Z400" s="1"/>
      <c r="AA400" s="1"/>
      <c r="AB400" s="246"/>
    </row>
    <row r="401" spans="2:28" ht="16.5" thickBot="1">
      <c r="B401" s="11"/>
      <c r="C401" s="369"/>
      <c r="D401" s="1"/>
      <c r="E401" s="451" t="s">
        <v>126</v>
      </c>
      <c r="F401" s="8" t="s">
        <v>127</v>
      </c>
      <c r="G401" s="478"/>
      <c r="H401" s="406"/>
      <c r="I401" s="12" t="s">
        <v>12</v>
      </c>
      <c r="J401" s="404"/>
      <c r="K401" s="15"/>
      <c r="L401" s="298"/>
      <c r="M401" s="326"/>
      <c r="N401" s="15"/>
      <c r="O401" s="465" t="s">
        <v>128</v>
      </c>
      <c r="P401" s="456" t="str">
        <f>$F$16</f>
        <v>$/kW</v>
      </c>
      <c r="Q401" s="531">
        <v>0</v>
      </c>
      <c r="R401" s="15"/>
      <c r="S401" s="12" t="s">
        <v>12</v>
      </c>
      <c r="T401" s="1"/>
      <c r="U401" s="1"/>
      <c r="V401" s="1"/>
      <c r="W401" s="1"/>
      <c r="X401" s="1"/>
      <c r="Y401" s="1"/>
      <c r="Z401" s="1"/>
      <c r="AA401" s="1"/>
      <c r="AB401" s="246"/>
    </row>
    <row r="402" spans="2:28" ht="15.75">
      <c r="B402" s="11"/>
      <c r="C402" s="369"/>
      <c r="D402" s="1"/>
      <c r="E402" s="451" t="s">
        <v>129</v>
      </c>
      <c r="F402" s="8"/>
      <c r="G402" s="680">
        <v>1.25</v>
      </c>
      <c r="H402" s="279"/>
      <c r="I402" s="12" t="s">
        <v>12</v>
      </c>
      <c r="J402" s="403"/>
      <c r="K402" s="15"/>
      <c r="L402" s="298"/>
      <c r="M402" s="375"/>
      <c r="N402" s="15">
        <f>IF(OR(Q402&lt;Q400,Q402&gt;$G$12),1,0)</f>
        <v>0</v>
      </c>
      <c r="O402" s="474" t="s">
        <v>130</v>
      </c>
      <c r="P402" s="8" t="s">
        <v>86</v>
      </c>
      <c r="Q402" s="530">
        <v>12</v>
      </c>
      <c r="R402" s="15"/>
      <c r="S402" s="12" t="s">
        <v>12</v>
      </c>
      <c r="T402" s="1"/>
      <c r="U402" s="1"/>
      <c r="V402" s="1"/>
      <c r="W402" s="1"/>
      <c r="X402" s="1"/>
      <c r="Y402" s="1"/>
      <c r="Z402" s="1"/>
      <c r="AA402" s="1"/>
      <c r="AB402" s="246"/>
    </row>
    <row r="403" spans="2:28" ht="16.5" thickBot="1">
      <c r="B403" s="11"/>
      <c r="C403" s="1"/>
      <c r="D403" s="1"/>
      <c r="E403" s="451" t="s">
        <v>131</v>
      </c>
      <c r="F403" s="248"/>
      <c r="G403" s="477"/>
      <c r="H403" s="280"/>
      <c r="I403" s="12" t="s">
        <v>12</v>
      </c>
      <c r="J403" s="403"/>
      <c r="K403" s="15"/>
      <c r="L403" s="298"/>
      <c r="M403" s="326"/>
      <c r="N403" s="15"/>
      <c r="O403" s="465" t="s">
        <v>132</v>
      </c>
      <c r="P403" s="456" t="str">
        <f>$F$16</f>
        <v>$/kW</v>
      </c>
      <c r="Q403" s="531">
        <v>0</v>
      </c>
      <c r="R403" s="15"/>
      <c r="S403" s="12" t="s">
        <v>12</v>
      </c>
      <c r="T403" s="1"/>
      <c r="U403" s="1"/>
      <c r="V403" s="1"/>
      <c r="W403" s="1"/>
      <c r="X403" s="1"/>
      <c r="Y403" s="1"/>
      <c r="Z403" s="1"/>
      <c r="AA403" s="1"/>
      <c r="AB403" s="246"/>
    </row>
    <row r="404" spans="2:28" ht="16.5" thickBot="1">
      <c r="B404" s="11"/>
      <c r="C404" s="369"/>
      <c r="D404" s="1"/>
      <c r="E404" s="455" t="s">
        <v>133</v>
      </c>
      <c r="F404" s="456" t="s">
        <v>127</v>
      </c>
      <c r="G404" s="479"/>
      <c r="H404" s="406"/>
      <c r="I404" s="12" t="s">
        <v>12</v>
      </c>
      <c r="J404" s="403"/>
      <c r="K404" s="15"/>
      <c r="L404" s="298"/>
      <c r="M404" s="1"/>
      <c r="N404" s="1"/>
      <c r="O404" s="1"/>
      <c r="P404" s="1"/>
      <c r="Q404" s="1"/>
      <c r="R404" s="1"/>
      <c r="S404" s="1"/>
      <c r="T404" s="1"/>
      <c r="U404" s="1"/>
      <c r="V404" s="1"/>
      <c r="W404" s="1"/>
      <c r="X404" s="1"/>
      <c r="Y404" s="1"/>
      <c r="Z404" s="1"/>
      <c r="AA404" s="1"/>
      <c r="AB404" s="246"/>
    </row>
    <row r="405" spans="2:28" ht="16.5" thickBot="1">
      <c r="B405" s="11"/>
      <c r="C405" s="1"/>
      <c r="D405" s="1"/>
      <c r="E405" s="449" t="s">
        <v>134</v>
      </c>
      <c r="F405" s="450" t="s">
        <v>19</v>
      </c>
      <c r="G405" s="488"/>
      <c r="H405" s="292"/>
      <c r="I405" s="12" t="s">
        <v>12</v>
      </c>
      <c r="J405" s="403"/>
      <c r="K405" s="15"/>
      <c r="L405" s="298"/>
      <c r="M405" s="15"/>
      <c r="N405" s="15"/>
      <c r="O405" s="5" t="s">
        <v>135</v>
      </c>
      <c r="P405" s="347" t="s">
        <v>6</v>
      </c>
      <c r="Q405" s="411" t="s">
        <v>7</v>
      </c>
      <c r="R405" s="15"/>
      <c r="S405" s="15"/>
      <c r="T405" s="15"/>
      <c r="U405" s="15"/>
      <c r="V405" s="1"/>
      <c r="W405" s="1"/>
      <c r="X405" s="1"/>
      <c r="Y405" s="1"/>
      <c r="Z405" s="1"/>
      <c r="AA405" s="1"/>
      <c r="AB405" s="246"/>
    </row>
    <row r="406" spans="2:28" ht="16.5" thickBot="1">
      <c r="B406" s="11"/>
      <c r="C406" s="369"/>
      <c r="D406" s="1">
        <f>IF(OR(G406&lt;0,G406=""),1,0)</f>
        <v>0</v>
      </c>
      <c r="E406" s="489" t="s">
        <v>136</v>
      </c>
      <c r="F406" s="466" t="s">
        <v>19</v>
      </c>
      <c r="G406" s="722">
        <v>0.10299999999999998</v>
      </c>
      <c r="H406" s="291"/>
      <c r="I406" s="12" t="s">
        <v>12</v>
      </c>
      <c r="J406" s="403"/>
      <c r="K406" s="15"/>
      <c r="L406" s="298"/>
      <c r="M406" s="15"/>
      <c r="N406" s="15"/>
      <c r="O406" s="532" t="s">
        <v>137</v>
      </c>
      <c r="P406" s="533"/>
      <c r="Q406" s="534"/>
      <c r="R406" s="15"/>
      <c r="S406" s="15"/>
      <c r="T406" s="15"/>
      <c r="U406" s="1"/>
      <c r="V406" s="1"/>
      <c r="W406" s="1"/>
      <c r="X406" s="1"/>
      <c r="Y406" s="1"/>
      <c r="Z406" s="1"/>
      <c r="AA406" s="1"/>
      <c r="AB406" s="246"/>
    </row>
    <row r="407" spans="2:28" ht="15.75">
      <c r="B407" s="11"/>
      <c r="C407" s="1"/>
      <c r="D407" s="1"/>
      <c r="E407" s="449" t="s">
        <v>138</v>
      </c>
      <c r="F407" s="450" t="s">
        <v>19</v>
      </c>
      <c r="G407" s="681"/>
      <c r="H407" s="1"/>
      <c r="I407" s="12" t="s">
        <v>12</v>
      </c>
      <c r="J407" s="246"/>
      <c r="K407" s="15"/>
      <c r="L407" s="298"/>
      <c r="M407" s="374"/>
      <c r="N407" s="15"/>
      <c r="O407" s="535" t="s">
        <v>139</v>
      </c>
      <c r="P407" s="23"/>
      <c r="Q407" s="511" t="s">
        <v>140</v>
      </c>
      <c r="R407" s="15"/>
      <c r="S407" s="12" t="s">
        <v>12</v>
      </c>
      <c r="T407" s="15"/>
      <c r="U407" s="15"/>
      <c r="V407" s="1"/>
      <c r="W407" s="1"/>
      <c r="X407" s="1"/>
      <c r="Y407" s="1"/>
      <c r="Z407" s="1"/>
      <c r="AA407" s="1"/>
      <c r="AB407" s="246"/>
    </row>
    <row r="408" spans="2:28" ht="16.5" thickBot="1">
      <c r="B408" s="11"/>
      <c r="C408" s="369"/>
      <c r="D408" s="1"/>
      <c r="E408" s="486" t="s">
        <v>141</v>
      </c>
      <c r="F408" s="466" t="s">
        <v>47</v>
      </c>
      <c r="G408" s="490">
        <v>0</v>
      </c>
      <c r="H408" s="288"/>
      <c r="I408" s="12" t="s">
        <v>12</v>
      </c>
      <c r="J408" s="246"/>
      <c r="K408" s="15"/>
      <c r="L408" s="298"/>
      <c r="M408" s="375"/>
      <c r="N408" s="15"/>
      <c r="O408" s="465" t="s">
        <v>142</v>
      </c>
      <c r="P408" s="456" t="s">
        <v>47</v>
      </c>
      <c r="Q408" s="588">
        <v>0</v>
      </c>
      <c r="R408" s="15"/>
      <c r="S408" s="12" t="s">
        <v>12</v>
      </c>
      <c r="T408" s="15"/>
      <c r="U408" s="385"/>
      <c r="V408" s="1"/>
      <c r="W408" s="1"/>
      <c r="X408" s="1"/>
      <c r="Y408" s="1"/>
      <c r="Z408" s="1"/>
      <c r="AA408" s="1"/>
      <c r="AB408" s="246"/>
    </row>
    <row r="409" spans="2:28" ht="16.5" thickBot="1">
      <c r="B409" s="11"/>
      <c r="C409" s="1"/>
      <c r="D409" s="1"/>
      <c r="E409" s="1"/>
      <c r="F409" s="1"/>
      <c r="G409" s="1"/>
      <c r="H409" s="1"/>
      <c r="I409" s="1"/>
      <c r="J409" s="246"/>
      <c r="K409" s="15"/>
      <c r="L409" s="298"/>
      <c r="M409" s="1"/>
      <c r="N409" s="1"/>
      <c r="O409" s="1"/>
      <c r="P409" s="1"/>
      <c r="Q409" s="1"/>
      <c r="R409" s="1"/>
      <c r="S409" s="1"/>
      <c r="T409" s="1"/>
      <c r="U409" s="385"/>
      <c r="V409" s="1"/>
      <c r="W409" s="1"/>
      <c r="X409" s="1"/>
      <c r="Y409" s="1"/>
      <c r="Z409" s="1"/>
      <c r="AA409" s="1"/>
      <c r="AB409" s="246"/>
    </row>
    <row r="410" spans="2:28" ht="16.5" thickBot="1">
      <c r="B410" s="298"/>
      <c r="C410" s="1"/>
      <c r="D410" s="1"/>
      <c r="E410" s="314" t="s">
        <v>143</v>
      </c>
      <c r="F410" s="22"/>
      <c r="G410" s="315"/>
      <c r="H410" s="1"/>
      <c r="I410" s="1"/>
      <c r="J410" s="246"/>
      <c r="K410" s="1"/>
      <c r="L410" s="298"/>
      <c r="M410" s="15"/>
      <c r="N410" s="15"/>
      <c r="O410" s="5" t="s">
        <v>144</v>
      </c>
      <c r="P410" s="347" t="s">
        <v>6</v>
      </c>
      <c r="Q410" s="411" t="s">
        <v>7</v>
      </c>
      <c r="R410" s="15"/>
      <c r="S410" s="15"/>
      <c r="T410" s="15"/>
      <c r="U410" s="378"/>
      <c r="V410" s="1"/>
      <c r="W410" s="1"/>
      <c r="X410" s="1"/>
      <c r="Y410" s="1"/>
      <c r="Z410" s="1"/>
      <c r="AA410" s="1"/>
      <c r="AB410" s="246"/>
    </row>
    <row r="411" spans="2:28" ht="15.75">
      <c r="B411" s="298"/>
      <c r="C411" s="1"/>
      <c r="D411" s="1"/>
      <c r="E411" s="449" t="s">
        <v>145</v>
      </c>
      <c r="F411" s="574"/>
      <c r="G411" s="491"/>
      <c r="H411" s="1"/>
      <c r="I411" s="12" t="s">
        <v>12</v>
      </c>
      <c r="J411" s="246"/>
      <c r="K411" s="15"/>
      <c r="L411" s="298"/>
      <c r="M411" s="15"/>
      <c r="N411" s="15"/>
      <c r="O411" s="536" t="s">
        <v>146</v>
      </c>
      <c r="P411" s="527"/>
      <c r="Q411" s="528"/>
      <c r="R411" s="15"/>
      <c r="S411" s="15"/>
      <c r="T411" s="15"/>
      <c r="U411" s="15"/>
      <c r="V411" s="1"/>
      <c r="W411" s="1"/>
      <c r="X411" s="1"/>
      <c r="Y411" s="1"/>
      <c r="Z411" s="1"/>
      <c r="AA411" s="1"/>
      <c r="AB411" s="246"/>
    </row>
    <row r="412" spans="2:28" ht="15.75">
      <c r="B412" s="298"/>
      <c r="C412" s="1"/>
      <c r="D412" s="1"/>
      <c r="E412" s="451" t="s">
        <v>147</v>
      </c>
      <c r="F412" s="573"/>
      <c r="G412" s="467"/>
      <c r="H412" s="1"/>
      <c r="I412" s="12" t="s">
        <v>12</v>
      </c>
      <c r="J412" s="246"/>
      <c r="K412" s="1"/>
      <c r="L412" s="298"/>
      <c r="M412" s="375"/>
      <c r="N412" s="15"/>
      <c r="O412" s="451" t="s">
        <v>148</v>
      </c>
      <c r="P412" s="7" t="s">
        <v>107</v>
      </c>
      <c r="Q412" s="584">
        <v>0</v>
      </c>
      <c r="R412" s="15"/>
      <c r="S412" s="12" t="s">
        <v>12</v>
      </c>
      <c r="T412" s="15"/>
      <c r="U412" s="15"/>
      <c r="V412" s="1"/>
      <c r="W412" s="1"/>
      <c r="X412" s="1"/>
      <c r="Y412" s="1"/>
      <c r="Z412" s="1"/>
      <c r="AA412" s="1"/>
      <c r="AB412" s="246"/>
    </row>
    <row r="413" spans="2:28" ht="16.5" thickBot="1">
      <c r="B413" s="11"/>
      <c r="C413" s="1"/>
      <c r="D413" s="1"/>
      <c r="E413" s="492" t="s">
        <v>149</v>
      </c>
      <c r="F413" s="575"/>
      <c r="G413" s="493"/>
      <c r="H413" s="1"/>
      <c r="I413" s="12" t="s">
        <v>12</v>
      </c>
      <c r="J413" s="246"/>
      <c r="K413" s="1"/>
      <c r="L413" s="298"/>
      <c r="M413" s="15"/>
      <c r="N413" s="15"/>
      <c r="O413" s="455" t="s">
        <v>150</v>
      </c>
      <c r="P413" s="466" t="s">
        <v>47</v>
      </c>
      <c r="Q413" s="537"/>
      <c r="R413" s="15"/>
      <c r="S413" s="12" t="s">
        <v>12</v>
      </c>
      <c r="T413" s="15"/>
      <c r="U413" s="15"/>
      <c r="V413" s="1"/>
      <c r="W413" s="1"/>
      <c r="X413" s="1"/>
      <c r="Y413" s="1"/>
      <c r="Z413" s="1"/>
      <c r="AA413" s="1"/>
      <c r="AB413" s="246"/>
    </row>
    <row r="414" spans="2:28" ht="17.25" thickTop="1" thickBot="1">
      <c r="B414" s="298"/>
      <c r="C414" s="1"/>
      <c r="D414" s="1"/>
      <c r="E414" s="494" t="s">
        <v>44</v>
      </c>
      <c r="F414" s="462" t="s">
        <v>47</v>
      </c>
      <c r="G414" s="495"/>
      <c r="H414" s="1"/>
      <c r="I414" s="12" t="s">
        <v>12</v>
      </c>
      <c r="J414" s="246"/>
      <c r="K414" s="1"/>
      <c r="L414" s="298"/>
      <c r="M414" s="15"/>
      <c r="N414" s="15"/>
      <c r="O414" s="536" t="s">
        <v>151</v>
      </c>
      <c r="P414" s="527"/>
      <c r="Q414" s="538"/>
      <c r="R414" s="15"/>
      <c r="S414" s="15"/>
      <c r="T414" s="15"/>
      <c r="U414" s="15"/>
      <c r="V414" s="1"/>
      <c r="W414" s="1"/>
      <c r="X414" s="1"/>
      <c r="Y414" s="1"/>
      <c r="Z414" s="1"/>
      <c r="AA414" s="1"/>
      <c r="AB414" s="246"/>
    </row>
    <row r="415" spans="2:28" ht="16.5" thickBot="1">
      <c r="B415" s="11"/>
      <c r="C415" s="1"/>
      <c r="D415" s="1"/>
      <c r="E415" s="1"/>
      <c r="F415" s="1"/>
      <c r="G415" s="1"/>
      <c r="H415" s="1"/>
      <c r="I415" s="1"/>
      <c r="J415" s="246"/>
      <c r="K415" s="1"/>
      <c r="L415" s="298"/>
      <c r="M415" s="375"/>
      <c r="N415" s="15"/>
      <c r="O415" s="474" t="s">
        <v>152</v>
      </c>
      <c r="P415" s="7" t="s">
        <v>107</v>
      </c>
      <c r="Q415" s="584">
        <v>0</v>
      </c>
      <c r="R415" s="15"/>
      <c r="S415" s="12" t="s">
        <v>12</v>
      </c>
      <c r="T415" s="15"/>
      <c r="U415" s="1"/>
      <c r="V415" s="1"/>
      <c r="W415" s="1"/>
      <c r="X415" s="1"/>
      <c r="Y415" s="1"/>
      <c r="Z415" s="1"/>
      <c r="AA415" s="1"/>
      <c r="AB415" s="246"/>
    </row>
    <row r="416" spans="2:28" ht="16.5" thickBot="1">
      <c r="B416" s="11"/>
      <c r="C416" s="1"/>
      <c r="D416" s="1"/>
      <c r="E416" s="5" t="s">
        <v>153</v>
      </c>
      <c r="F416" s="347" t="s">
        <v>6</v>
      </c>
      <c r="G416" s="411" t="s">
        <v>7</v>
      </c>
      <c r="H416" s="293"/>
      <c r="I416" s="17"/>
      <c r="J416" s="246"/>
      <c r="K416" s="1"/>
      <c r="L416" s="298"/>
      <c r="M416" s="15"/>
      <c r="N416" s="15"/>
      <c r="O416" s="465" t="s">
        <v>154</v>
      </c>
      <c r="P416" s="466" t="s">
        <v>47</v>
      </c>
      <c r="Q416" s="537"/>
      <c r="R416" s="15"/>
      <c r="S416" s="12" t="s">
        <v>12</v>
      </c>
      <c r="T416" s="15"/>
      <c r="U416" s="15"/>
      <c r="V416" s="1"/>
      <c r="W416" s="1"/>
      <c r="X416" s="1"/>
      <c r="Y416" s="1"/>
      <c r="Z416" s="1"/>
      <c r="AA416" s="1"/>
      <c r="AB416" s="246"/>
    </row>
    <row r="417" spans="2:28" ht="16.5" thickBot="1">
      <c r="B417" s="11"/>
      <c r="C417" s="373"/>
      <c r="D417" s="1"/>
      <c r="E417" s="438" t="s">
        <v>155</v>
      </c>
      <c r="F417" s="525"/>
      <c r="G417" s="547" t="s">
        <v>83</v>
      </c>
      <c r="H417" s="282"/>
      <c r="I417" s="12" t="s">
        <v>12</v>
      </c>
      <c r="J417" s="246"/>
      <c r="K417" s="1"/>
      <c r="L417" s="298"/>
      <c r="M417" s="375"/>
      <c r="N417" s="15"/>
      <c r="O417" s="540" t="s">
        <v>156</v>
      </c>
      <c r="P417" s="439" t="s">
        <v>19</v>
      </c>
      <c r="Q417" s="539">
        <v>0.02</v>
      </c>
      <c r="R417" s="15"/>
      <c r="S417" s="12" t="s">
        <v>12</v>
      </c>
      <c r="T417" s="15"/>
      <c r="U417" s="1"/>
      <c r="V417" s="1"/>
      <c r="W417" s="1"/>
      <c r="X417" s="1"/>
      <c r="Y417" s="1"/>
      <c r="Z417" s="1"/>
      <c r="AA417" s="1"/>
      <c r="AB417" s="246"/>
    </row>
    <row r="418" spans="2:28" ht="16.5" thickBot="1">
      <c r="B418" s="11"/>
      <c r="C418" s="369"/>
      <c r="D418" s="1">
        <f>IF(OR(G418&lt;0,G418=""),1,0)</f>
        <v>0</v>
      </c>
      <c r="E418" s="458" t="s">
        <v>157</v>
      </c>
      <c r="F418" s="450" t="s">
        <v>19</v>
      </c>
      <c r="G418" s="548">
        <v>0.21</v>
      </c>
      <c r="H418" s="270"/>
      <c r="I418" s="12" t="s">
        <v>12</v>
      </c>
      <c r="J418" s="403"/>
      <c r="K418" s="1"/>
      <c r="L418" s="11"/>
      <c r="M418" s="1"/>
      <c r="N418" s="1"/>
      <c r="O418" s="1"/>
      <c r="P418" s="1"/>
      <c r="Q418" s="1"/>
      <c r="R418" s="1"/>
      <c r="S418" s="1"/>
      <c r="T418" s="1"/>
      <c r="U418" s="1"/>
      <c r="V418" s="1"/>
      <c r="W418" s="1"/>
      <c r="X418" s="1"/>
      <c r="Y418" s="1"/>
      <c r="Z418" s="1"/>
      <c r="AA418" s="1"/>
      <c r="AB418" s="246"/>
    </row>
    <row r="419" spans="2:28" ht="16.5" thickBot="1">
      <c r="B419" s="11"/>
      <c r="C419" s="373"/>
      <c r="D419" s="1"/>
      <c r="E419" s="513" t="s">
        <v>75</v>
      </c>
      <c r="F419" s="549"/>
      <c r="G419" s="517" t="s">
        <v>76</v>
      </c>
      <c r="H419" s="282"/>
      <c r="I419" s="12" t="s">
        <v>12</v>
      </c>
      <c r="J419" s="246"/>
      <c r="K419" s="1"/>
      <c r="L419" s="11"/>
      <c r="M419" s="15"/>
      <c r="N419" s="15"/>
      <c r="O419" s="348" t="s">
        <v>158</v>
      </c>
      <c r="P419" s="432" t="s">
        <v>159</v>
      </c>
      <c r="Q419" s="432"/>
      <c r="R419" s="432"/>
      <c r="S419" s="432"/>
      <c r="T419" s="432"/>
      <c r="U419" s="432"/>
      <c r="V419" s="432"/>
      <c r="W419" s="432"/>
      <c r="X419" s="432"/>
      <c r="Y419" s="432"/>
      <c r="Z419" s="315"/>
      <c r="AA419" s="1"/>
      <c r="AB419" s="246"/>
    </row>
    <row r="420" spans="2:28" ht="15.75">
      <c r="B420" s="11"/>
      <c r="C420" s="369"/>
      <c r="D420" s="1">
        <f>IF(OR(G420&lt;0,G420=""),1,0)</f>
        <v>0</v>
      </c>
      <c r="E420" s="458" t="s">
        <v>160</v>
      </c>
      <c r="F420" s="450" t="s">
        <v>19</v>
      </c>
      <c r="G420" s="682">
        <v>0.09</v>
      </c>
      <c r="H420" s="270"/>
      <c r="I420" s="12" t="s">
        <v>12</v>
      </c>
      <c r="J420" s="403"/>
      <c r="K420" s="1"/>
      <c r="L420" s="11"/>
      <c r="M420" s="373"/>
      <c r="N420" s="15"/>
      <c r="O420" s="515" t="s">
        <v>161</v>
      </c>
      <c r="P420" s="496" t="str">
        <f>[2]Input_Dashboard!$D$141</f>
        <v>No</v>
      </c>
      <c r="Q420" s="1"/>
      <c r="R420" s="1"/>
      <c r="S420" s="419" t="s">
        <v>12</v>
      </c>
      <c r="T420" s="1"/>
      <c r="U420" s="1"/>
      <c r="V420" s="1"/>
      <c r="W420" s="1"/>
      <c r="X420" s="1"/>
      <c r="Y420" s="1"/>
      <c r="Z420" s="246"/>
      <c r="AA420" s="1"/>
      <c r="AB420" s="246"/>
    </row>
    <row r="421" spans="2:28" ht="16.5" thickBot="1">
      <c r="B421" s="11"/>
      <c r="C421" s="373"/>
      <c r="D421" s="1"/>
      <c r="E421" s="513" t="s">
        <v>162</v>
      </c>
      <c r="F421" s="549"/>
      <c r="G421" s="517" t="s">
        <v>76</v>
      </c>
      <c r="H421" s="282"/>
      <c r="I421" s="12" t="s">
        <v>12</v>
      </c>
      <c r="J421" s="403"/>
      <c r="K421" s="1"/>
      <c r="L421" s="11"/>
      <c r="M421" s="375"/>
      <c r="N421" s="1"/>
      <c r="O421" s="455" t="s">
        <v>163</v>
      </c>
      <c r="P421" s="683">
        <f>[2]Input_Dashboard!D486</f>
        <v>0</v>
      </c>
      <c r="Q421" s="1"/>
      <c r="R421" s="1"/>
      <c r="S421" s="12" t="s">
        <v>12</v>
      </c>
      <c r="T421" s="1"/>
      <c r="U421" s="1"/>
      <c r="V421" s="1"/>
      <c r="W421" s="1"/>
      <c r="X421" s="1"/>
      <c r="Y421" s="1"/>
      <c r="Z421" s="246"/>
      <c r="AA421" s="1"/>
      <c r="AB421" s="246"/>
    </row>
    <row r="422" spans="2:28" ht="16.5" thickBot="1">
      <c r="B422" s="11"/>
      <c r="C422" s="1"/>
      <c r="D422" s="1"/>
      <c r="E422" s="550" t="s">
        <v>164</v>
      </c>
      <c r="F422" s="551" t="s">
        <v>19</v>
      </c>
      <c r="G422" s="552"/>
      <c r="H422" s="295"/>
      <c r="I422" s="12" t="s">
        <v>12</v>
      </c>
      <c r="J422" s="403"/>
      <c r="K422" s="1"/>
      <c r="L422" s="11"/>
      <c r="M422" s="1"/>
      <c r="N422" s="1"/>
      <c r="O422" s="296"/>
      <c r="P422" s="40"/>
      <c r="Q422" s="40"/>
      <c r="R422" s="40"/>
      <c r="S422" s="40"/>
      <c r="T422" s="40"/>
      <c r="U422" s="40"/>
      <c r="V422" s="40"/>
      <c r="W422" s="40"/>
      <c r="X422" s="40"/>
      <c r="Y422" s="40"/>
      <c r="Z422" s="305"/>
      <c r="AA422" s="1"/>
      <c r="AB422" s="246"/>
    </row>
    <row r="423" spans="2:28" ht="16.5" thickBot="1">
      <c r="B423" s="11"/>
      <c r="C423" s="1"/>
      <c r="D423" s="1"/>
      <c r="E423" s="455" t="s">
        <v>158</v>
      </c>
      <c r="F423" s="498"/>
      <c r="G423" s="499" t="s">
        <v>165</v>
      </c>
      <c r="H423" s="55"/>
      <c r="I423" s="12" t="s">
        <v>12</v>
      </c>
      <c r="J423" s="246"/>
      <c r="K423" s="1"/>
      <c r="L423" s="11"/>
      <c r="M423" s="15"/>
      <c r="N423" s="15"/>
      <c r="O423" s="542" t="s">
        <v>166</v>
      </c>
      <c r="P423" s="543" t="s">
        <v>167</v>
      </c>
      <c r="Q423" s="648" t="s">
        <v>168</v>
      </c>
      <c r="R423" s="775" t="s">
        <v>169</v>
      </c>
      <c r="S423" s="776"/>
      <c r="T423" s="777"/>
      <c r="U423" s="543" t="s">
        <v>170</v>
      </c>
      <c r="V423" s="543" t="s">
        <v>171</v>
      </c>
      <c r="W423" s="543" t="s">
        <v>172</v>
      </c>
      <c r="X423" s="543" t="s">
        <v>173</v>
      </c>
      <c r="Y423" s="543" t="s">
        <v>174</v>
      </c>
      <c r="Z423" s="544" t="s">
        <v>175</v>
      </c>
      <c r="AA423" s="1"/>
      <c r="AB423" s="246"/>
    </row>
    <row r="424" spans="2:28" ht="16.5" thickBot="1">
      <c r="B424" s="11"/>
      <c r="C424" s="1"/>
      <c r="D424" s="1"/>
      <c r="E424" s="1"/>
      <c r="F424" s="1"/>
      <c r="G424" s="1"/>
      <c r="H424" s="1"/>
      <c r="I424" s="1"/>
      <c r="J424" s="246"/>
      <c r="K424" s="1"/>
      <c r="L424" s="11">
        <f>IF(AND($G$73="Yes",$G$15="Simple"),1,0)</f>
        <v>0</v>
      </c>
      <c r="M424" s="15"/>
      <c r="N424" s="230">
        <f>IF(AND($G$15="Simple",SUM(P424:Z424)=1),1,IF(AND($G$15="Simple",SUM(P424:Z424)&lt;&gt;1),2,0))</f>
        <v>0</v>
      </c>
      <c r="O424" s="545" t="str">
        <f t="shared" ref="O424:O429" si="4">E360</f>
        <v>Total Installed Cost</v>
      </c>
      <c r="P424" s="590">
        <v>0.94</v>
      </c>
      <c r="Q424" s="649">
        <v>0</v>
      </c>
      <c r="R424" s="778">
        <v>1.4999999999999999E-2</v>
      </c>
      <c r="S424" s="779"/>
      <c r="T424" s="780"/>
      <c r="U424" s="590">
        <v>0.01</v>
      </c>
      <c r="V424" s="590">
        <v>0</v>
      </c>
      <c r="W424" s="590">
        <v>0</v>
      </c>
      <c r="X424" s="590">
        <v>0.01</v>
      </c>
      <c r="Y424" s="590">
        <v>0</v>
      </c>
      <c r="Z424" s="593">
        <v>2.5000000000000001E-2</v>
      </c>
      <c r="AA424" s="1"/>
      <c r="AB424" s="294" t="s">
        <v>12</v>
      </c>
    </row>
    <row r="425" spans="2:28" ht="16.5" thickBot="1">
      <c r="B425" s="296"/>
      <c r="C425" s="40"/>
      <c r="D425" s="40"/>
      <c r="E425" s="40"/>
      <c r="F425" s="40"/>
      <c r="G425" s="40"/>
      <c r="H425" s="40"/>
      <c r="I425" s="40"/>
      <c r="J425" s="305"/>
      <c r="K425" s="1"/>
      <c r="L425" s="11">
        <f>IF(AND($G$73="Yes",$G$15="Intermediate"),1,0)</f>
        <v>1</v>
      </c>
      <c r="M425" s="15"/>
      <c r="N425" s="230">
        <f>IF(AND($G$15="Intermediate",SUM(P425:Z425)=1),1,IF(AND($G$15="Intermediate",SUM(P425:Z425)&lt;&gt;1),2,0))</f>
        <v>1</v>
      </c>
      <c r="O425" s="595" t="str">
        <f t="shared" si="4"/>
        <v>Generation Equipment</v>
      </c>
      <c r="P425" s="723">
        <v>0.96</v>
      </c>
      <c r="Q425" s="724">
        <v>0</v>
      </c>
      <c r="R425" s="781">
        <v>0.02</v>
      </c>
      <c r="S425" s="782"/>
      <c r="T425" s="783"/>
      <c r="U425" s="725">
        <v>0</v>
      </c>
      <c r="V425" s="725">
        <v>0</v>
      </c>
      <c r="W425" s="725">
        <v>0</v>
      </c>
      <c r="X425" s="725">
        <v>0.02</v>
      </c>
      <c r="Y425" s="725">
        <v>0</v>
      </c>
      <c r="Z425" s="726">
        <v>0</v>
      </c>
      <c r="AA425" s="1"/>
      <c r="AB425" s="294" t="s">
        <v>12</v>
      </c>
    </row>
    <row r="426" spans="2:28" ht="15.75">
      <c r="B426" s="1"/>
      <c r="C426" s="1"/>
      <c r="D426" s="1"/>
      <c r="E426" s="1"/>
      <c r="F426" s="1"/>
      <c r="G426" s="1"/>
      <c r="H426" s="1"/>
      <c r="I426" s="1"/>
      <c r="J426" s="1"/>
      <c r="K426" s="1"/>
      <c r="L426" s="11">
        <f>IF(AND($G$73="Yes",$G$15="Intermediate"),1,0)</f>
        <v>1</v>
      </c>
      <c r="M426" s="15"/>
      <c r="N426" s="230">
        <f>IF(AND($G$15="Intermediate",SUM(P426:Z426)=1),1,IF(AND($G$15="Intermediate",SUM(P426:Z426)&lt;&gt;1),2,0))</f>
        <v>1</v>
      </c>
      <c r="O426" s="596" t="str">
        <f t="shared" si="4"/>
        <v>Balance of Plant</v>
      </c>
      <c r="P426" s="723">
        <v>0.5</v>
      </c>
      <c r="Q426" s="724">
        <v>0</v>
      </c>
      <c r="R426" s="784">
        <v>0</v>
      </c>
      <c r="S426" s="785"/>
      <c r="T426" s="786"/>
      <c r="U426" s="724">
        <v>0</v>
      </c>
      <c r="V426" s="724">
        <v>0</v>
      </c>
      <c r="W426" s="724">
        <v>0.5</v>
      </c>
      <c r="X426" s="724">
        <v>0</v>
      </c>
      <c r="Y426" s="724">
        <v>0</v>
      </c>
      <c r="Z426" s="727">
        <v>0</v>
      </c>
      <c r="AA426" s="1"/>
      <c r="AB426" s="294" t="s">
        <v>12</v>
      </c>
    </row>
    <row r="427" spans="2:28" ht="15.75">
      <c r="B427" s="1"/>
      <c r="C427" s="1"/>
      <c r="D427" s="1"/>
      <c r="E427" s="1"/>
      <c r="F427" s="1"/>
      <c r="G427" s="1"/>
      <c r="H427" s="1"/>
      <c r="I427" s="1"/>
      <c r="J427" s="1"/>
      <c r="K427" s="1"/>
      <c r="L427" s="11">
        <f>IF(AND($G$73="Yes",$G$15="Intermediate"),1,0)</f>
        <v>1</v>
      </c>
      <c r="M427" s="15"/>
      <c r="N427" s="230">
        <f>IF(AND($G$15="Intermediate",SUM(P427:Z427)=1),1,IF(AND($G$15="Intermediate",SUM(P427:Z427)&lt;&gt;1),2,0))</f>
        <v>1</v>
      </c>
      <c r="O427" s="596" t="str">
        <f t="shared" si="4"/>
        <v>Interconnection</v>
      </c>
      <c r="P427" s="723">
        <v>0</v>
      </c>
      <c r="Q427" s="724">
        <v>0</v>
      </c>
      <c r="R427" s="784">
        <v>0</v>
      </c>
      <c r="S427" s="785"/>
      <c r="T427" s="786"/>
      <c r="U427" s="724">
        <v>0</v>
      </c>
      <c r="V427" s="724">
        <v>0</v>
      </c>
      <c r="W427" s="724">
        <v>1</v>
      </c>
      <c r="X427" s="724">
        <v>0</v>
      </c>
      <c r="Y427" s="724">
        <v>0</v>
      </c>
      <c r="Z427" s="727">
        <v>0</v>
      </c>
      <c r="AA427" s="1"/>
      <c r="AB427" s="294" t="s">
        <v>12</v>
      </c>
    </row>
    <row r="428" spans="2:28" ht="15.75">
      <c r="B428" s="1"/>
      <c r="C428" s="1"/>
      <c r="D428" s="1"/>
      <c r="E428" s="1"/>
      <c r="F428" s="1"/>
      <c r="G428" s="1"/>
      <c r="H428" s="1"/>
      <c r="I428" s="1"/>
      <c r="J428" s="1"/>
      <c r="K428" s="1"/>
      <c r="L428" s="11">
        <f>IF(AND($G$73="Yes",$G$15="Intermediate"),1,0)</f>
        <v>1</v>
      </c>
      <c r="M428" s="15"/>
      <c r="N428" s="230">
        <f>IF(AND($G$15="Intermediate",SUM(P428:Z428)=1),1,IF(AND($G$15="Intermediate",SUM(P428:Z428)&lt;&gt;1),2,0))</f>
        <v>1</v>
      </c>
      <c r="O428" s="596" t="str">
        <f t="shared" si="4"/>
        <v>Development Costs &amp; Fee</v>
      </c>
      <c r="P428" s="723">
        <v>0.8</v>
      </c>
      <c r="Q428" s="724">
        <v>0</v>
      </c>
      <c r="R428" s="784">
        <v>0</v>
      </c>
      <c r="S428" s="785"/>
      <c r="T428" s="786"/>
      <c r="U428" s="724">
        <v>0</v>
      </c>
      <c r="V428" s="724">
        <v>0</v>
      </c>
      <c r="W428" s="724">
        <v>0.05</v>
      </c>
      <c r="X428" s="724">
        <v>0.05</v>
      </c>
      <c r="Y428" s="724">
        <v>0</v>
      </c>
      <c r="Z428" s="727">
        <v>0.1</v>
      </c>
      <c r="AA428" s="1"/>
      <c r="AB428" s="294" t="s">
        <v>12</v>
      </c>
    </row>
    <row r="429" spans="2:28" ht="16.5" thickBot="1">
      <c r="B429" s="1"/>
      <c r="C429" s="1"/>
      <c r="D429" s="1"/>
      <c r="E429" s="1"/>
      <c r="F429" s="1"/>
      <c r="G429" s="1"/>
      <c r="H429" s="1"/>
      <c r="I429" s="1"/>
      <c r="J429" s="1"/>
      <c r="K429" s="1"/>
      <c r="L429" s="11">
        <f>IF(AND($G$73="Yes",$G$15="Intermediate"),1,0)</f>
        <v>1</v>
      </c>
      <c r="M429" s="15"/>
      <c r="N429" s="230">
        <f>IF(AND($G$15="Intermediate",SUM(P429:Z429)=1),1,IF(AND($G$15="Intermediate",SUM(P429:Z429)&lt;&gt;1),2,0))</f>
        <v>1</v>
      </c>
      <c r="O429" s="597" t="str">
        <f t="shared" si="4"/>
        <v>Reserves &amp; Financing Costs</v>
      </c>
      <c r="P429" s="728">
        <v>0</v>
      </c>
      <c r="Q429" s="729">
        <v>0</v>
      </c>
      <c r="R429" s="766">
        <v>0</v>
      </c>
      <c r="S429" s="767"/>
      <c r="T429" s="768"/>
      <c r="U429" s="729">
        <v>0</v>
      </c>
      <c r="V429" s="729">
        <v>0</v>
      </c>
      <c r="W429" s="729">
        <v>0</v>
      </c>
      <c r="X429" s="729">
        <v>0.5</v>
      </c>
      <c r="Y429" s="729">
        <v>0</v>
      </c>
      <c r="Z429" s="730">
        <v>0.5</v>
      </c>
      <c r="AA429" s="1"/>
      <c r="AB429" s="294" t="s">
        <v>12</v>
      </c>
    </row>
    <row r="430" spans="2:28" ht="16.5" thickBot="1">
      <c r="B430" s="1"/>
      <c r="C430" s="1"/>
      <c r="D430" s="1"/>
      <c r="E430" s="1"/>
      <c r="F430" s="1"/>
      <c r="G430" s="1"/>
      <c r="H430" s="1"/>
      <c r="I430" s="1"/>
      <c r="J430" s="1"/>
      <c r="K430" s="1"/>
      <c r="L430" s="296">
        <f>IF(AND($G$73="Yes",$G$15="Complex"),1,0)</f>
        <v>0</v>
      </c>
      <c r="M430" s="647"/>
      <c r="N430" s="647"/>
      <c r="O430" s="546" t="s">
        <v>176</v>
      </c>
      <c r="P430" s="591"/>
      <c r="Q430" s="592"/>
      <c r="R430" s="769"/>
      <c r="S430" s="770"/>
      <c r="T430" s="771"/>
      <c r="U430" s="591"/>
      <c r="V430" s="591"/>
      <c r="W430" s="591"/>
      <c r="X430" s="591"/>
      <c r="Y430" s="591"/>
      <c r="Z430" s="594"/>
      <c r="AA430" s="40"/>
      <c r="AB430" s="421" t="s">
        <v>12</v>
      </c>
    </row>
    <row r="432" spans="2:28" ht="36.75" thickBot="1">
      <c r="E432" s="731" t="s">
        <v>181</v>
      </c>
    </row>
    <row r="433" spans="2:28" ht="18.75" thickBot="1">
      <c r="B433" s="413"/>
      <c r="C433" s="772" t="s">
        <v>1</v>
      </c>
      <c r="D433" s="772"/>
      <c r="E433" s="772"/>
      <c r="F433" s="772"/>
      <c r="G433" s="772"/>
      <c r="H433" s="772"/>
      <c r="I433" s="772"/>
      <c r="J433" s="772"/>
      <c r="K433" s="772"/>
      <c r="L433" s="773"/>
      <c r="M433" s="773"/>
      <c r="N433" s="773"/>
      <c r="O433" s="773"/>
      <c r="P433" s="773"/>
      <c r="Q433" s="773"/>
      <c r="R433" s="773"/>
      <c r="S433" s="773"/>
      <c r="T433" s="773"/>
      <c r="U433" s="328"/>
      <c r="V433" s="329"/>
      <c r="W433" s="329"/>
      <c r="X433" s="329"/>
      <c r="Y433" s="329"/>
      <c r="Z433" s="329"/>
      <c r="AA433" s="329"/>
      <c r="AB433" s="330"/>
    </row>
    <row r="434" spans="2:28" ht="18">
      <c r="B434" s="11"/>
      <c r="C434" s="266"/>
      <c r="D434" s="266"/>
      <c r="E434" s="266"/>
      <c r="F434" s="266"/>
      <c r="G434" s="266"/>
      <c r="H434" s="266"/>
      <c r="I434" s="266"/>
      <c r="J434" s="266"/>
      <c r="K434" s="341"/>
      <c r="L434" s="265"/>
      <c r="M434" s="266"/>
      <c r="N434" s="266"/>
      <c r="O434" s="266"/>
      <c r="P434" s="266"/>
      <c r="Q434" s="266"/>
      <c r="R434" s="266"/>
      <c r="S434" s="266"/>
      <c r="T434" s="266"/>
      <c r="U434" s="266"/>
      <c r="V434" s="267"/>
      <c r="W434" s="267"/>
      <c r="X434" s="267"/>
      <c r="Y434" s="267"/>
      <c r="Z434" s="267"/>
      <c r="AA434" s="267"/>
      <c r="AB434" s="297"/>
    </row>
    <row r="435" spans="2:28" ht="18.75" thickBot="1">
      <c r="B435" s="11"/>
      <c r="C435" s="401" t="s">
        <v>2</v>
      </c>
      <c r="D435" s="14"/>
      <c r="E435" s="1"/>
      <c r="F435" s="15"/>
      <c r="G435" s="1"/>
      <c r="H435" s="392"/>
      <c r="I435" s="414" t="s">
        <v>3</v>
      </c>
      <c r="J435" s="1"/>
      <c r="K435" s="342"/>
      <c r="L435" s="298"/>
      <c r="M435" s="401" t="s">
        <v>2</v>
      </c>
      <c r="N435" s="15"/>
      <c r="O435" s="774" t="s">
        <v>4</v>
      </c>
      <c r="P435" s="774"/>
      <c r="Q435" s="420"/>
      <c r="R435" s="15"/>
      <c r="S435" s="401" t="s">
        <v>3</v>
      </c>
      <c r="T435" s="393"/>
      <c r="U435" s="14"/>
      <c r="V435" s="1"/>
      <c r="W435" s="1"/>
      <c r="X435" s="1"/>
      <c r="Y435" s="1"/>
      <c r="Z435" s="1"/>
      <c r="AA435" s="1"/>
      <c r="AB435" s="246"/>
    </row>
    <row r="436" spans="2:28" ht="18.75" thickBot="1">
      <c r="B436" s="415"/>
      <c r="C436" s="267"/>
      <c r="D436" s="267"/>
      <c r="E436" s="20"/>
      <c r="F436" s="16"/>
      <c r="G436" s="19"/>
      <c r="H436" s="416"/>
      <c r="I436" s="417"/>
      <c r="J436" s="418"/>
      <c r="K436" s="15"/>
      <c r="L436" s="415"/>
      <c r="M436" s="267"/>
      <c r="N436" s="267"/>
      <c r="O436" s="267"/>
      <c r="P436" s="267"/>
      <c r="Q436" s="267"/>
      <c r="R436" s="267"/>
      <c r="S436" s="267"/>
      <c r="T436" s="267"/>
      <c r="U436" s="267"/>
      <c r="V436" s="267"/>
      <c r="W436" s="267"/>
      <c r="X436" s="267"/>
      <c r="Y436" s="267"/>
      <c r="Z436" s="267"/>
      <c r="AA436" s="267"/>
      <c r="AB436" s="297"/>
    </row>
    <row r="437" spans="2:28" ht="21" thickBot="1">
      <c r="B437" s="11"/>
      <c r="C437" s="1"/>
      <c r="D437" s="1"/>
      <c r="E437" s="2" t="s">
        <v>5</v>
      </c>
      <c r="F437" s="347" t="s">
        <v>6</v>
      </c>
      <c r="G437" s="411" t="s">
        <v>7</v>
      </c>
      <c r="H437" s="57"/>
      <c r="I437" s="17"/>
      <c r="J437" s="402"/>
      <c r="K437" s="15"/>
      <c r="L437" s="11"/>
      <c r="M437" s="1"/>
      <c r="N437" s="1"/>
      <c r="O437" s="2" t="s">
        <v>8</v>
      </c>
      <c r="P437" s="347" t="s">
        <v>6</v>
      </c>
      <c r="Q437" s="411" t="s">
        <v>7</v>
      </c>
      <c r="R437" s="1"/>
      <c r="S437" s="1"/>
      <c r="T437" s="1"/>
      <c r="U437" s="645" t="s">
        <v>9</v>
      </c>
      <c r="V437" s="1"/>
      <c r="W437" s="1"/>
      <c r="X437" s="1"/>
      <c r="Y437" s="1"/>
      <c r="Z437" s="1"/>
      <c r="AA437" s="1"/>
      <c r="AB437" s="246"/>
    </row>
    <row r="438" spans="2:28" ht="15.75">
      <c r="B438" s="11"/>
      <c r="C438" s="317"/>
      <c r="D438" s="1"/>
      <c r="E438" s="458" t="s">
        <v>10</v>
      </c>
      <c r="F438" s="450" t="s">
        <v>11</v>
      </c>
      <c r="G438" s="717">
        <v>1000</v>
      </c>
      <c r="H438" s="269"/>
      <c r="I438" s="12" t="s">
        <v>12</v>
      </c>
      <c r="J438" s="403"/>
      <c r="K438" s="15"/>
      <c r="L438" s="11"/>
      <c r="M438" s="371"/>
      <c r="N438" s="1">
        <f>IF(OR(Q438&lt;=0,Q438&gt;G442),1,0)</f>
        <v>0</v>
      </c>
      <c r="O438" s="458" t="s">
        <v>13</v>
      </c>
      <c r="P438" s="450" t="s">
        <v>14</v>
      </c>
      <c r="Q438" s="667">
        <v>20</v>
      </c>
      <c r="R438" s="272"/>
      <c r="S438" s="12" t="s">
        <v>12</v>
      </c>
      <c r="T438" s="340"/>
      <c r="U438" s="656" t="s">
        <v>15</v>
      </c>
      <c r="V438" s="657" t="s">
        <v>16</v>
      </c>
      <c r="W438" s="658" t="s">
        <v>17</v>
      </c>
      <c r="X438" s="1"/>
      <c r="Y438" s="1"/>
      <c r="Z438" s="1"/>
      <c r="AA438" s="1"/>
      <c r="AB438" s="246"/>
    </row>
    <row r="439" spans="2:28" ht="15.75">
      <c r="B439" s="11"/>
      <c r="C439" s="370"/>
      <c r="D439" s="1">
        <f>IF(OR(G439&lt;=0,G439&gt;1),1,0)</f>
        <v>0</v>
      </c>
      <c r="E439" s="451" t="s">
        <v>18</v>
      </c>
      <c r="F439" s="7" t="s">
        <v>19</v>
      </c>
      <c r="G439" s="472">
        <v>0.14599999999999999</v>
      </c>
      <c r="H439" s="270"/>
      <c r="I439" s="12" t="s">
        <v>12</v>
      </c>
      <c r="J439" s="403"/>
      <c r="K439" s="15"/>
      <c r="L439" s="11"/>
      <c r="M439" s="317"/>
      <c r="N439" s="1"/>
      <c r="O439" s="451" t="s">
        <v>20</v>
      </c>
      <c r="P439" s="7" t="s">
        <v>19</v>
      </c>
      <c r="Q439" s="472">
        <v>0</v>
      </c>
      <c r="R439" s="270">
        <v>0</v>
      </c>
      <c r="S439" s="12" t="s">
        <v>12</v>
      </c>
      <c r="T439" s="340"/>
      <c r="U439" s="474" t="s">
        <v>21</v>
      </c>
      <c r="V439" s="633" t="s">
        <v>22</v>
      </c>
      <c r="W439" s="646" t="s">
        <v>23</v>
      </c>
      <c r="X439" s="1"/>
      <c r="Y439" s="1"/>
      <c r="Z439" s="1"/>
      <c r="AA439" s="1"/>
      <c r="AB439" s="246"/>
    </row>
    <row r="440" spans="2:28" ht="16.5" thickBot="1">
      <c r="B440" s="11"/>
      <c r="C440" s="285"/>
      <c r="D440" s="1"/>
      <c r="E440" s="451" t="s">
        <v>24</v>
      </c>
      <c r="F440" s="8" t="s">
        <v>25</v>
      </c>
      <c r="G440" s="473"/>
      <c r="H440" s="271"/>
      <c r="I440" s="12" t="s">
        <v>12</v>
      </c>
      <c r="J440" s="403"/>
      <c r="K440" s="15"/>
      <c r="L440" s="11"/>
      <c r="M440" s="316"/>
      <c r="N440" s="1"/>
      <c r="O440" s="461" t="s">
        <v>26</v>
      </c>
      <c r="P440" s="466" t="s">
        <v>19</v>
      </c>
      <c r="Q440" s="472">
        <v>0</v>
      </c>
      <c r="R440" s="270"/>
      <c r="S440" s="12" t="s">
        <v>12</v>
      </c>
      <c r="T440" s="340"/>
      <c r="U440" s="451" t="s">
        <v>27</v>
      </c>
      <c r="V440" s="633" t="s">
        <v>22</v>
      </c>
      <c r="W440" s="646" t="s">
        <v>178</v>
      </c>
      <c r="X440" s="1"/>
      <c r="Y440" s="1"/>
      <c r="Z440" s="1"/>
      <c r="AA440" s="1"/>
      <c r="AB440" s="246"/>
    </row>
    <row r="441" spans="2:28" ht="16.5" thickBot="1">
      <c r="B441" s="11"/>
      <c r="C441" s="369"/>
      <c r="D441" s="1">
        <f>IF(OR(G441&lt;0,G441&gt;1),1,0)</f>
        <v>0</v>
      </c>
      <c r="E441" s="453" t="s">
        <v>29</v>
      </c>
      <c r="F441" s="7" t="s">
        <v>19</v>
      </c>
      <c r="G441" s="472">
        <v>8.0000000000000002E-3</v>
      </c>
      <c r="H441" s="270"/>
      <c r="I441" s="12" t="s">
        <v>12</v>
      </c>
      <c r="J441" s="403"/>
      <c r="K441" s="15"/>
      <c r="L441" s="298"/>
      <c r="M441" s="15"/>
      <c r="N441" s="15"/>
      <c r="O441" s="15"/>
      <c r="P441" s="15"/>
      <c r="Q441" s="15"/>
      <c r="R441" s="15"/>
      <c r="S441" s="15"/>
      <c r="T441" s="15"/>
      <c r="U441" s="639"/>
      <c r="V441" s="636"/>
      <c r="W441" s="640"/>
      <c r="X441" s="123"/>
      <c r="Y441" s="123"/>
      <c r="Z441" s="123"/>
      <c r="AA441" s="1"/>
      <c r="AB441" s="246"/>
    </row>
    <row r="442" spans="2:28" ht="16.5" thickBot="1">
      <c r="B442" s="11"/>
      <c r="C442" s="371"/>
      <c r="D442" s="1">
        <f>IF(OR(G442&lt;1,G442&gt;30),1,0)</f>
        <v>0</v>
      </c>
      <c r="E442" s="455" t="s">
        <v>30</v>
      </c>
      <c r="F442" s="466" t="s">
        <v>14</v>
      </c>
      <c r="G442" s="581">
        <v>25</v>
      </c>
      <c r="H442" s="272"/>
      <c r="I442" s="12" t="s">
        <v>12</v>
      </c>
      <c r="J442" s="403"/>
      <c r="K442" s="15"/>
      <c r="L442" s="298"/>
      <c r="M442" s="1"/>
      <c r="N442" s="1"/>
      <c r="O442" s="2" t="s">
        <v>31</v>
      </c>
      <c r="P442" s="3"/>
      <c r="Q442" s="4"/>
      <c r="R442" s="15"/>
      <c r="S442" s="12" t="s">
        <v>12</v>
      </c>
      <c r="T442" s="123"/>
      <c r="U442" s="474" t="s">
        <v>32</v>
      </c>
      <c r="V442" s="634" t="s">
        <v>33</v>
      </c>
      <c r="W442" s="669">
        <v>28.58</v>
      </c>
      <c r="X442" s="178"/>
      <c r="Y442" s="178"/>
      <c r="Z442" s="178"/>
      <c r="AA442" s="1"/>
      <c r="AB442" s="246"/>
    </row>
    <row r="443" spans="2:28" ht="16.5" thickBot="1">
      <c r="B443" s="11"/>
      <c r="C443" s="1"/>
      <c r="D443" s="1"/>
      <c r="E443" s="1"/>
      <c r="F443" s="1"/>
      <c r="G443" s="17"/>
      <c r="H443" s="17"/>
      <c r="I443" s="13"/>
      <c r="J443" s="403"/>
      <c r="K443" s="15"/>
      <c r="L443" s="298"/>
      <c r="M443" s="369"/>
      <c r="N443" s="1"/>
      <c r="O443" s="500" t="s">
        <v>34</v>
      </c>
      <c r="P443" s="501"/>
      <c r="Q443" s="502" t="s">
        <v>35</v>
      </c>
      <c r="R443" s="1"/>
      <c r="S443" s="345" t="s">
        <v>12</v>
      </c>
      <c r="T443" s="346">
        <f>IF(Q438&lt;G442,1,0)</f>
        <v>1</v>
      </c>
      <c r="U443" s="641" t="s">
        <v>36</v>
      </c>
      <c r="V443" s="635" t="s">
        <v>19</v>
      </c>
      <c r="W443" s="670">
        <v>0.02</v>
      </c>
      <c r="X443" s="1"/>
      <c r="Y443" s="123"/>
      <c r="Z443" s="123"/>
      <c r="AA443" s="1"/>
      <c r="AB443" s="246"/>
    </row>
    <row r="444" spans="2:28" ht="16.5" thickBot="1">
      <c r="B444" s="11"/>
      <c r="C444" s="1"/>
      <c r="D444" s="1"/>
      <c r="E444" s="10" t="s">
        <v>37</v>
      </c>
      <c r="F444" s="347" t="s">
        <v>6</v>
      </c>
      <c r="G444" s="411" t="s">
        <v>7</v>
      </c>
      <c r="H444" s="283"/>
      <c r="I444" s="13"/>
      <c r="J444" s="403"/>
      <c r="K444" s="15"/>
      <c r="L444" s="298"/>
      <c r="M444" s="369"/>
      <c r="N444" s="1">
        <f>IF(OR(Q444&lt;=0,Q444=""),1,0)</f>
        <v>0</v>
      </c>
      <c r="O444" s="503" t="s">
        <v>38</v>
      </c>
      <c r="P444" s="343" t="s">
        <v>39</v>
      </c>
      <c r="Q444" s="504">
        <v>5</v>
      </c>
      <c r="R444" s="1"/>
      <c r="S444" s="345" t="s">
        <v>12</v>
      </c>
      <c r="T444" s="346">
        <f>IF(AND($Q$8&lt;$G$12,$Q$13="Year One"),1,0)</f>
        <v>0</v>
      </c>
      <c r="U444" s="642"/>
      <c r="V444" s="637"/>
      <c r="W444" s="643"/>
      <c r="X444" s="1"/>
      <c r="Y444" s="123"/>
      <c r="Z444" s="123"/>
      <c r="AA444" s="1"/>
      <c r="AB444" s="246"/>
    </row>
    <row r="445" spans="2:28" ht="16.5" thickBot="1">
      <c r="B445" s="11"/>
      <c r="C445" s="318"/>
      <c r="D445" s="1"/>
      <c r="E445" s="438" t="s">
        <v>40</v>
      </c>
      <c r="F445" s="439"/>
      <c r="G445" s="440" t="s">
        <v>41</v>
      </c>
      <c r="H445" s="281"/>
      <c r="I445" s="12" t="s">
        <v>12</v>
      </c>
      <c r="J445" s="403"/>
      <c r="K445" s="15"/>
      <c r="L445" s="298"/>
      <c r="M445" s="369"/>
      <c r="N445" s="1">
        <f>IF(OR(Q445&lt;=0,Q445=""),1,0)</f>
        <v>0</v>
      </c>
      <c r="O445" s="505" t="s">
        <v>42</v>
      </c>
      <c r="P445" s="344" t="s">
        <v>19</v>
      </c>
      <c r="Q445" s="506">
        <v>0.03</v>
      </c>
      <c r="R445" s="1"/>
      <c r="S445" s="368" t="s">
        <v>12</v>
      </c>
      <c r="T445" s="346">
        <f>IF(AND($Q$8&lt;$G$12,$Q$13="Year One"),1,0)</f>
        <v>0</v>
      </c>
      <c r="U445" s="451" t="s">
        <v>43</v>
      </c>
      <c r="V445" s="633" t="s">
        <v>19</v>
      </c>
      <c r="W445" s="581">
        <v>0</v>
      </c>
      <c r="X445" s="1"/>
      <c r="Y445" s="123"/>
      <c r="Z445" s="123"/>
      <c r="AA445" s="1"/>
      <c r="AB445" s="246"/>
    </row>
    <row r="446" spans="2:28" ht="16.5" thickBot="1">
      <c r="B446" s="11"/>
      <c r="C446" s="319"/>
      <c r="D446" s="1"/>
      <c r="E446" s="441" t="s">
        <v>44</v>
      </c>
      <c r="F446" s="442" t="s">
        <v>33</v>
      </c>
      <c r="G446" s="443">
        <v>2500</v>
      </c>
      <c r="H446" s="273"/>
      <c r="I446" s="366" t="s">
        <v>12</v>
      </c>
      <c r="J446" s="404"/>
      <c r="K446" s="15"/>
      <c r="L446" s="298"/>
      <c r="M446" s="1"/>
      <c r="N446" s="1"/>
      <c r="O446" s="507" t="str">
        <f>IF(OR($Q$13="Year One",$Q$8=$G$12),"","Click Here for Complex Input Worksheet")</f>
        <v>Click Here for Complex Input Worksheet</v>
      </c>
      <c r="P446" s="508"/>
      <c r="Q446" s="509"/>
      <c r="R446" s="1"/>
      <c r="S446" s="366" t="s">
        <v>12</v>
      </c>
      <c r="T446" s="346">
        <f>IF(AND($Q$8&lt;$G$12,$Q$13="Year-by-Year"),1,0)</f>
        <v>1</v>
      </c>
      <c r="U446" s="451" t="s">
        <v>45</v>
      </c>
      <c r="V446" s="633" t="s">
        <v>19</v>
      </c>
      <c r="W446" s="670">
        <v>0.02</v>
      </c>
      <c r="X446" s="123"/>
      <c r="Y446" s="123"/>
      <c r="Z446" s="123"/>
      <c r="AA446" s="1"/>
      <c r="AB446" s="246"/>
    </row>
    <row r="447" spans="2:28" ht="16.5" thickBot="1">
      <c r="B447" s="11"/>
      <c r="C447" s="320"/>
      <c r="D447" s="1"/>
      <c r="E447" s="444" t="s">
        <v>46</v>
      </c>
      <c r="F447" s="343" t="s">
        <v>47</v>
      </c>
      <c r="G447" s="718">
        <v>2665499.0068230098</v>
      </c>
      <c r="H447" s="274"/>
      <c r="I447" s="366" t="s">
        <v>12</v>
      </c>
      <c r="J447" s="403"/>
      <c r="K447" s="15"/>
      <c r="L447" s="298"/>
      <c r="M447" s="1"/>
      <c r="N447" s="1"/>
      <c r="O447" s="1"/>
      <c r="P447" s="1"/>
      <c r="Q447" s="1"/>
      <c r="R447" s="1"/>
      <c r="S447" s="1"/>
      <c r="T447" s="179"/>
      <c r="U447" s="644"/>
      <c r="V447" s="638"/>
      <c r="W447" s="643"/>
      <c r="X447" s="123"/>
      <c r="Y447" s="123"/>
      <c r="Z447" s="123"/>
      <c r="AA447" s="1"/>
      <c r="AB447" s="246"/>
    </row>
    <row r="448" spans="2:28" ht="16.5" thickBot="1">
      <c r="B448" s="11"/>
      <c r="C448" s="376"/>
      <c r="D448" s="1"/>
      <c r="E448" s="444" t="s">
        <v>48</v>
      </c>
      <c r="F448" s="343" t="s">
        <v>47</v>
      </c>
      <c r="G448" s="718">
        <v>0</v>
      </c>
      <c r="H448" s="274"/>
      <c r="I448" s="366" t="s">
        <v>12</v>
      </c>
      <c r="J448" s="403"/>
      <c r="K448" s="15"/>
      <c r="L448" s="298"/>
      <c r="M448" s="1"/>
      <c r="N448" s="1"/>
      <c r="O448" s="5" t="s">
        <v>49</v>
      </c>
      <c r="P448" s="347" t="s">
        <v>6</v>
      </c>
      <c r="Q448" s="411" t="s">
        <v>7</v>
      </c>
      <c r="R448" s="120"/>
      <c r="S448" s="13"/>
      <c r="T448" s="179"/>
      <c r="U448" s="641" t="s">
        <v>50</v>
      </c>
      <c r="V448" s="257" t="s">
        <v>47</v>
      </c>
      <c r="W448" s="581">
        <v>0</v>
      </c>
      <c r="X448" s="123"/>
      <c r="Y448" s="1"/>
      <c r="Z448" s="1"/>
      <c r="AA448" s="1"/>
      <c r="AB448" s="246"/>
    </row>
    <row r="449" spans="2:28" ht="16.5" thickBot="1">
      <c r="B449" s="11"/>
      <c r="C449" s="376"/>
      <c r="D449" s="1"/>
      <c r="E449" s="444" t="s">
        <v>51</v>
      </c>
      <c r="F449" s="343" t="s">
        <v>47</v>
      </c>
      <c r="G449" s="718">
        <v>0</v>
      </c>
      <c r="H449" s="274"/>
      <c r="I449" s="366" t="s">
        <v>12</v>
      </c>
      <c r="J449" s="403"/>
      <c r="K449" s="15"/>
      <c r="L449" s="298"/>
      <c r="M449" s="374"/>
      <c r="N449" s="1"/>
      <c r="O449" s="518" t="s">
        <v>52</v>
      </c>
      <c r="P449" s="519"/>
      <c r="Q449" s="520" t="s">
        <v>53</v>
      </c>
      <c r="R449" s="1"/>
      <c r="S449" s="12" t="s">
        <v>12</v>
      </c>
      <c r="T449" s="1"/>
      <c r="U449" s="489" t="s">
        <v>54</v>
      </c>
      <c r="V449" s="719" t="s">
        <v>55</v>
      </c>
      <c r="W449" s="720">
        <v>0</v>
      </c>
      <c r="X449" s="1"/>
      <c r="Y449" s="1"/>
      <c r="Z449" s="1"/>
      <c r="AA449" s="1"/>
      <c r="AB449" s="246"/>
    </row>
    <row r="450" spans="2:28" ht="15.75">
      <c r="B450" s="11"/>
      <c r="C450" s="376"/>
      <c r="D450" s="1"/>
      <c r="E450" s="604" t="s">
        <v>56</v>
      </c>
      <c r="F450" s="343" t="s">
        <v>47</v>
      </c>
      <c r="G450" s="721">
        <v>0</v>
      </c>
      <c r="H450" s="274"/>
      <c r="I450" s="366" t="s">
        <v>12</v>
      </c>
      <c r="J450" s="403"/>
      <c r="K450" s="15"/>
      <c r="L450" s="298"/>
      <c r="M450" s="374"/>
      <c r="N450" s="1"/>
      <c r="O450" s="458" t="s">
        <v>57</v>
      </c>
      <c r="P450" s="450"/>
      <c r="Q450" s="496" t="s">
        <v>58</v>
      </c>
      <c r="R450" s="15"/>
      <c r="S450" s="12" t="s">
        <v>12</v>
      </c>
      <c r="T450" s="15"/>
      <c r="U450" s="1"/>
      <c r="V450" s="1"/>
      <c r="W450" s="1"/>
      <c r="X450" s="1"/>
      <c r="Y450" s="1"/>
      <c r="Z450" s="1"/>
      <c r="AA450" s="1"/>
      <c r="AB450" s="246"/>
    </row>
    <row r="451" spans="2:28" ht="15.75">
      <c r="B451" s="11"/>
      <c r="C451" s="321"/>
      <c r="D451" s="1"/>
      <c r="E451" s="444" t="s">
        <v>59</v>
      </c>
      <c r="F451" s="343" t="s">
        <v>47</v>
      </c>
      <c r="G451" s="445"/>
      <c r="H451" s="275"/>
      <c r="I451" s="366" t="s">
        <v>12</v>
      </c>
      <c r="J451" s="403"/>
      <c r="K451" s="15"/>
      <c r="L451" s="298"/>
      <c r="M451" s="374"/>
      <c r="N451" s="1">
        <f>IF(OR(Q451&lt;0,Q451&gt;1,Q451=""),1,0)</f>
        <v>0</v>
      </c>
      <c r="O451" s="468" t="s">
        <v>60</v>
      </c>
      <c r="P451" s="6" t="s">
        <v>19</v>
      </c>
      <c r="Q451" s="674">
        <v>0.3</v>
      </c>
      <c r="R451" s="15"/>
      <c r="S451" s="12" t="s">
        <v>12</v>
      </c>
      <c r="T451" s="15"/>
      <c r="U451" s="1"/>
      <c r="V451" s="1"/>
      <c r="W451" s="1"/>
      <c r="X451" s="1"/>
      <c r="Y451" s="1"/>
      <c r="Z451" s="1"/>
      <c r="AA451" s="1"/>
      <c r="AB451" s="246"/>
    </row>
    <row r="452" spans="2:28" ht="16.5" thickBot="1">
      <c r="B452" s="11"/>
      <c r="C452" s="321"/>
      <c r="D452" s="1"/>
      <c r="E452" s="446" t="s">
        <v>61</v>
      </c>
      <c r="F452" s="447" t="str">
        <f>IF($G$15="Complex","$","")</f>
        <v/>
      </c>
      <c r="G452" s="448"/>
      <c r="H452" s="276"/>
      <c r="I452" s="366" t="s">
        <v>12</v>
      </c>
      <c r="J452" s="403"/>
      <c r="K452" s="15"/>
      <c r="L452" s="298"/>
      <c r="M452" s="369"/>
      <c r="N452" s="1">
        <f>IF(OR(Q452&lt;0,Q452&gt;1,Q452=""),1,0)</f>
        <v>0</v>
      </c>
      <c r="O452" s="483" t="s">
        <v>63</v>
      </c>
      <c r="P452" s="24" t="s">
        <v>19</v>
      </c>
      <c r="Q452" s="674">
        <v>1</v>
      </c>
      <c r="R452" s="121"/>
      <c r="S452" s="12" t="s">
        <v>12</v>
      </c>
      <c r="T452" s="367">
        <f>IF(AND($Q$19="Cost-Based",$Q$20="ITC"),1,0)</f>
        <v>1</v>
      </c>
      <c r="U452" s="1"/>
      <c r="V452" s="1"/>
      <c r="W452" s="1"/>
      <c r="X452" s="1"/>
      <c r="Y452" s="1"/>
      <c r="Z452" s="1"/>
      <c r="AA452" s="1"/>
      <c r="AB452" s="246"/>
    </row>
    <row r="453" spans="2:28" ht="16.5" thickBot="1">
      <c r="B453" s="11"/>
      <c r="C453" s="323"/>
      <c r="D453" s="1"/>
      <c r="E453" s="449" t="s">
        <v>44</v>
      </c>
      <c r="F453" s="450" t="s">
        <v>47</v>
      </c>
      <c r="G453" s="675"/>
      <c r="H453" s="276"/>
      <c r="I453" s="12" t="s">
        <v>12</v>
      </c>
      <c r="J453" s="403"/>
      <c r="K453" s="15"/>
      <c r="L453" s="298"/>
      <c r="M453" s="1"/>
      <c r="N453" s="1"/>
      <c r="O453" s="455" t="s">
        <v>64</v>
      </c>
      <c r="P453" s="462" t="s">
        <v>47</v>
      </c>
      <c r="Q453" s="676"/>
      <c r="R453" s="121"/>
      <c r="S453" s="12" t="s">
        <v>12</v>
      </c>
      <c r="T453" s="15"/>
      <c r="U453" s="1"/>
      <c r="V453" s="1"/>
      <c r="W453" s="1"/>
      <c r="X453" s="1"/>
      <c r="Y453" s="1"/>
      <c r="Z453" s="1"/>
      <c r="AA453" s="1"/>
      <c r="AB453" s="246"/>
    </row>
    <row r="454" spans="2:28" ht="15.75">
      <c r="B454" s="11"/>
      <c r="C454" s="323"/>
      <c r="D454" s="1"/>
      <c r="E454" s="451" t="s">
        <v>44</v>
      </c>
      <c r="F454" s="8" t="str">
        <f>F446</f>
        <v>$/kW</v>
      </c>
      <c r="G454" s="452"/>
      <c r="H454" s="284"/>
      <c r="I454" s="12" t="s">
        <v>12</v>
      </c>
      <c r="J454" s="403"/>
      <c r="K454" s="15"/>
      <c r="L454" s="298"/>
      <c r="M454" s="374"/>
      <c r="N454" s="1"/>
      <c r="O454" s="449" t="s">
        <v>65</v>
      </c>
      <c r="P454" s="522"/>
      <c r="Q454" s="510" t="s">
        <v>66</v>
      </c>
      <c r="R454" s="1"/>
      <c r="S454" s="12" t="s">
        <v>12</v>
      </c>
      <c r="T454" s="1"/>
      <c r="U454" s="1"/>
      <c r="V454" s="1"/>
      <c r="W454" s="1"/>
      <c r="X454" s="1"/>
      <c r="Y454" s="1"/>
      <c r="Z454" s="1"/>
      <c r="AA454" s="1"/>
      <c r="AB454" s="246"/>
    </row>
    <row r="455" spans="2:28" ht="15.75">
      <c r="B455" s="11"/>
      <c r="C455" s="322"/>
      <c r="D455" s="1"/>
      <c r="E455" s="453" t="s">
        <v>67</v>
      </c>
      <c r="F455" s="7" t="s">
        <v>47</v>
      </c>
      <c r="G455" s="454"/>
      <c r="H455" s="277"/>
      <c r="I455" s="12" t="s">
        <v>12</v>
      </c>
      <c r="J455" s="403"/>
      <c r="K455" s="15"/>
      <c r="L455" s="298"/>
      <c r="M455" s="369"/>
      <c r="N455" s="1"/>
      <c r="O455" s="451" t="s">
        <v>68</v>
      </c>
      <c r="P455" s="8" t="s">
        <v>39</v>
      </c>
      <c r="Q455" s="512">
        <v>0</v>
      </c>
      <c r="R455" s="15"/>
      <c r="S455" s="12" t="s">
        <v>12</v>
      </c>
      <c r="T455" s="15"/>
      <c r="U455" s="1"/>
      <c r="V455" s="1"/>
      <c r="W455" s="1"/>
      <c r="X455" s="1"/>
      <c r="Y455" s="1"/>
      <c r="Z455" s="1"/>
      <c r="AA455" s="1"/>
      <c r="AB455" s="246"/>
    </row>
    <row r="456" spans="2:28" ht="15.75">
      <c r="B456" s="11"/>
      <c r="C456" s="322"/>
      <c r="D456" s="1"/>
      <c r="E456" s="453" t="s">
        <v>69</v>
      </c>
      <c r="F456" s="7" t="s">
        <v>47</v>
      </c>
      <c r="G456" s="452"/>
      <c r="H456" s="276"/>
      <c r="I456" s="12" t="s">
        <v>12</v>
      </c>
      <c r="J456" s="403"/>
      <c r="K456" s="15"/>
      <c r="L456" s="298"/>
      <c r="M456" s="369"/>
      <c r="N456" s="1">
        <f>IF(OR(Q456&lt;0,Q456&gt;G442),1,0)</f>
        <v>0</v>
      </c>
      <c r="O456" s="451" t="s">
        <v>70</v>
      </c>
      <c r="P456" s="8" t="s">
        <v>71</v>
      </c>
      <c r="Q456" s="464">
        <v>0</v>
      </c>
      <c r="R456" s="15"/>
      <c r="S456" s="12" t="s">
        <v>12</v>
      </c>
      <c r="T456" s="15"/>
      <c r="U456" s="1"/>
      <c r="V456" s="1"/>
      <c r="W456" s="1"/>
      <c r="X456" s="1"/>
      <c r="Y456" s="1"/>
      <c r="Z456" s="1"/>
      <c r="AA456" s="1"/>
      <c r="AB456" s="246"/>
    </row>
    <row r="457" spans="2:28" ht="16.5" thickBot="1">
      <c r="B457" s="11"/>
      <c r="C457" s="323"/>
      <c r="D457" s="1"/>
      <c r="E457" s="455" t="s">
        <v>69</v>
      </c>
      <c r="F457" s="456" t="str">
        <f>F446</f>
        <v>$/kW</v>
      </c>
      <c r="G457" s="457"/>
      <c r="H457" s="284"/>
      <c r="I457" s="12" t="s">
        <v>12</v>
      </c>
      <c r="J457" s="403"/>
      <c r="K457" s="15"/>
      <c r="L457" s="298"/>
      <c r="M457" s="369"/>
      <c r="N457" s="1"/>
      <c r="O457" s="451" t="s">
        <v>72</v>
      </c>
      <c r="P457" s="6" t="s">
        <v>19</v>
      </c>
      <c r="Q457" s="497">
        <v>0</v>
      </c>
      <c r="R457" s="15"/>
      <c r="S457" s="12" t="s">
        <v>12</v>
      </c>
      <c r="T457" s="15"/>
      <c r="U457" s="1"/>
      <c r="V457" s="1"/>
      <c r="W457" s="1"/>
      <c r="X457" s="1"/>
      <c r="Y457" s="1"/>
      <c r="Z457" s="1"/>
      <c r="AA457" s="1"/>
      <c r="AB457" s="246"/>
    </row>
    <row r="458" spans="2:28" ht="16.5" thickBot="1">
      <c r="B458" s="11"/>
      <c r="C458" s="324"/>
      <c r="D458" s="1"/>
      <c r="E458" s="18"/>
      <c r="F458" s="1"/>
      <c r="G458" s="1"/>
      <c r="H458" s="1"/>
      <c r="I458" s="17"/>
      <c r="J458" s="403"/>
      <c r="K458" s="15"/>
      <c r="L458" s="298"/>
      <c r="M458" s="369"/>
      <c r="N458" s="1">
        <f>IF(OR(Q458&lt;0,Q458&gt;1),1,0)</f>
        <v>0</v>
      </c>
      <c r="O458" s="455" t="s">
        <v>73</v>
      </c>
      <c r="P458" s="462" t="s">
        <v>19</v>
      </c>
      <c r="Q458" s="523">
        <v>0</v>
      </c>
      <c r="R458" s="15"/>
      <c r="S458" s="12" t="s">
        <v>12</v>
      </c>
      <c r="T458" s="15"/>
      <c r="U458" s="1"/>
      <c r="V458" s="1"/>
      <c r="W458" s="1"/>
      <c r="X458" s="1"/>
      <c r="Y458" s="1"/>
      <c r="Z458" s="1"/>
      <c r="AA458" s="1"/>
      <c r="AB458" s="246"/>
    </row>
    <row r="459" spans="2:28" ht="16.5" thickBot="1">
      <c r="B459" s="11"/>
      <c r="C459" s="1"/>
      <c r="D459" s="1"/>
      <c r="E459" s="5" t="s">
        <v>74</v>
      </c>
      <c r="F459" s="347" t="s">
        <v>6</v>
      </c>
      <c r="G459" s="411" t="s">
        <v>7</v>
      </c>
      <c r="H459" s="285"/>
      <c r="I459" s="17"/>
      <c r="J459" s="403"/>
      <c r="K459" s="15"/>
      <c r="L459" s="298"/>
      <c r="M459" s="1"/>
      <c r="N459" s="1"/>
      <c r="O459" s="296" t="s">
        <v>75</v>
      </c>
      <c r="P459" s="521"/>
      <c r="Q459" s="514" t="s">
        <v>76</v>
      </c>
      <c r="R459" s="121"/>
      <c r="S459" s="12" t="s">
        <v>12</v>
      </c>
      <c r="T459" s="15"/>
      <c r="U459" s="1"/>
      <c r="V459" s="1"/>
      <c r="W459" s="1"/>
      <c r="X459" s="1"/>
      <c r="Y459" s="1"/>
      <c r="Z459" s="1"/>
      <c r="AA459" s="1"/>
      <c r="AB459" s="246"/>
    </row>
    <row r="460" spans="2:28" ht="16.5" thickBot="1">
      <c r="B460" s="11"/>
      <c r="C460" s="318"/>
      <c r="D460" s="1"/>
      <c r="E460" s="553" t="s">
        <v>40</v>
      </c>
      <c r="F460" s="554"/>
      <c r="G460" s="555" t="s">
        <v>41</v>
      </c>
      <c r="H460" s="281"/>
      <c r="I460" s="12" t="s">
        <v>12</v>
      </c>
      <c r="J460" s="403"/>
      <c r="K460" s="15"/>
      <c r="L460" s="11"/>
      <c r="M460" s="1"/>
      <c r="N460" s="1"/>
      <c r="O460" s="415"/>
      <c r="P460" s="267"/>
      <c r="Q460" s="297"/>
      <c r="R460" s="1"/>
      <c r="S460" s="1"/>
      <c r="T460" s="1"/>
      <c r="U460" s="1"/>
      <c r="V460" s="1"/>
      <c r="W460" s="1"/>
      <c r="X460" s="1"/>
      <c r="Y460" s="1"/>
      <c r="Z460" s="1"/>
      <c r="AA460" s="1"/>
      <c r="AB460" s="246"/>
    </row>
    <row r="461" spans="2:28" ht="15.75">
      <c r="B461" s="11"/>
      <c r="C461" s="325"/>
      <c r="D461" s="1"/>
      <c r="E461" s="458" t="s">
        <v>77</v>
      </c>
      <c r="F461" s="459" t="s">
        <v>78</v>
      </c>
      <c r="G461" s="460">
        <v>12.025</v>
      </c>
      <c r="H461" s="286"/>
      <c r="I461" s="12" t="s">
        <v>12</v>
      </c>
      <c r="J461" s="403"/>
      <c r="K461" s="15"/>
      <c r="L461" s="298"/>
      <c r="M461" s="369"/>
      <c r="N461" s="1"/>
      <c r="O461" s="515" t="s">
        <v>79</v>
      </c>
      <c r="P461" s="459" t="s">
        <v>47</v>
      </c>
      <c r="Q461" s="516">
        <v>0</v>
      </c>
      <c r="R461" s="121"/>
      <c r="S461" s="12" t="s">
        <v>12</v>
      </c>
      <c r="T461" s="1"/>
      <c r="U461" s="1"/>
      <c r="V461" s="1"/>
      <c r="W461" s="1"/>
      <c r="X461" s="1"/>
      <c r="Y461" s="1"/>
      <c r="Z461" s="1"/>
      <c r="AA461" s="1"/>
      <c r="AB461" s="246"/>
    </row>
    <row r="462" spans="2:28" ht="16.5" thickBot="1">
      <c r="B462" s="11"/>
      <c r="C462" s="369"/>
      <c r="D462" s="1"/>
      <c r="E462" s="453" t="s">
        <v>80</v>
      </c>
      <c r="F462" s="7" t="s">
        <v>81</v>
      </c>
      <c r="G462" s="512">
        <v>0</v>
      </c>
      <c r="H462" s="287"/>
      <c r="I462" s="12" t="s">
        <v>12</v>
      </c>
      <c r="J462" s="403"/>
      <c r="K462" s="15"/>
      <c r="L462" s="298"/>
      <c r="M462" s="374"/>
      <c r="N462" s="1"/>
      <c r="O462" s="455" t="s">
        <v>82</v>
      </c>
      <c r="P462" s="466"/>
      <c r="Q462" s="517" t="s">
        <v>83</v>
      </c>
      <c r="R462" s="21"/>
      <c r="S462" s="12" t="s">
        <v>12</v>
      </c>
      <c r="T462" s="1"/>
      <c r="U462" s="1"/>
      <c r="V462" s="1"/>
      <c r="W462" s="1"/>
      <c r="X462" s="1"/>
      <c r="Y462" s="1"/>
      <c r="Z462" s="1"/>
      <c r="AA462" s="1"/>
      <c r="AB462" s="246"/>
    </row>
    <row r="463" spans="2:28" ht="16.5" thickBot="1">
      <c r="B463" s="11"/>
      <c r="C463" s="326"/>
      <c r="D463" s="15"/>
      <c r="E463" s="474" t="s">
        <v>84</v>
      </c>
      <c r="F463" s="7" t="s">
        <v>19</v>
      </c>
      <c r="G463" s="475">
        <v>0.03</v>
      </c>
      <c r="H463" s="270"/>
      <c r="I463" s="12" t="s">
        <v>12</v>
      </c>
      <c r="J463" s="404"/>
      <c r="K463" s="15"/>
      <c r="L463" s="298"/>
      <c r="M463" s="1"/>
      <c r="N463" s="1"/>
      <c r="O463" s="1"/>
      <c r="P463" s="1"/>
      <c r="Q463" s="1"/>
      <c r="R463" s="1"/>
      <c r="S463" s="1"/>
      <c r="T463" s="1"/>
      <c r="U463" s="1"/>
      <c r="V463" s="1"/>
      <c r="W463" s="1"/>
      <c r="X463" s="1"/>
      <c r="Y463" s="1"/>
      <c r="Z463" s="1"/>
      <c r="AA463" s="1"/>
      <c r="AB463" s="246"/>
    </row>
    <row r="464" spans="2:28" ht="16.5" thickBot="1">
      <c r="B464" s="11"/>
      <c r="C464" s="317"/>
      <c r="D464" s="1"/>
      <c r="E464" s="451" t="s">
        <v>85</v>
      </c>
      <c r="F464" s="7" t="s">
        <v>86</v>
      </c>
      <c r="G464" s="582">
        <v>10</v>
      </c>
      <c r="H464" s="272"/>
      <c r="I464" s="12" t="s">
        <v>12</v>
      </c>
      <c r="J464" s="404"/>
      <c r="K464" s="15"/>
      <c r="L464" s="298"/>
      <c r="M464" s="1"/>
      <c r="N464" s="1"/>
      <c r="O464" s="5" t="s">
        <v>87</v>
      </c>
      <c r="P464" s="347" t="s">
        <v>6</v>
      </c>
      <c r="Q464" s="411" t="s">
        <v>7</v>
      </c>
      <c r="R464" s="15"/>
      <c r="S464" s="1"/>
      <c r="T464" s="412"/>
      <c r="U464" s="677"/>
      <c r="V464" s="1"/>
      <c r="W464" s="1"/>
      <c r="X464" s="1"/>
      <c r="Y464" s="1"/>
      <c r="Z464" s="1"/>
      <c r="AA464" s="1"/>
      <c r="AB464" s="246"/>
    </row>
    <row r="465" spans="2:28" ht="16.5" thickBot="1">
      <c r="B465" s="11"/>
      <c r="C465" s="326"/>
      <c r="D465" s="15"/>
      <c r="E465" s="465" t="s">
        <v>88</v>
      </c>
      <c r="F465" s="466" t="s">
        <v>19</v>
      </c>
      <c r="G465" s="475">
        <v>0.03</v>
      </c>
      <c r="H465" s="278"/>
      <c r="I465" s="12" t="s">
        <v>12</v>
      </c>
      <c r="J465" s="403"/>
      <c r="K465" s="15"/>
      <c r="L465" s="298"/>
      <c r="M465" s="374"/>
      <c r="N465" s="1"/>
      <c r="O465" s="568" t="s">
        <v>89</v>
      </c>
      <c r="P465" s="569"/>
      <c r="Q465" s="570" t="s">
        <v>90</v>
      </c>
      <c r="R465" s="1"/>
      <c r="S465" s="12" t="s">
        <v>12</v>
      </c>
      <c r="T465" s="1"/>
      <c r="U465" s="1"/>
      <c r="V465" s="1"/>
      <c r="W465" s="1"/>
      <c r="X465" s="1"/>
      <c r="Y465" s="1"/>
      <c r="Z465" s="1"/>
      <c r="AA465" s="1"/>
      <c r="AB465" s="246"/>
    </row>
    <row r="466" spans="2:28" ht="15.75">
      <c r="B466" s="11"/>
      <c r="C466" s="369"/>
      <c r="D466" s="1"/>
      <c r="E466" s="483" t="s">
        <v>91</v>
      </c>
      <c r="F466" s="6" t="s">
        <v>19</v>
      </c>
      <c r="G466" s="470">
        <v>5.7150000000000005E-3</v>
      </c>
      <c r="H466" s="270"/>
      <c r="I466" s="366" t="s">
        <v>12</v>
      </c>
      <c r="J466" s="403"/>
      <c r="K466" s="15"/>
      <c r="L466" s="298"/>
      <c r="M466" s="369"/>
      <c r="N466" s="1">
        <f>IF(OR(Q466&lt;0,Q466&gt;1),1,0)</f>
        <v>0</v>
      </c>
      <c r="O466" s="458" t="s">
        <v>92</v>
      </c>
      <c r="P466" s="450" t="s">
        <v>19</v>
      </c>
      <c r="Q466" s="600">
        <v>0</v>
      </c>
      <c r="R466" s="15">
        <f>IF(OR($Q$35="Performance-Based",$Q$35="Neither"),1,0)</f>
        <v>1</v>
      </c>
      <c r="S466" s="12" t="s">
        <v>12</v>
      </c>
      <c r="T466" s="15"/>
      <c r="U466" s="1"/>
      <c r="V466" s="1"/>
      <c r="W466" s="1"/>
      <c r="X466" s="1"/>
      <c r="Y466" s="1"/>
      <c r="Z466" s="1"/>
      <c r="AA466" s="1"/>
      <c r="AB466" s="246"/>
    </row>
    <row r="467" spans="2:28" ht="15.75">
      <c r="B467" s="11"/>
      <c r="C467" s="1"/>
      <c r="D467" s="1"/>
      <c r="E467" s="451" t="s">
        <v>93</v>
      </c>
      <c r="F467" s="7" t="s">
        <v>47</v>
      </c>
      <c r="G467" s="467"/>
      <c r="H467" s="275"/>
      <c r="I467" s="366" t="s">
        <v>12</v>
      </c>
      <c r="J467" s="403"/>
      <c r="K467" s="15"/>
      <c r="L467" s="298"/>
      <c r="M467" s="369"/>
      <c r="N467" s="1">
        <f>IF(OR(Q467&lt;0,Q467&gt;1),1,0)</f>
        <v>0</v>
      </c>
      <c r="O467" s="453" t="s">
        <v>94</v>
      </c>
      <c r="P467" s="7" t="s">
        <v>19</v>
      </c>
      <c r="Q467" s="601">
        <v>0</v>
      </c>
      <c r="R467" s="15"/>
      <c r="S467" s="12" t="s">
        <v>12</v>
      </c>
      <c r="T467" s="15"/>
      <c r="U467" s="15"/>
      <c r="V467" s="1"/>
      <c r="W467" s="1"/>
      <c r="X467" s="1"/>
      <c r="Y467" s="1"/>
      <c r="Z467" s="1"/>
      <c r="AA467" s="1"/>
      <c r="AB467" s="246"/>
    </row>
    <row r="468" spans="2:28" ht="15.75">
      <c r="B468" s="11"/>
      <c r="C468" s="369"/>
      <c r="D468" s="1"/>
      <c r="E468" s="468" t="s">
        <v>95</v>
      </c>
      <c r="F468" s="6" t="s">
        <v>96</v>
      </c>
      <c r="G468" s="469">
        <v>4000</v>
      </c>
      <c r="H468" s="288"/>
      <c r="I468" s="366" t="s">
        <v>12</v>
      </c>
      <c r="J468" s="404"/>
      <c r="K468" s="15"/>
      <c r="L468" s="298"/>
      <c r="M468" s="369"/>
      <c r="N468" s="1">
        <f>IF(OR(Q468&lt;1,Q468&gt;G442),1,0)</f>
        <v>1</v>
      </c>
      <c r="O468" s="451" t="s">
        <v>97</v>
      </c>
      <c r="P468" s="8" t="s">
        <v>71</v>
      </c>
      <c r="Q468" s="602">
        <v>0</v>
      </c>
      <c r="R468" s="15"/>
      <c r="S468" s="12" t="s">
        <v>12</v>
      </c>
      <c r="T468" s="1"/>
      <c r="U468" s="678"/>
      <c r="V468" s="1"/>
      <c r="W468" s="1"/>
      <c r="X468" s="1"/>
      <c r="Y468" s="1"/>
      <c r="Z468" s="1"/>
      <c r="AA468" s="1"/>
      <c r="AB468" s="246"/>
    </row>
    <row r="469" spans="2:28" ht="16.5" thickBot="1">
      <c r="B469" s="11"/>
      <c r="C469" s="369"/>
      <c r="D469" s="1"/>
      <c r="E469" s="451" t="s">
        <v>98</v>
      </c>
      <c r="F469" s="6" t="s">
        <v>33</v>
      </c>
      <c r="G469" s="603">
        <v>5</v>
      </c>
      <c r="H469" s="288"/>
      <c r="I469" s="366" t="s">
        <v>12</v>
      </c>
      <c r="J469" s="403"/>
      <c r="K469" s="15"/>
      <c r="L469" s="11"/>
      <c r="M469" s="1"/>
      <c r="N469" s="1"/>
      <c r="O469" s="455" t="s">
        <v>50</v>
      </c>
      <c r="P469" s="456" t="s">
        <v>47</v>
      </c>
      <c r="Q469" s="572">
        <v>0</v>
      </c>
      <c r="R469" s="1"/>
      <c r="S469" s="12" t="s">
        <v>12</v>
      </c>
      <c r="T469" s="1"/>
      <c r="U469" s="1"/>
      <c r="V469" s="1"/>
      <c r="W469" s="1"/>
      <c r="X469" s="1"/>
      <c r="Y469" s="1"/>
      <c r="Z469" s="1"/>
      <c r="AA469" s="1"/>
      <c r="AB469" s="246"/>
    </row>
    <row r="470" spans="2:28" ht="15.75">
      <c r="B470" s="11"/>
      <c r="C470" s="369"/>
      <c r="D470" s="1"/>
      <c r="E470" s="451" t="s">
        <v>43</v>
      </c>
      <c r="F470" s="6" t="s">
        <v>19</v>
      </c>
      <c r="G470" s="583">
        <v>0</v>
      </c>
      <c r="H470" s="1"/>
      <c r="I470" s="366" t="s">
        <v>12</v>
      </c>
      <c r="J470" s="403"/>
      <c r="K470" s="15"/>
      <c r="L470" s="298"/>
      <c r="M470" s="374"/>
      <c r="N470" s="1"/>
      <c r="O470" s="483" t="s">
        <v>99</v>
      </c>
      <c r="P470" s="6"/>
      <c r="Q470" s="571" t="s">
        <v>66</v>
      </c>
      <c r="R470" s="15">
        <f>IF(OR($Q$35="Cost-Based",$Q$35="Neither"),1,0)</f>
        <v>1</v>
      </c>
      <c r="S470" s="12" t="s">
        <v>12</v>
      </c>
      <c r="T470" s="15"/>
      <c r="U470" s="21"/>
      <c r="V470" s="1"/>
      <c r="W470" s="1"/>
      <c r="X470" s="1"/>
      <c r="Y470" s="1"/>
      <c r="Z470" s="1"/>
      <c r="AA470" s="1"/>
      <c r="AB470" s="246"/>
    </row>
    <row r="471" spans="2:28" ht="15.75">
      <c r="B471" s="11"/>
      <c r="C471" s="369"/>
      <c r="D471" s="1"/>
      <c r="E471" s="451" t="s">
        <v>100</v>
      </c>
      <c r="F471" s="6" t="s">
        <v>96</v>
      </c>
      <c r="G471" s="469">
        <v>55178</v>
      </c>
      <c r="H471" s="288"/>
      <c r="I471" s="366" t="s">
        <v>12</v>
      </c>
      <c r="J471" s="403"/>
      <c r="K471" s="15"/>
      <c r="L471" s="298"/>
      <c r="M471" s="374"/>
      <c r="N471" s="1"/>
      <c r="O471" s="451" t="s">
        <v>101</v>
      </c>
      <c r="P471" s="8"/>
      <c r="Q471" s="511" t="s">
        <v>102</v>
      </c>
      <c r="R471" s="346">
        <f>IF(OR($Q$35="Cost-Based",$Q$35="Neither",$Q$40="Tax Credit"),1,0)</f>
        <v>1</v>
      </c>
      <c r="S471" s="12" t="s">
        <v>12</v>
      </c>
      <c r="T471" s="1"/>
      <c r="U471" s="21"/>
      <c r="V471" s="1"/>
      <c r="W471" s="1"/>
      <c r="X471" s="1"/>
      <c r="Y471" s="1"/>
      <c r="Z471" s="1"/>
      <c r="AA471" s="1"/>
      <c r="AB471" s="246"/>
    </row>
    <row r="472" spans="2:28" ht="15.75">
      <c r="B472" s="11"/>
      <c r="C472" s="369"/>
      <c r="D472" s="1"/>
      <c r="E472" s="453" t="s">
        <v>103</v>
      </c>
      <c r="F472" s="6" t="s">
        <v>19</v>
      </c>
      <c r="G472" s="470">
        <v>0.02</v>
      </c>
      <c r="H472" s="270"/>
      <c r="I472" s="366" t="s">
        <v>12</v>
      </c>
      <c r="J472" s="403"/>
      <c r="K472" s="15"/>
      <c r="L472" s="298"/>
      <c r="M472" s="369"/>
      <c r="N472" s="1"/>
      <c r="O472" s="451" t="s">
        <v>68</v>
      </c>
      <c r="P472" s="55" t="s">
        <v>39</v>
      </c>
      <c r="Q472" s="512">
        <v>1.5</v>
      </c>
      <c r="R472" s="21"/>
      <c r="S472" s="12" t="s">
        <v>12</v>
      </c>
      <c r="T472" s="346"/>
      <c r="U472" s="679"/>
      <c r="V472" s="1"/>
      <c r="W472" s="1"/>
      <c r="X472" s="1"/>
      <c r="Y472" s="1"/>
      <c r="Z472" s="1"/>
      <c r="AA472" s="1"/>
      <c r="AB472" s="246"/>
    </row>
    <row r="473" spans="2:28" ht="16.5" thickBot="1">
      <c r="B473" s="11"/>
      <c r="C473" s="1"/>
      <c r="D473" s="1"/>
      <c r="E473" s="455"/>
      <c r="F473" s="466"/>
      <c r="G473" s="471"/>
      <c r="H473" s="275"/>
      <c r="I473" s="366" t="s">
        <v>12</v>
      </c>
      <c r="J473" s="246"/>
      <c r="K473" s="15"/>
      <c r="L473" s="298"/>
      <c r="M473" s="369"/>
      <c r="N473" s="1">
        <f>IF(OR(Q473&lt;0,Q473&gt;G442),1,0)</f>
        <v>0</v>
      </c>
      <c r="O473" s="451" t="s">
        <v>70</v>
      </c>
      <c r="P473" s="8" t="s">
        <v>71</v>
      </c>
      <c r="Q473" s="464">
        <v>10</v>
      </c>
      <c r="R473" s="21"/>
      <c r="S473" s="12" t="s">
        <v>12</v>
      </c>
      <c r="T473" s="1"/>
      <c r="U473" s="21"/>
      <c r="V473" s="1"/>
      <c r="W473" s="1"/>
      <c r="X473" s="1"/>
      <c r="Y473" s="1"/>
      <c r="Z473" s="1"/>
      <c r="AA473" s="1"/>
      <c r="AB473" s="246"/>
    </row>
    <row r="474" spans="2:28" ht="16.5" thickBot="1">
      <c r="B474" s="11"/>
      <c r="C474" s="327"/>
      <c r="D474" s="1"/>
      <c r="E474" s="1"/>
      <c r="F474" s="1"/>
      <c r="G474" s="1"/>
      <c r="H474" s="1"/>
      <c r="I474" s="17"/>
      <c r="J474" s="403"/>
      <c r="K474" s="15"/>
      <c r="L474" s="298"/>
      <c r="M474" s="369"/>
      <c r="N474" s="1"/>
      <c r="O474" s="451" t="s">
        <v>72</v>
      </c>
      <c r="P474" s="6" t="s">
        <v>19</v>
      </c>
      <c r="Q474" s="497">
        <v>0.02</v>
      </c>
      <c r="R474" s="15"/>
      <c r="S474" s="12" t="s">
        <v>12</v>
      </c>
      <c r="T474" s="346"/>
      <c r="U474" s="21"/>
      <c r="V474" s="1"/>
      <c r="W474" s="1"/>
      <c r="X474" s="1"/>
      <c r="Y474" s="1"/>
      <c r="Z474" s="1"/>
      <c r="AA474" s="1"/>
      <c r="AB474" s="246"/>
    </row>
    <row r="475" spans="2:28" ht="16.5" thickBot="1">
      <c r="B475" s="11"/>
      <c r="C475" s="327"/>
      <c r="D475" s="1"/>
      <c r="E475" s="5" t="s">
        <v>104</v>
      </c>
      <c r="F475" s="347" t="s">
        <v>6</v>
      </c>
      <c r="G475" s="411" t="s">
        <v>7</v>
      </c>
      <c r="H475" s="289"/>
      <c r="I475" s="17"/>
      <c r="J475" s="403"/>
      <c r="K475" s="15"/>
      <c r="L475" s="298"/>
      <c r="M475" s="369"/>
      <c r="N475" s="1">
        <f>IF(OR(Q475&lt;0,Q475&gt;1),1,0)</f>
        <v>0</v>
      </c>
      <c r="O475" s="455" t="s">
        <v>105</v>
      </c>
      <c r="P475" s="462" t="s">
        <v>19</v>
      </c>
      <c r="Q475" s="523">
        <v>1</v>
      </c>
      <c r="R475" s="15"/>
      <c r="S475" s="12" t="s">
        <v>12</v>
      </c>
      <c r="T475" s="21"/>
      <c r="U475" s="15"/>
      <c r="V475" s="1"/>
      <c r="W475" s="1"/>
      <c r="X475" s="1"/>
      <c r="Y475" s="1"/>
      <c r="Z475" s="1"/>
      <c r="AA475" s="1"/>
      <c r="AB475" s="246"/>
    </row>
    <row r="476" spans="2:28" ht="16.5" thickBot="1">
      <c r="B476" s="11"/>
      <c r="C476" s="372"/>
      <c r="D476" s="1"/>
      <c r="E476" s="463" t="s">
        <v>106</v>
      </c>
      <c r="F476" s="450" t="s">
        <v>107</v>
      </c>
      <c r="G476" s="556">
        <v>0</v>
      </c>
      <c r="H476" s="289"/>
      <c r="I476" s="12" t="s">
        <v>12</v>
      </c>
      <c r="J476" s="403"/>
      <c r="K476" s="15"/>
      <c r="L476" s="298"/>
      <c r="M476" s="15"/>
      <c r="N476" s="15"/>
      <c r="O476" s="524" t="s">
        <v>108</v>
      </c>
      <c r="P476" s="525"/>
      <c r="Q476" s="526" t="s">
        <v>76</v>
      </c>
      <c r="R476" s="15">
        <f>IF($Q$35="Neither",1,0)</f>
        <v>1</v>
      </c>
      <c r="S476" s="12" t="s">
        <v>12</v>
      </c>
      <c r="T476" s="21"/>
      <c r="U476" s="15"/>
      <c r="V476" s="1"/>
      <c r="W476" s="1"/>
      <c r="X476" s="1"/>
      <c r="Y476" s="1"/>
      <c r="Z476" s="1"/>
      <c r="AA476" s="1"/>
      <c r="AB476" s="246"/>
    </row>
    <row r="477" spans="2:28" ht="16.5" thickBot="1">
      <c r="B477" s="11"/>
      <c r="C477" s="372"/>
      <c r="D477" s="1"/>
      <c r="E477" s="474" t="s">
        <v>109</v>
      </c>
      <c r="F477" s="7" t="s">
        <v>19</v>
      </c>
      <c r="G477" s="548">
        <v>0</v>
      </c>
      <c r="H477" s="289"/>
      <c r="I477" s="12" t="s">
        <v>12</v>
      </c>
      <c r="J477" s="403"/>
      <c r="K477" s="15"/>
      <c r="L477" s="11"/>
      <c r="M477" s="1"/>
      <c r="N477" s="1"/>
      <c r="O477" s="415"/>
      <c r="P477" s="267"/>
      <c r="Q477" s="297"/>
      <c r="R477" s="1"/>
      <c r="S477" s="1"/>
      <c r="T477" s="1"/>
      <c r="U477" s="15"/>
      <c r="V477" s="1"/>
      <c r="W477" s="1"/>
      <c r="X477" s="1"/>
      <c r="Y477" s="1"/>
      <c r="Z477" s="1"/>
      <c r="AA477" s="1"/>
      <c r="AB477" s="246"/>
    </row>
    <row r="478" spans="2:28" ht="16.5" thickBot="1">
      <c r="B478" s="11"/>
      <c r="C478" s="327"/>
      <c r="D478" s="1"/>
      <c r="E478" s="465" t="s">
        <v>110</v>
      </c>
      <c r="F478" s="456" t="s">
        <v>47</v>
      </c>
      <c r="G478" s="471"/>
      <c r="H478" s="289"/>
      <c r="I478" s="12" t="s">
        <v>12</v>
      </c>
      <c r="J478" s="403"/>
      <c r="K478" s="15"/>
      <c r="L478" s="298"/>
      <c r="M478" s="369"/>
      <c r="N478" s="15"/>
      <c r="O478" s="515" t="s">
        <v>111</v>
      </c>
      <c r="P478" s="450" t="s">
        <v>47</v>
      </c>
      <c r="Q478" s="516">
        <v>0</v>
      </c>
      <c r="R478" s="1"/>
      <c r="S478" s="12" t="s">
        <v>12</v>
      </c>
      <c r="T478" s="15"/>
      <c r="U478" s="15"/>
      <c r="V478" s="1"/>
      <c r="W478" s="1"/>
      <c r="X478" s="1"/>
      <c r="Y478" s="1"/>
      <c r="Z478" s="1"/>
      <c r="AA478" s="1"/>
      <c r="AB478" s="246"/>
    </row>
    <row r="479" spans="2:28" ht="16.5" thickBot="1">
      <c r="B479" s="11"/>
      <c r="C479" s="1"/>
      <c r="D479" s="1"/>
      <c r="E479" s="1"/>
      <c r="F479" s="1"/>
      <c r="G479" s="182"/>
      <c r="H479" s="182"/>
      <c r="I479" s="17"/>
      <c r="J479" s="403"/>
      <c r="K479" s="15"/>
      <c r="L479" s="298"/>
      <c r="M479" s="374"/>
      <c r="N479" s="1"/>
      <c r="O479" s="455" t="s">
        <v>112</v>
      </c>
      <c r="P479" s="466"/>
      <c r="Q479" s="517" t="s">
        <v>83</v>
      </c>
      <c r="R479" s="21"/>
      <c r="S479" s="12" t="s">
        <v>12</v>
      </c>
      <c r="T479" s="15"/>
      <c r="U479" s="15"/>
      <c r="V479" s="1"/>
      <c r="W479" s="1"/>
      <c r="X479" s="1"/>
      <c r="Y479" s="1"/>
      <c r="Z479" s="1"/>
      <c r="AA479" s="1"/>
      <c r="AB479" s="246"/>
    </row>
    <row r="480" spans="2:28" ht="16.5" thickBot="1">
      <c r="B480" s="11"/>
      <c r="C480" s="327"/>
      <c r="D480" s="1"/>
      <c r="E480" s="480" t="s">
        <v>113</v>
      </c>
      <c r="F480" s="481" t="s">
        <v>6</v>
      </c>
      <c r="G480" s="482" t="s">
        <v>7</v>
      </c>
      <c r="H480" s="289"/>
      <c r="I480" s="405"/>
      <c r="J480" s="403"/>
      <c r="K480" s="15"/>
      <c r="L480" s="298"/>
      <c r="M480" s="1"/>
      <c r="N480" s="1"/>
      <c r="O480" s="1"/>
      <c r="P480" s="1"/>
      <c r="Q480" s="1"/>
      <c r="R480" s="1"/>
      <c r="S480" s="1"/>
      <c r="T480" s="15"/>
      <c r="U480" s="300"/>
      <c r="V480" s="1"/>
      <c r="W480" s="1"/>
      <c r="X480" s="1"/>
      <c r="Y480" s="1"/>
      <c r="Z480" s="1"/>
      <c r="AA480" s="1"/>
      <c r="AB480" s="246"/>
    </row>
    <row r="481" spans="2:28" ht="16.5" thickBot="1">
      <c r="B481" s="11"/>
      <c r="C481" s="369"/>
      <c r="D481" s="1">
        <f>IF(OR(G481="",G481&lt;0,G481&gt;1),1,0)</f>
        <v>0</v>
      </c>
      <c r="E481" s="449" t="s">
        <v>114</v>
      </c>
      <c r="F481" s="450" t="s">
        <v>19</v>
      </c>
      <c r="G481" s="476">
        <v>0.46</v>
      </c>
      <c r="H481" s="290"/>
      <c r="I481" s="12" t="s">
        <v>12</v>
      </c>
      <c r="J481" s="404"/>
      <c r="K481" s="15"/>
      <c r="L481" s="298"/>
      <c r="M481" s="15"/>
      <c r="N481" s="15"/>
      <c r="O481" s="5" t="s">
        <v>115</v>
      </c>
      <c r="P481" s="22"/>
      <c r="Q481" s="411"/>
      <c r="R481" s="15"/>
      <c r="S481" s="15"/>
      <c r="T481" s="15"/>
      <c r="U481" s="15"/>
      <c r="V481" s="1"/>
      <c r="W481" s="1"/>
      <c r="X481" s="1"/>
      <c r="Y481" s="1"/>
      <c r="Z481" s="1"/>
      <c r="AA481" s="1"/>
      <c r="AB481" s="246"/>
    </row>
    <row r="482" spans="2:28" ht="15.75">
      <c r="B482" s="11"/>
      <c r="C482" s="369"/>
      <c r="D482" s="1">
        <f>IF(OR(G482&lt;=0,G482&gt;G442),1,0)</f>
        <v>0</v>
      </c>
      <c r="E482" s="451" t="s">
        <v>116</v>
      </c>
      <c r="F482" s="7" t="s">
        <v>14</v>
      </c>
      <c r="G482" s="464">
        <v>13</v>
      </c>
      <c r="H482" s="272"/>
      <c r="I482" s="12" t="s">
        <v>12</v>
      </c>
      <c r="J482" s="404"/>
      <c r="K482" s="15"/>
      <c r="L482" s="298"/>
      <c r="M482" s="375"/>
      <c r="N482" s="15">
        <f>IF(OR(Q482&lt;1,Q482&gt;$G$12),1,0)</f>
        <v>0</v>
      </c>
      <c r="O482" s="463" t="s">
        <v>117</v>
      </c>
      <c r="P482" s="459" t="s">
        <v>86</v>
      </c>
      <c r="Q482" s="556">
        <v>12</v>
      </c>
      <c r="R482" s="15"/>
      <c r="S482" s="12" t="s">
        <v>12</v>
      </c>
      <c r="T482" s="15"/>
      <c r="U482" s="15"/>
      <c r="V482" s="1"/>
      <c r="W482" s="1"/>
      <c r="X482" s="1"/>
      <c r="Y482" s="1"/>
      <c r="Z482" s="1"/>
      <c r="AA482" s="1"/>
      <c r="AB482" s="246"/>
    </row>
    <row r="483" spans="2:28" ht="16.5" thickBot="1">
      <c r="B483" s="11"/>
      <c r="C483" s="372"/>
      <c r="D483" s="1">
        <f>IF(OR(G483&lt;0,G483=""),1,0)</f>
        <v>0</v>
      </c>
      <c r="E483" s="451" t="s">
        <v>118</v>
      </c>
      <c r="F483" s="7" t="s">
        <v>19</v>
      </c>
      <c r="G483" s="485">
        <v>7.5975931558935353E-2</v>
      </c>
      <c r="H483" s="291"/>
      <c r="I483" s="12" t="s">
        <v>12</v>
      </c>
      <c r="J483" s="404"/>
      <c r="K483" s="15"/>
      <c r="L483" s="298"/>
      <c r="M483" s="326"/>
      <c r="N483" s="15"/>
      <c r="O483" s="465" t="s">
        <v>119</v>
      </c>
      <c r="P483" s="456" t="str">
        <f>$F$16</f>
        <v>$/kW</v>
      </c>
      <c r="Q483" s="531">
        <v>21</v>
      </c>
      <c r="R483" s="15"/>
      <c r="S483" s="12" t="s">
        <v>12</v>
      </c>
      <c r="T483" s="15"/>
      <c r="U483" s="15"/>
      <c r="V483" s="1"/>
      <c r="W483" s="1"/>
      <c r="X483" s="1"/>
      <c r="Y483" s="1"/>
      <c r="Z483" s="1"/>
      <c r="AA483" s="1"/>
      <c r="AB483" s="246"/>
    </row>
    <row r="484" spans="2:28" ht="16.5" thickBot="1">
      <c r="B484" s="11"/>
      <c r="C484" s="369"/>
      <c r="D484" s="1">
        <f>IF(OR(G484&lt;0,G484=""),1,0)</f>
        <v>0</v>
      </c>
      <c r="E484" s="486" t="s">
        <v>120</v>
      </c>
      <c r="F484" s="466" t="s">
        <v>19</v>
      </c>
      <c r="G484" s="487">
        <v>0.01</v>
      </c>
      <c r="H484" s="270"/>
      <c r="I484" s="12" t="s">
        <v>12</v>
      </c>
      <c r="J484" s="403"/>
      <c r="K484" s="15"/>
      <c r="L484" s="298"/>
      <c r="M484" s="375"/>
      <c r="N484" s="15">
        <f>IF(OR(Q484&lt;Q482,Q484&gt;$G$12),1,0)</f>
        <v>0</v>
      </c>
      <c r="O484" s="529" t="s">
        <v>121</v>
      </c>
      <c r="P484" s="24" t="s">
        <v>86</v>
      </c>
      <c r="Q484" s="530">
        <v>12</v>
      </c>
      <c r="R484" s="15"/>
      <c r="S484" s="12" t="s">
        <v>12</v>
      </c>
      <c r="T484" s="15"/>
      <c r="U484" s="15"/>
      <c r="V484" s="1"/>
      <c r="W484" s="1"/>
      <c r="X484" s="1"/>
      <c r="Y484" s="1"/>
      <c r="Z484" s="1"/>
      <c r="AA484" s="1"/>
      <c r="AB484" s="246"/>
    </row>
    <row r="485" spans="2:28" ht="16.5" thickBot="1">
      <c r="B485" s="11"/>
      <c r="C485" s="369"/>
      <c r="D485" s="1"/>
      <c r="E485" s="483" t="s">
        <v>122</v>
      </c>
      <c r="F485" s="24"/>
      <c r="G485" s="484">
        <v>1</v>
      </c>
      <c r="H485" s="279"/>
      <c r="I485" s="12" t="s">
        <v>12</v>
      </c>
      <c r="J485" s="403"/>
      <c r="K485" s="15"/>
      <c r="L485" s="298"/>
      <c r="M485" s="326"/>
      <c r="N485" s="15"/>
      <c r="O485" s="465" t="s">
        <v>123</v>
      </c>
      <c r="P485" s="456" t="str">
        <f>$F$16</f>
        <v>$/kW</v>
      </c>
      <c r="Q485" s="531">
        <v>0</v>
      </c>
      <c r="R485" s="15"/>
      <c r="S485" s="12" t="s">
        <v>12</v>
      </c>
      <c r="T485" s="15"/>
      <c r="U485" s="15"/>
      <c r="V485" s="1"/>
      <c r="W485" s="1"/>
      <c r="X485" s="1"/>
      <c r="Y485" s="1"/>
      <c r="Z485" s="1"/>
      <c r="AA485" s="1"/>
      <c r="AB485" s="246"/>
    </row>
    <row r="486" spans="2:28" ht="15.75">
      <c r="B486" s="11"/>
      <c r="C486" s="1"/>
      <c r="D486" s="1"/>
      <c r="E486" s="451" t="s">
        <v>124</v>
      </c>
      <c r="F486" s="248">
        <f>MAX('[2]Cash Flow'!G475:AJ475)</f>
        <v>0</v>
      </c>
      <c r="G486" s="477"/>
      <c r="H486" s="280"/>
      <c r="I486" s="12" t="s">
        <v>12</v>
      </c>
      <c r="J486" s="403"/>
      <c r="K486" s="15"/>
      <c r="L486" s="298"/>
      <c r="M486" s="375"/>
      <c r="N486" s="15">
        <f>IF(OR(Q486&lt;Q484,Q486&gt;$G$12),1,0)</f>
        <v>0</v>
      </c>
      <c r="O486" s="474" t="s">
        <v>125</v>
      </c>
      <c r="P486" s="8" t="s">
        <v>86</v>
      </c>
      <c r="Q486" s="530">
        <v>12</v>
      </c>
      <c r="R486" s="15"/>
      <c r="S486" s="12" t="s">
        <v>12</v>
      </c>
      <c r="T486" s="15"/>
      <c r="U486" s="15"/>
      <c r="V486" s="1"/>
      <c r="W486" s="1"/>
      <c r="X486" s="1"/>
      <c r="Y486" s="1"/>
      <c r="Z486" s="1"/>
      <c r="AA486" s="1"/>
      <c r="AB486" s="246"/>
    </row>
    <row r="487" spans="2:28" ht="16.5" thickBot="1">
      <c r="B487" s="11"/>
      <c r="C487" s="369"/>
      <c r="D487" s="1"/>
      <c r="E487" s="451" t="s">
        <v>126</v>
      </c>
      <c r="F487" s="8" t="s">
        <v>127</v>
      </c>
      <c r="G487" s="478"/>
      <c r="H487" s="406"/>
      <c r="I487" s="12" t="s">
        <v>12</v>
      </c>
      <c r="J487" s="404"/>
      <c r="K487" s="15"/>
      <c r="L487" s="298"/>
      <c r="M487" s="326"/>
      <c r="N487" s="15"/>
      <c r="O487" s="465" t="s">
        <v>128</v>
      </c>
      <c r="P487" s="456" t="str">
        <f>$F$16</f>
        <v>$/kW</v>
      </c>
      <c r="Q487" s="531">
        <v>0</v>
      </c>
      <c r="R487" s="15"/>
      <c r="S487" s="12" t="s">
        <v>12</v>
      </c>
      <c r="T487" s="1"/>
      <c r="U487" s="1"/>
      <c r="V487" s="1"/>
      <c r="W487" s="1"/>
      <c r="X487" s="1"/>
      <c r="Y487" s="1"/>
      <c r="Z487" s="1"/>
      <c r="AA487" s="1"/>
      <c r="AB487" s="246"/>
    </row>
    <row r="488" spans="2:28" ht="15.75">
      <c r="B488" s="11"/>
      <c r="C488" s="369"/>
      <c r="D488" s="1"/>
      <c r="E488" s="451" t="s">
        <v>129</v>
      </c>
      <c r="F488" s="8"/>
      <c r="G488" s="680">
        <v>1.25</v>
      </c>
      <c r="H488" s="279"/>
      <c r="I488" s="12" t="s">
        <v>12</v>
      </c>
      <c r="J488" s="403"/>
      <c r="K488" s="15"/>
      <c r="L488" s="298"/>
      <c r="M488" s="375"/>
      <c r="N488" s="15">
        <f>IF(OR(Q488&lt;Q486,Q488&gt;$G$12),1,0)</f>
        <v>0</v>
      </c>
      <c r="O488" s="474" t="s">
        <v>130</v>
      </c>
      <c r="P488" s="8" t="s">
        <v>86</v>
      </c>
      <c r="Q488" s="530">
        <v>12</v>
      </c>
      <c r="R488" s="15"/>
      <c r="S488" s="12" t="s">
        <v>12</v>
      </c>
      <c r="T488" s="1"/>
      <c r="U488" s="1"/>
      <c r="V488" s="1"/>
      <c r="W488" s="1"/>
      <c r="X488" s="1"/>
      <c r="Y488" s="1"/>
      <c r="Z488" s="1"/>
      <c r="AA488" s="1"/>
      <c r="AB488" s="246"/>
    </row>
    <row r="489" spans="2:28" ht="16.5" thickBot="1">
      <c r="B489" s="11"/>
      <c r="C489" s="1"/>
      <c r="D489" s="1"/>
      <c r="E489" s="451" t="s">
        <v>131</v>
      </c>
      <c r="F489" s="248"/>
      <c r="G489" s="477"/>
      <c r="H489" s="280"/>
      <c r="I489" s="12" t="s">
        <v>12</v>
      </c>
      <c r="J489" s="403"/>
      <c r="K489" s="15"/>
      <c r="L489" s="298"/>
      <c r="M489" s="326"/>
      <c r="N489" s="15"/>
      <c r="O489" s="465" t="s">
        <v>132</v>
      </c>
      <c r="P489" s="456" t="str">
        <f>$F$16</f>
        <v>$/kW</v>
      </c>
      <c r="Q489" s="531">
        <v>0</v>
      </c>
      <c r="R489" s="15"/>
      <c r="S489" s="12" t="s">
        <v>12</v>
      </c>
      <c r="T489" s="1"/>
      <c r="U489" s="1"/>
      <c r="V489" s="1"/>
      <c r="W489" s="1"/>
      <c r="X489" s="1"/>
      <c r="Y489" s="1"/>
      <c r="Z489" s="1"/>
      <c r="AA489" s="1"/>
      <c r="AB489" s="246"/>
    </row>
    <row r="490" spans="2:28" ht="16.5" thickBot="1">
      <c r="B490" s="11"/>
      <c r="C490" s="369"/>
      <c r="D490" s="1"/>
      <c r="E490" s="455" t="s">
        <v>133</v>
      </c>
      <c r="F490" s="456" t="s">
        <v>127</v>
      </c>
      <c r="G490" s="479"/>
      <c r="H490" s="406"/>
      <c r="I490" s="12" t="s">
        <v>12</v>
      </c>
      <c r="J490" s="403"/>
      <c r="K490" s="15"/>
      <c r="L490" s="298"/>
      <c r="M490" s="1"/>
      <c r="N490" s="1"/>
      <c r="O490" s="1"/>
      <c r="P490" s="1"/>
      <c r="Q490" s="1"/>
      <c r="R490" s="1"/>
      <c r="S490" s="1"/>
      <c r="T490" s="1"/>
      <c r="U490" s="1"/>
      <c r="V490" s="1"/>
      <c r="W490" s="1"/>
      <c r="X490" s="1"/>
      <c r="Y490" s="1"/>
      <c r="Z490" s="1"/>
      <c r="AA490" s="1"/>
      <c r="AB490" s="246"/>
    </row>
    <row r="491" spans="2:28" ht="16.5" thickBot="1">
      <c r="B491" s="11"/>
      <c r="C491" s="1"/>
      <c r="D491" s="1"/>
      <c r="E491" s="449" t="s">
        <v>134</v>
      </c>
      <c r="F491" s="450" t="s">
        <v>19</v>
      </c>
      <c r="G491" s="488"/>
      <c r="H491" s="292"/>
      <c r="I491" s="12" t="s">
        <v>12</v>
      </c>
      <c r="J491" s="403"/>
      <c r="K491" s="15"/>
      <c r="L491" s="298"/>
      <c r="M491" s="15"/>
      <c r="N491" s="15"/>
      <c r="O491" s="5" t="s">
        <v>135</v>
      </c>
      <c r="P491" s="347" t="s">
        <v>6</v>
      </c>
      <c r="Q491" s="411" t="s">
        <v>7</v>
      </c>
      <c r="R491" s="15"/>
      <c r="S491" s="15"/>
      <c r="T491" s="15"/>
      <c r="U491" s="15"/>
      <c r="V491" s="1"/>
      <c r="W491" s="1"/>
      <c r="X491" s="1"/>
      <c r="Y491" s="1"/>
      <c r="Z491" s="1"/>
      <c r="AA491" s="1"/>
      <c r="AB491" s="246"/>
    </row>
    <row r="492" spans="2:28" ht="16.5" thickBot="1">
      <c r="B492" s="11"/>
      <c r="C492" s="369"/>
      <c r="D492" s="1">
        <f>IF(OR(G492&lt;0,G492=""),1,0)</f>
        <v>0</v>
      </c>
      <c r="E492" s="489" t="s">
        <v>136</v>
      </c>
      <c r="F492" s="466" t="s">
        <v>19</v>
      </c>
      <c r="G492" s="722">
        <v>0.10299999999999998</v>
      </c>
      <c r="H492" s="291"/>
      <c r="I492" s="12" t="s">
        <v>12</v>
      </c>
      <c r="J492" s="403"/>
      <c r="K492" s="15"/>
      <c r="L492" s="298"/>
      <c r="M492" s="15"/>
      <c r="N492" s="15"/>
      <c r="O492" s="532" t="s">
        <v>137</v>
      </c>
      <c r="P492" s="533"/>
      <c r="Q492" s="534"/>
      <c r="R492" s="15"/>
      <c r="S492" s="15"/>
      <c r="T492" s="15"/>
      <c r="U492" s="1"/>
      <c r="V492" s="1"/>
      <c r="W492" s="1"/>
      <c r="X492" s="1"/>
      <c r="Y492" s="1"/>
      <c r="Z492" s="1"/>
      <c r="AA492" s="1"/>
      <c r="AB492" s="246"/>
    </row>
    <row r="493" spans="2:28" ht="15.75">
      <c r="B493" s="11"/>
      <c r="C493" s="1"/>
      <c r="D493" s="1"/>
      <c r="E493" s="449" t="s">
        <v>138</v>
      </c>
      <c r="F493" s="450" t="s">
        <v>19</v>
      </c>
      <c r="G493" s="681"/>
      <c r="H493" s="1"/>
      <c r="I493" s="12" t="s">
        <v>12</v>
      </c>
      <c r="J493" s="246"/>
      <c r="K493" s="15"/>
      <c r="L493" s="298"/>
      <c r="M493" s="374"/>
      <c r="N493" s="15"/>
      <c r="O493" s="535" t="s">
        <v>139</v>
      </c>
      <c r="P493" s="23"/>
      <c r="Q493" s="511" t="s">
        <v>140</v>
      </c>
      <c r="R493" s="15"/>
      <c r="S493" s="12" t="s">
        <v>12</v>
      </c>
      <c r="T493" s="15"/>
      <c r="U493" s="15"/>
      <c r="V493" s="1"/>
      <c r="W493" s="1"/>
      <c r="X493" s="1"/>
      <c r="Y493" s="1"/>
      <c r="Z493" s="1"/>
      <c r="AA493" s="1"/>
      <c r="AB493" s="246"/>
    </row>
    <row r="494" spans="2:28" ht="16.5" thickBot="1">
      <c r="B494" s="11"/>
      <c r="C494" s="369"/>
      <c r="D494" s="1"/>
      <c r="E494" s="486" t="s">
        <v>141</v>
      </c>
      <c r="F494" s="466" t="s">
        <v>47</v>
      </c>
      <c r="G494" s="490">
        <v>0</v>
      </c>
      <c r="H494" s="288"/>
      <c r="I494" s="12" t="s">
        <v>12</v>
      </c>
      <c r="J494" s="246"/>
      <c r="K494" s="15"/>
      <c r="L494" s="298"/>
      <c r="M494" s="375"/>
      <c r="N494" s="15"/>
      <c r="O494" s="465" t="s">
        <v>142</v>
      </c>
      <c r="P494" s="456" t="s">
        <v>47</v>
      </c>
      <c r="Q494" s="588">
        <v>0</v>
      </c>
      <c r="R494" s="15"/>
      <c r="S494" s="12" t="s">
        <v>12</v>
      </c>
      <c r="T494" s="15"/>
      <c r="U494" s="385"/>
      <c r="V494" s="1"/>
      <c r="W494" s="1"/>
      <c r="X494" s="1"/>
      <c r="Y494" s="1"/>
      <c r="Z494" s="1"/>
      <c r="AA494" s="1"/>
      <c r="AB494" s="246"/>
    </row>
    <row r="495" spans="2:28" ht="16.5" thickBot="1">
      <c r="B495" s="11"/>
      <c r="C495" s="1"/>
      <c r="D495" s="1"/>
      <c r="E495" s="1"/>
      <c r="F495" s="1"/>
      <c r="G495" s="1"/>
      <c r="H495" s="1"/>
      <c r="I495" s="1"/>
      <c r="J495" s="246"/>
      <c r="K495" s="15"/>
      <c r="L495" s="298"/>
      <c r="M495" s="1"/>
      <c r="N495" s="1"/>
      <c r="O495" s="1"/>
      <c r="P495" s="1"/>
      <c r="Q495" s="1"/>
      <c r="R495" s="1"/>
      <c r="S495" s="1"/>
      <c r="T495" s="1"/>
      <c r="U495" s="385"/>
      <c r="V495" s="1"/>
      <c r="W495" s="1"/>
      <c r="X495" s="1"/>
      <c r="Y495" s="1"/>
      <c r="Z495" s="1"/>
      <c r="AA495" s="1"/>
      <c r="AB495" s="246"/>
    </row>
    <row r="496" spans="2:28" ht="16.5" thickBot="1">
      <c r="B496" s="298"/>
      <c r="C496" s="1"/>
      <c r="D496" s="1"/>
      <c r="E496" s="314" t="s">
        <v>143</v>
      </c>
      <c r="F496" s="22"/>
      <c r="G496" s="315"/>
      <c r="H496" s="1"/>
      <c r="I496" s="1"/>
      <c r="J496" s="246"/>
      <c r="K496" s="1"/>
      <c r="L496" s="298"/>
      <c r="M496" s="15"/>
      <c r="N496" s="15"/>
      <c r="O496" s="5" t="s">
        <v>144</v>
      </c>
      <c r="P496" s="347" t="s">
        <v>6</v>
      </c>
      <c r="Q496" s="411" t="s">
        <v>7</v>
      </c>
      <c r="R496" s="15"/>
      <c r="S496" s="15"/>
      <c r="T496" s="15"/>
      <c r="U496" s="378"/>
      <c r="V496" s="1"/>
      <c r="W496" s="1"/>
      <c r="X496" s="1"/>
      <c r="Y496" s="1"/>
      <c r="Z496" s="1"/>
      <c r="AA496" s="1"/>
      <c r="AB496" s="246"/>
    </row>
    <row r="497" spans="2:28" ht="15.75">
      <c r="B497" s="298"/>
      <c r="C497" s="1"/>
      <c r="D497" s="1"/>
      <c r="E497" s="449" t="s">
        <v>145</v>
      </c>
      <c r="F497" s="574"/>
      <c r="G497" s="491"/>
      <c r="H497" s="1"/>
      <c r="I497" s="12" t="s">
        <v>12</v>
      </c>
      <c r="J497" s="246"/>
      <c r="K497" s="15"/>
      <c r="L497" s="298"/>
      <c r="M497" s="15"/>
      <c r="N497" s="15"/>
      <c r="O497" s="536" t="s">
        <v>146</v>
      </c>
      <c r="P497" s="527"/>
      <c r="Q497" s="528"/>
      <c r="R497" s="15"/>
      <c r="S497" s="15"/>
      <c r="T497" s="15"/>
      <c r="U497" s="15"/>
      <c r="V497" s="1"/>
      <c r="W497" s="1"/>
      <c r="X497" s="1"/>
      <c r="Y497" s="1"/>
      <c r="Z497" s="1"/>
      <c r="AA497" s="1"/>
      <c r="AB497" s="246"/>
    </row>
    <row r="498" spans="2:28" ht="15.75">
      <c r="B498" s="298"/>
      <c r="C498" s="1"/>
      <c r="D498" s="1"/>
      <c r="E498" s="451" t="s">
        <v>147</v>
      </c>
      <c r="F498" s="573"/>
      <c r="G498" s="467"/>
      <c r="H498" s="1"/>
      <c r="I498" s="12" t="s">
        <v>12</v>
      </c>
      <c r="J498" s="246"/>
      <c r="K498" s="1"/>
      <c r="L498" s="298"/>
      <c r="M498" s="375"/>
      <c r="N498" s="15"/>
      <c r="O498" s="451" t="s">
        <v>148</v>
      </c>
      <c r="P498" s="7" t="s">
        <v>107</v>
      </c>
      <c r="Q498" s="584">
        <v>0</v>
      </c>
      <c r="R498" s="15"/>
      <c r="S498" s="12" t="s">
        <v>12</v>
      </c>
      <c r="T498" s="15"/>
      <c r="U498" s="15"/>
      <c r="V498" s="1"/>
      <c r="W498" s="1"/>
      <c r="X498" s="1"/>
      <c r="Y498" s="1"/>
      <c r="Z498" s="1"/>
      <c r="AA498" s="1"/>
      <c r="AB498" s="246"/>
    </row>
    <row r="499" spans="2:28" ht="16.5" thickBot="1">
      <c r="B499" s="11"/>
      <c r="C499" s="1"/>
      <c r="D499" s="1"/>
      <c r="E499" s="492" t="s">
        <v>149</v>
      </c>
      <c r="F499" s="575"/>
      <c r="G499" s="493"/>
      <c r="H499" s="1"/>
      <c r="I499" s="12" t="s">
        <v>12</v>
      </c>
      <c r="J499" s="246"/>
      <c r="K499" s="1"/>
      <c r="L499" s="298"/>
      <c r="M499" s="15"/>
      <c r="N499" s="15"/>
      <c r="O499" s="455" t="s">
        <v>150</v>
      </c>
      <c r="P499" s="466" t="s">
        <v>47</v>
      </c>
      <c r="Q499" s="537"/>
      <c r="R499" s="15"/>
      <c r="S499" s="12" t="s">
        <v>12</v>
      </c>
      <c r="T499" s="15"/>
      <c r="U499" s="15"/>
      <c r="V499" s="1"/>
      <c r="W499" s="1"/>
      <c r="X499" s="1"/>
      <c r="Y499" s="1"/>
      <c r="Z499" s="1"/>
      <c r="AA499" s="1"/>
      <c r="AB499" s="246"/>
    </row>
    <row r="500" spans="2:28" ht="17.25" thickTop="1" thickBot="1">
      <c r="B500" s="298"/>
      <c r="C500" s="1"/>
      <c r="D500" s="1"/>
      <c r="E500" s="494" t="s">
        <v>44</v>
      </c>
      <c r="F500" s="462" t="s">
        <v>47</v>
      </c>
      <c r="G500" s="495"/>
      <c r="H500" s="1"/>
      <c r="I500" s="12" t="s">
        <v>12</v>
      </c>
      <c r="J500" s="246"/>
      <c r="K500" s="1"/>
      <c r="L500" s="298"/>
      <c r="M500" s="15"/>
      <c r="N500" s="15"/>
      <c r="O500" s="536" t="s">
        <v>151</v>
      </c>
      <c r="P500" s="527"/>
      <c r="Q500" s="538"/>
      <c r="R500" s="15"/>
      <c r="S500" s="15"/>
      <c r="T500" s="15"/>
      <c r="U500" s="15"/>
      <c r="V500" s="1"/>
      <c r="W500" s="1"/>
      <c r="X500" s="1"/>
      <c r="Y500" s="1"/>
      <c r="Z500" s="1"/>
      <c r="AA500" s="1"/>
      <c r="AB500" s="246"/>
    </row>
    <row r="501" spans="2:28" ht="16.5" thickBot="1">
      <c r="B501" s="11"/>
      <c r="C501" s="1"/>
      <c r="D501" s="1"/>
      <c r="E501" s="1"/>
      <c r="F501" s="1"/>
      <c r="G501" s="1"/>
      <c r="H501" s="1"/>
      <c r="I501" s="1"/>
      <c r="J501" s="246"/>
      <c r="K501" s="1"/>
      <c r="L501" s="298"/>
      <c r="M501" s="375"/>
      <c r="N501" s="15"/>
      <c r="O501" s="474" t="s">
        <v>152</v>
      </c>
      <c r="P501" s="7" t="s">
        <v>107</v>
      </c>
      <c r="Q501" s="584">
        <v>0</v>
      </c>
      <c r="R501" s="15"/>
      <c r="S501" s="12" t="s">
        <v>12</v>
      </c>
      <c r="T501" s="15"/>
      <c r="U501" s="1"/>
      <c r="V501" s="1"/>
      <c r="W501" s="1"/>
      <c r="X501" s="1"/>
      <c r="Y501" s="1"/>
      <c r="Z501" s="1"/>
      <c r="AA501" s="1"/>
      <c r="AB501" s="246"/>
    </row>
    <row r="502" spans="2:28" ht="16.5" thickBot="1">
      <c r="B502" s="11"/>
      <c r="C502" s="1"/>
      <c r="D502" s="1"/>
      <c r="E502" s="5" t="s">
        <v>153</v>
      </c>
      <c r="F502" s="347" t="s">
        <v>6</v>
      </c>
      <c r="G502" s="411" t="s">
        <v>7</v>
      </c>
      <c r="H502" s="293"/>
      <c r="I502" s="17"/>
      <c r="J502" s="246"/>
      <c r="K502" s="1"/>
      <c r="L502" s="298"/>
      <c r="M502" s="15"/>
      <c r="N502" s="15"/>
      <c r="O502" s="465" t="s">
        <v>154</v>
      </c>
      <c r="P502" s="466" t="s">
        <v>47</v>
      </c>
      <c r="Q502" s="537"/>
      <c r="R502" s="15"/>
      <c r="S502" s="12" t="s">
        <v>12</v>
      </c>
      <c r="T502" s="15"/>
      <c r="U502" s="15"/>
      <c r="V502" s="1"/>
      <c r="W502" s="1"/>
      <c r="X502" s="1"/>
      <c r="Y502" s="1"/>
      <c r="Z502" s="1"/>
      <c r="AA502" s="1"/>
      <c r="AB502" s="246"/>
    </row>
    <row r="503" spans="2:28" ht="16.5" thickBot="1">
      <c r="B503" s="11"/>
      <c r="C503" s="373"/>
      <c r="D503" s="1"/>
      <c r="E503" s="438" t="s">
        <v>155</v>
      </c>
      <c r="F503" s="525"/>
      <c r="G503" s="547" t="s">
        <v>83</v>
      </c>
      <c r="H503" s="282"/>
      <c r="I503" s="12" t="s">
        <v>12</v>
      </c>
      <c r="J503" s="246"/>
      <c r="K503" s="1"/>
      <c r="L503" s="298"/>
      <c r="M503" s="375"/>
      <c r="N503" s="15"/>
      <c r="O503" s="540" t="s">
        <v>156</v>
      </c>
      <c r="P503" s="439" t="s">
        <v>19</v>
      </c>
      <c r="Q503" s="539">
        <v>0.02</v>
      </c>
      <c r="R503" s="15"/>
      <c r="S503" s="12" t="s">
        <v>12</v>
      </c>
      <c r="T503" s="15"/>
      <c r="U503" s="1"/>
      <c r="V503" s="1"/>
      <c r="W503" s="1"/>
      <c r="X503" s="1"/>
      <c r="Y503" s="1"/>
      <c r="Z503" s="1"/>
      <c r="AA503" s="1"/>
      <c r="AB503" s="246"/>
    </row>
    <row r="504" spans="2:28" ht="16.5" thickBot="1">
      <c r="B504" s="11"/>
      <c r="C504" s="369"/>
      <c r="D504" s="1">
        <f>IF(OR(G504&lt;0,G504=""),1,0)</f>
        <v>0</v>
      </c>
      <c r="E504" s="458" t="s">
        <v>157</v>
      </c>
      <c r="F504" s="450" t="s">
        <v>19</v>
      </c>
      <c r="G504" s="548">
        <v>0.21</v>
      </c>
      <c r="H504" s="270"/>
      <c r="I504" s="12" t="s">
        <v>12</v>
      </c>
      <c r="J504" s="403"/>
      <c r="K504" s="1"/>
      <c r="L504" s="11"/>
      <c r="M504" s="1"/>
      <c r="N504" s="1"/>
      <c r="O504" s="1"/>
      <c r="P504" s="1"/>
      <c r="Q504" s="1"/>
      <c r="R504" s="1"/>
      <c r="S504" s="1"/>
      <c r="T504" s="1"/>
      <c r="U504" s="1"/>
      <c r="V504" s="1"/>
      <c r="W504" s="1"/>
      <c r="X504" s="1"/>
      <c r="Y504" s="1"/>
      <c r="Z504" s="1"/>
      <c r="AA504" s="1"/>
      <c r="AB504" s="246"/>
    </row>
    <row r="505" spans="2:28" ht="16.5" thickBot="1">
      <c r="B505" s="11"/>
      <c r="C505" s="373"/>
      <c r="D505" s="1"/>
      <c r="E505" s="513" t="s">
        <v>75</v>
      </c>
      <c r="F505" s="549"/>
      <c r="G505" s="517" t="s">
        <v>76</v>
      </c>
      <c r="H505" s="282"/>
      <c r="I505" s="12" t="s">
        <v>12</v>
      </c>
      <c r="J505" s="246"/>
      <c r="K505" s="1"/>
      <c r="L505" s="11"/>
      <c r="M505" s="15"/>
      <c r="N505" s="15"/>
      <c r="O505" s="348" t="s">
        <v>158</v>
      </c>
      <c r="P505" s="432" t="s">
        <v>159</v>
      </c>
      <c r="Q505" s="432"/>
      <c r="R505" s="432"/>
      <c r="S505" s="432"/>
      <c r="T505" s="432"/>
      <c r="U505" s="432"/>
      <c r="V505" s="432"/>
      <c r="W505" s="432"/>
      <c r="X505" s="432"/>
      <c r="Y505" s="432"/>
      <c r="Z505" s="315"/>
      <c r="AA505" s="1"/>
      <c r="AB505" s="246"/>
    </row>
    <row r="506" spans="2:28" ht="15.75">
      <c r="B506" s="11"/>
      <c r="C506" s="369"/>
      <c r="D506" s="1">
        <f>IF(OR(G506&lt;0,G506=""),1,0)</f>
        <v>0</v>
      </c>
      <c r="E506" s="458" t="s">
        <v>160</v>
      </c>
      <c r="F506" s="450" t="s">
        <v>19</v>
      </c>
      <c r="G506" s="682">
        <v>0.09</v>
      </c>
      <c r="H506" s="270"/>
      <c r="I506" s="12" t="s">
        <v>12</v>
      </c>
      <c r="J506" s="403"/>
      <c r="K506" s="1"/>
      <c r="L506" s="11"/>
      <c r="M506" s="373"/>
      <c r="N506" s="15"/>
      <c r="O506" s="515" t="s">
        <v>161</v>
      </c>
      <c r="P506" s="496" t="str">
        <f>[2]Input_Dashboard!$D$141</f>
        <v>No</v>
      </c>
      <c r="Q506" s="1"/>
      <c r="R506" s="1"/>
      <c r="S506" s="419" t="s">
        <v>12</v>
      </c>
      <c r="T506" s="1"/>
      <c r="U506" s="1"/>
      <c r="V506" s="1"/>
      <c r="W506" s="1"/>
      <c r="X506" s="1"/>
      <c r="Y506" s="1"/>
      <c r="Z506" s="246"/>
      <c r="AA506" s="1"/>
      <c r="AB506" s="246"/>
    </row>
    <row r="507" spans="2:28" ht="16.5" thickBot="1">
      <c r="B507" s="11"/>
      <c r="C507" s="373"/>
      <c r="D507" s="1"/>
      <c r="E507" s="513" t="s">
        <v>162</v>
      </c>
      <c r="F507" s="549"/>
      <c r="G507" s="517" t="s">
        <v>76</v>
      </c>
      <c r="H507" s="282"/>
      <c r="I507" s="12" t="s">
        <v>12</v>
      </c>
      <c r="J507" s="403"/>
      <c r="K507" s="1"/>
      <c r="L507" s="11"/>
      <c r="M507" s="375"/>
      <c r="N507" s="1"/>
      <c r="O507" s="455" t="s">
        <v>163</v>
      </c>
      <c r="P507" s="683">
        <f>[2]Input_Dashboard!D572</f>
        <v>0</v>
      </c>
      <c r="Q507" s="1"/>
      <c r="R507" s="1"/>
      <c r="S507" s="12" t="s">
        <v>12</v>
      </c>
      <c r="T507" s="1"/>
      <c r="U507" s="1"/>
      <c r="V507" s="1"/>
      <c r="W507" s="1"/>
      <c r="X507" s="1"/>
      <c r="Y507" s="1"/>
      <c r="Z507" s="246"/>
      <c r="AA507" s="1"/>
      <c r="AB507" s="246"/>
    </row>
    <row r="508" spans="2:28" ht="16.5" thickBot="1">
      <c r="B508" s="11"/>
      <c r="C508" s="1"/>
      <c r="D508" s="1"/>
      <c r="E508" s="550" t="s">
        <v>164</v>
      </c>
      <c r="F508" s="551" t="s">
        <v>19</v>
      </c>
      <c r="G508" s="552"/>
      <c r="H508" s="295"/>
      <c r="I508" s="12" t="s">
        <v>12</v>
      </c>
      <c r="J508" s="403"/>
      <c r="K508" s="1"/>
      <c r="L508" s="11"/>
      <c r="M508" s="1"/>
      <c r="N508" s="1"/>
      <c r="O508" s="296"/>
      <c r="P508" s="40"/>
      <c r="Q508" s="40"/>
      <c r="R508" s="40"/>
      <c r="S508" s="40"/>
      <c r="T508" s="40"/>
      <c r="U508" s="40"/>
      <c r="V508" s="40"/>
      <c r="W508" s="40"/>
      <c r="X508" s="40"/>
      <c r="Y508" s="40"/>
      <c r="Z508" s="305"/>
      <c r="AA508" s="1"/>
      <c r="AB508" s="246"/>
    </row>
    <row r="509" spans="2:28" ht="16.5" thickBot="1">
      <c r="B509" s="11"/>
      <c r="C509" s="1"/>
      <c r="D509" s="1"/>
      <c r="E509" s="455" t="s">
        <v>158</v>
      </c>
      <c r="F509" s="498"/>
      <c r="G509" s="499" t="s">
        <v>165</v>
      </c>
      <c r="H509" s="55"/>
      <c r="I509" s="12" t="s">
        <v>12</v>
      </c>
      <c r="J509" s="246"/>
      <c r="K509" s="1"/>
      <c r="L509" s="11"/>
      <c r="M509" s="15"/>
      <c r="N509" s="15"/>
      <c r="O509" s="542" t="s">
        <v>166</v>
      </c>
      <c r="P509" s="543" t="s">
        <v>167</v>
      </c>
      <c r="Q509" s="648" t="s">
        <v>168</v>
      </c>
      <c r="R509" s="775" t="s">
        <v>169</v>
      </c>
      <c r="S509" s="776"/>
      <c r="T509" s="777"/>
      <c r="U509" s="543" t="s">
        <v>170</v>
      </c>
      <c r="V509" s="543" t="s">
        <v>171</v>
      </c>
      <c r="W509" s="543" t="s">
        <v>172</v>
      </c>
      <c r="X509" s="543" t="s">
        <v>173</v>
      </c>
      <c r="Y509" s="543" t="s">
        <v>174</v>
      </c>
      <c r="Z509" s="544" t="s">
        <v>175</v>
      </c>
      <c r="AA509" s="1"/>
      <c r="AB509" s="246"/>
    </row>
    <row r="510" spans="2:28" ht="16.5" thickBot="1">
      <c r="B510" s="11"/>
      <c r="C510" s="1"/>
      <c r="D510" s="1"/>
      <c r="E510" s="1"/>
      <c r="F510" s="1"/>
      <c r="G510" s="1"/>
      <c r="H510" s="1"/>
      <c r="I510" s="1"/>
      <c r="J510" s="246"/>
      <c r="K510" s="1"/>
      <c r="L510" s="11">
        <f>IF(AND($G$73="Yes",$G$15="Simple"),1,0)</f>
        <v>0</v>
      </c>
      <c r="M510" s="15"/>
      <c r="N510" s="230">
        <f>IF(AND($G$15="Simple",SUM(P510:Z510)=1),1,IF(AND($G$15="Simple",SUM(P510:Z510)&lt;&gt;1),2,0))</f>
        <v>0</v>
      </c>
      <c r="O510" s="545" t="str">
        <f t="shared" ref="O510:O515" si="5">E446</f>
        <v>Total Installed Cost</v>
      </c>
      <c r="P510" s="590">
        <v>0.94</v>
      </c>
      <c r="Q510" s="649">
        <v>0</v>
      </c>
      <c r="R510" s="778">
        <v>1.4999999999999999E-2</v>
      </c>
      <c r="S510" s="779"/>
      <c r="T510" s="780"/>
      <c r="U510" s="590">
        <v>0.01</v>
      </c>
      <c r="V510" s="590">
        <v>0</v>
      </c>
      <c r="W510" s="590">
        <v>0</v>
      </c>
      <c r="X510" s="590">
        <v>0.01</v>
      </c>
      <c r="Y510" s="590">
        <v>0</v>
      </c>
      <c r="Z510" s="593">
        <v>2.5000000000000001E-2</v>
      </c>
      <c r="AA510" s="1"/>
      <c r="AB510" s="294" t="s">
        <v>12</v>
      </c>
    </row>
    <row r="511" spans="2:28" ht="16.5" thickBot="1">
      <c r="B511" s="296"/>
      <c r="C511" s="40"/>
      <c r="D511" s="40"/>
      <c r="E511" s="40"/>
      <c r="F511" s="40"/>
      <c r="G511" s="40"/>
      <c r="H511" s="40"/>
      <c r="I511" s="40"/>
      <c r="J511" s="305"/>
      <c r="K511" s="1"/>
      <c r="L511" s="11">
        <f>IF(AND($G$73="Yes",$G$15="Intermediate"),1,0)</f>
        <v>1</v>
      </c>
      <c r="M511" s="15"/>
      <c r="N511" s="230">
        <f>IF(AND($G$15="Intermediate",SUM(P511:Z511)=1),1,IF(AND($G$15="Intermediate",SUM(P511:Z511)&lt;&gt;1),2,0))</f>
        <v>1</v>
      </c>
      <c r="O511" s="595" t="str">
        <f t="shared" si="5"/>
        <v>Generation Equipment</v>
      </c>
      <c r="P511" s="723">
        <v>0.96</v>
      </c>
      <c r="Q511" s="724">
        <v>0</v>
      </c>
      <c r="R511" s="781">
        <v>0.02</v>
      </c>
      <c r="S511" s="782"/>
      <c r="T511" s="783"/>
      <c r="U511" s="725">
        <v>0</v>
      </c>
      <c r="V511" s="725">
        <v>0</v>
      </c>
      <c r="W511" s="725">
        <v>0</v>
      </c>
      <c r="X511" s="725">
        <v>0.02</v>
      </c>
      <c r="Y511" s="725">
        <v>0</v>
      </c>
      <c r="Z511" s="726">
        <v>0</v>
      </c>
      <c r="AA511" s="1"/>
      <c r="AB511" s="294" t="s">
        <v>12</v>
      </c>
    </row>
    <row r="512" spans="2:28" ht="15.75">
      <c r="B512" s="1"/>
      <c r="C512" s="1"/>
      <c r="D512" s="1"/>
      <c r="E512" s="1"/>
      <c r="F512" s="1"/>
      <c r="G512" s="1"/>
      <c r="H512" s="1"/>
      <c r="I512" s="1"/>
      <c r="J512" s="1"/>
      <c r="K512" s="1"/>
      <c r="L512" s="11">
        <f>IF(AND($G$73="Yes",$G$15="Intermediate"),1,0)</f>
        <v>1</v>
      </c>
      <c r="M512" s="15"/>
      <c r="N512" s="230">
        <f>IF(AND($G$15="Intermediate",SUM(P512:Z512)=1),1,IF(AND($G$15="Intermediate",SUM(P512:Z512)&lt;&gt;1),2,0))</f>
        <v>1</v>
      </c>
      <c r="O512" s="596" t="str">
        <f t="shared" si="5"/>
        <v>Balance of Plant</v>
      </c>
      <c r="P512" s="723">
        <v>0.5</v>
      </c>
      <c r="Q512" s="724">
        <v>0</v>
      </c>
      <c r="R512" s="784">
        <v>0</v>
      </c>
      <c r="S512" s="785"/>
      <c r="T512" s="786"/>
      <c r="U512" s="724">
        <v>0</v>
      </c>
      <c r="V512" s="724">
        <v>0</v>
      </c>
      <c r="W512" s="724">
        <v>0.5</v>
      </c>
      <c r="X512" s="724">
        <v>0</v>
      </c>
      <c r="Y512" s="724">
        <v>0</v>
      </c>
      <c r="Z512" s="727">
        <v>0</v>
      </c>
      <c r="AA512" s="1"/>
      <c r="AB512" s="294" t="s">
        <v>12</v>
      </c>
    </row>
    <row r="513" spans="2:28" ht="15.75">
      <c r="B513" s="1"/>
      <c r="C513" s="1"/>
      <c r="D513" s="1"/>
      <c r="E513" s="1"/>
      <c r="F513" s="1"/>
      <c r="G513" s="1"/>
      <c r="H513" s="1"/>
      <c r="I513" s="1"/>
      <c r="J513" s="1"/>
      <c r="K513" s="1"/>
      <c r="L513" s="11">
        <f>IF(AND($G$73="Yes",$G$15="Intermediate"),1,0)</f>
        <v>1</v>
      </c>
      <c r="M513" s="15"/>
      <c r="N513" s="230">
        <f>IF(AND($G$15="Intermediate",SUM(P513:Z513)=1),1,IF(AND($G$15="Intermediate",SUM(P513:Z513)&lt;&gt;1),2,0))</f>
        <v>1</v>
      </c>
      <c r="O513" s="596" t="str">
        <f t="shared" si="5"/>
        <v>Interconnection</v>
      </c>
      <c r="P513" s="723">
        <v>0</v>
      </c>
      <c r="Q513" s="724">
        <v>0</v>
      </c>
      <c r="R513" s="784">
        <v>0</v>
      </c>
      <c r="S513" s="785"/>
      <c r="T513" s="786"/>
      <c r="U513" s="724">
        <v>0</v>
      </c>
      <c r="V513" s="724">
        <v>0</v>
      </c>
      <c r="W513" s="724">
        <v>1</v>
      </c>
      <c r="X513" s="724">
        <v>0</v>
      </c>
      <c r="Y513" s="724">
        <v>0</v>
      </c>
      <c r="Z513" s="727">
        <v>0</v>
      </c>
      <c r="AA513" s="1"/>
      <c r="AB513" s="294" t="s">
        <v>12</v>
      </c>
    </row>
    <row r="514" spans="2:28" ht="15.75">
      <c r="B514" s="1"/>
      <c r="C514" s="1"/>
      <c r="D514" s="1"/>
      <c r="E514" s="1"/>
      <c r="F514" s="1"/>
      <c r="G514" s="1"/>
      <c r="H514" s="1"/>
      <c r="I514" s="1"/>
      <c r="J514" s="1"/>
      <c r="K514" s="1"/>
      <c r="L514" s="11">
        <f>IF(AND($G$73="Yes",$G$15="Intermediate"),1,0)</f>
        <v>1</v>
      </c>
      <c r="M514" s="15"/>
      <c r="N514" s="230">
        <f>IF(AND($G$15="Intermediate",SUM(P514:Z514)=1),1,IF(AND($G$15="Intermediate",SUM(P514:Z514)&lt;&gt;1),2,0))</f>
        <v>1</v>
      </c>
      <c r="O514" s="596" t="str">
        <f t="shared" si="5"/>
        <v>Development Costs &amp; Fee</v>
      </c>
      <c r="P514" s="723">
        <v>0.8</v>
      </c>
      <c r="Q514" s="724">
        <v>0</v>
      </c>
      <c r="R514" s="784">
        <v>0</v>
      </c>
      <c r="S514" s="785"/>
      <c r="T514" s="786"/>
      <c r="U514" s="724">
        <v>0</v>
      </c>
      <c r="V514" s="724">
        <v>0</v>
      </c>
      <c r="W514" s="724">
        <v>0.05</v>
      </c>
      <c r="X514" s="724">
        <v>0.05</v>
      </c>
      <c r="Y514" s="724">
        <v>0</v>
      </c>
      <c r="Z514" s="727">
        <v>0.1</v>
      </c>
      <c r="AA514" s="1"/>
      <c r="AB514" s="294" t="s">
        <v>12</v>
      </c>
    </row>
    <row r="515" spans="2:28" ht="16.5" thickBot="1">
      <c r="B515" s="1"/>
      <c r="C515" s="1"/>
      <c r="D515" s="1"/>
      <c r="E515" s="1"/>
      <c r="F515" s="1"/>
      <c r="G515" s="1"/>
      <c r="H515" s="1"/>
      <c r="I515" s="1"/>
      <c r="J515" s="1"/>
      <c r="K515" s="1"/>
      <c r="L515" s="11">
        <f>IF(AND($G$73="Yes",$G$15="Intermediate"),1,0)</f>
        <v>1</v>
      </c>
      <c r="M515" s="15"/>
      <c r="N515" s="230">
        <f>IF(AND($G$15="Intermediate",SUM(P515:Z515)=1),1,IF(AND($G$15="Intermediate",SUM(P515:Z515)&lt;&gt;1),2,0))</f>
        <v>1</v>
      </c>
      <c r="O515" s="597" t="str">
        <f t="shared" si="5"/>
        <v>Reserves &amp; Financing Costs</v>
      </c>
      <c r="P515" s="728">
        <v>0</v>
      </c>
      <c r="Q515" s="729">
        <v>0</v>
      </c>
      <c r="R515" s="766">
        <v>0</v>
      </c>
      <c r="S515" s="767"/>
      <c r="T515" s="768"/>
      <c r="U515" s="729">
        <v>0</v>
      </c>
      <c r="V515" s="729">
        <v>0</v>
      </c>
      <c r="W515" s="729">
        <v>0</v>
      </c>
      <c r="X515" s="729">
        <v>0.5</v>
      </c>
      <c r="Y515" s="729">
        <v>0</v>
      </c>
      <c r="Z515" s="730">
        <v>0.5</v>
      </c>
      <c r="AA515" s="1"/>
      <c r="AB515" s="294" t="s">
        <v>12</v>
      </c>
    </row>
    <row r="516" spans="2:28" ht="16.5" thickBot="1">
      <c r="B516" s="1"/>
      <c r="C516" s="1"/>
      <c r="D516" s="1"/>
      <c r="E516" s="1"/>
      <c r="F516" s="1"/>
      <c r="G516" s="1"/>
      <c r="H516" s="1"/>
      <c r="I516" s="1"/>
      <c r="J516" s="1"/>
      <c r="K516" s="1"/>
      <c r="L516" s="296">
        <f>IF(AND($G$73="Yes",$G$15="Complex"),1,0)</f>
        <v>0</v>
      </c>
      <c r="M516" s="647"/>
      <c r="N516" s="647"/>
      <c r="O516" s="546" t="s">
        <v>176</v>
      </c>
      <c r="P516" s="591"/>
      <c r="Q516" s="592"/>
      <c r="R516" s="769"/>
      <c r="S516" s="770"/>
      <c r="T516" s="771"/>
      <c r="U516" s="591"/>
      <c r="V516" s="591"/>
      <c r="W516" s="591"/>
      <c r="X516" s="591"/>
      <c r="Y516" s="591"/>
      <c r="Z516" s="594"/>
      <c r="AA516" s="40"/>
      <c r="AB516" s="421" t="s">
        <v>12</v>
      </c>
    </row>
    <row r="518" spans="2:28" ht="36.75" thickBot="1">
      <c r="E518" s="731" t="s">
        <v>182</v>
      </c>
    </row>
    <row r="519" spans="2:28" ht="18.75" thickBot="1">
      <c r="B519" s="413"/>
      <c r="C519" s="772" t="s">
        <v>1</v>
      </c>
      <c r="D519" s="772"/>
      <c r="E519" s="772"/>
      <c r="F519" s="772"/>
      <c r="G519" s="772"/>
      <c r="H519" s="772"/>
      <c r="I519" s="772"/>
      <c r="J519" s="772"/>
      <c r="K519" s="772"/>
      <c r="L519" s="773"/>
      <c r="M519" s="773"/>
      <c r="N519" s="773"/>
      <c r="O519" s="773"/>
      <c r="P519" s="773"/>
      <c r="Q519" s="773"/>
      <c r="R519" s="773"/>
      <c r="S519" s="773"/>
      <c r="T519" s="773"/>
      <c r="U519" s="328"/>
      <c r="V519" s="329"/>
      <c r="W519" s="329"/>
      <c r="X519" s="329"/>
      <c r="Y519" s="329"/>
      <c r="Z519" s="329"/>
      <c r="AA519" s="329"/>
      <c r="AB519" s="330"/>
    </row>
    <row r="520" spans="2:28" ht="18">
      <c r="B520" s="11"/>
      <c r="C520" s="266"/>
      <c r="D520" s="266"/>
      <c r="E520" s="266"/>
      <c r="F520" s="266"/>
      <c r="G520" s="266"/>
      <c r="H520" s="266"/>
      <c r="I520" s="266"/>
      <c r="J520" s="266"/>
      <c r="K520" s="341"/>
      <c r="L520" s="265"/>
      <c r="M520" s="266"/>
      <c r="N520" s="266"/>
      <c r="O520" s="266"/>
      <c r="P520" s="266"/>
      <c r="Q520" s="266"/>
      <c r="R520" s="266"/>
      <c r="S520" s="266"/>
      <c r="T520" s="266"/>
      <c r="U520" s="266"/>
      <c r="V520" s="267"/>
      <c r="W520" s="267"/>
      <c r="X520" s="267"/>
      <c r="Y520" s="267"/>
      <c r="Z520" s="267"/>
      <c r="AA520" s="267"/>
      <c r="AB520" s="297"/>
    </row>
    <row r="521" spans="2:28" ht="18.75" thickBot="1">
      <c r="B521" s="11"/>
      <c r="C521" s="401" t="s">
        <v>2</v>
      </c>
      <c r="D521" s="14"/>
      <c r="E521" s="1"/>
      <c r="F521" s="15"/>
      <c r="G521" s="1"/>
      <c r="H521" s="392"/>
      <c r="I521" s="414" t="s">
        <v>3</v>
      </c>
      <c r="J521" s="1"/>
      <c r="K521" s="342"/>
      <c r="L521" s="298"/>
      <c r="M521" s="401" t="s">
        <v>2</v>
      </c>
      <c r="N521" s="15"/>
      <c r="O521" s="774" t="s">
        <v>4</v>
      </c>
      <c r="P521" s="774"/>
      <c r="Q521" s="420"/>
      <c r="R521" s="15"/>
      <c r="S521" s="401" t="s">
        <v>3</v>
      </c>
      <c r="T521" s="393"/>
      <c r="U521" s="14"/>
      <c r="V521" s="1"/>
      <c r="W521" s="1"/>
      <c r="X521" s="1"/>
      <c r="Y521" s="1"/>
      <c r="Z521" s="1"/>
      <c r="AA521" s="1"/>
      <c r="AB521" s="246"/>
    </row>
    <row r="522" spans="2:28" ht="18.75" thickBot="1">
      <c r="B522" s="415"/>
      <c r="C522" s="267"/>
      <c r="D522" s="267"/>
      <c r="E522" s="20"/>
      <c r="F522" s="16"/>
      <c r="G522" s="19"/>
      <c r="H522" s="416"/>
      <c r="I522" s="417"/>
      <c r="J522" s="418"/>
      <c r="K522" s="15"/>
      <c r="L522" s="415"/>
      <c r="M522" s="267"/>
      <c r="N522" s="267"/>
      <c r="O522" s="267"/>
      <c r="P522" s="267"/>
      <c r="Q522" s="267"/>
      <c r="R522" s="267"/>
      <c r="S522" s="267"/>
      <c r="T522" s="267"/>
      <c r="U522" s="267"/>
      <c r="V522" s="267"/>
      <c r="W522" s="267"/>
      <c r="X522" s="267"/>
      <c r="Y522" s="267"/>
      <c r="Z522" s="267"/>
      <c r="AA522" s="267"/>
      <c r="AB522" s="297"/>
    </row>
    <row r="523" spans="2:28" ht="21" thickBot="1">
      <c r="B523" s="11"/>
      <c r="C523" s="1"/>
      <c r="D523" s="1"/>
      <c r="E523" s="2" t="s">
        <v>5</v>
      </c>
      <c r="F523" s="347" t="s">
        <v>6</v>
      </c>
      <c r="G523" s="411" t="s">
        <v>7</v>
      </c>
      <c r="H523" s="57"/>
      <c r="I523" s="17"/>
      <c r="J523" s="402"/>
      <c r="K523" s="15"/>
      <c r="L523" s="11"/>
      <c r="M523" s="1"/>
      <c r="N523" s="1"/>
      <c r="O523" s="2" t="s">
        <v>8</v>
      </c>
      <c r="P523" s="347" t="s">
        <v>6</v>
      </c>
      <c r="Q523" s="411" t="s">
        <v>7</v>
      </c>
      <c r="R523" s="1"/>
      <c r="S523" s="1"/>
      <c r="T523" s="1"/>
      <c r="U523" s="645" t="s">
        <v>9</v>
      </c>
      <c r="V523" s="1"/>
      <c r="W523" s="1"/>
      <c r="X523" s="1"/>
      <c r="Y523" s="1"/>
      <c r="Z523" s="1"/>
      <c r="AA523" s="1"/>
      <c r="AB523" s="246"/>
    </row>
    <row r="524" spans="2:28" ht="15.75">
      <c r="B524" s="11"/>
      <c r="C524" s="317"/>
      <c r="D524" s="1"/>
      <c r="E524" s="458" t="s">
        <v>10</v>
      </c>
      <c r="F524" s="450" t="s">
        <v>11</v>
      </c>
      <c r="G524" s="717">
        <v>1000</v>
      </c>
      <c r="H524" s="269"/>
      <c r="I524" s="12" t="s">
        <v>12</v>
      </c>
      <c r="J524" s="403"/>
      <c r="K524" s="15"/>
      <c r="L524" s="11"/>
      <c r="M524" s="371"/>
      <c r="N524" s="1">
        <f>IF(OR(Q524&lt;=0,Q524&gt;G528),1,0)</f>
        <v>0</v>
      </c>
      <c r="O524" s="458" t="s">
        <v>13</v>
      </c>
      <c r="P524" s="450" t="s">
        <v>14</v>
      </c>
      <c r="Q524" s="667">
        <v>20</v>
      </c>
      <c r="R524" s="272"/>
      <c r="S524" s="12" t="s">
        <v>12</v>
      </c>
      <c r="T524" s="340"/>
      <c r="U524" s="656" t="s">
        <v>15</v>
      </c>
      <c r="V524" s="657" t="s">
        <v>16</v>
      </c>
      <c r="W524" s="658" t="s">
        <v>17</v>
      </c>
      <c r="X524" s="1"/>
      <c r="Y524" s="1"/>
      <c r="Z524" s="1"/>
      <c r="AA524" s="1"/>
      <c r="AB524" s="246"/>
    </row>
    <row r="525" spans="2:28" ht="15.75">
      <c r="B525" s="11"/>
      <c r="C525" s="370"/>
      <c r="D525" s="1">
        <f>IF(OR(G525&lt;=0,G525&gt;1),1,0)</f>
        <v>0</v>
      </c>
      <c r="E525" s="451" t="s">
        <v>18</v>
      </c>
      <c r="F525" s="7" t="s">
        <v>19</v>
      </c>
      <c r="G525" s="472">
        <v>0.14599999999999999</v>
      </c>
      <c r="H525" s="270"/>
      <c r="I525" s="12" t="s">
        <v>12</v>
      </c>
      <c r="J525" s="403"/>
      <c r="K525" s="15"/>
      <c r="L525" s="11"/>
      <c r="M525" s="317"/>
      <c r="N525" s="1"/>
      <c r="O525" s="451" t="s">
        <v>20</v>
      </c>
      <c r="P525" s="7" t="s">
        <v>19</v>
      </c>
      <c r="Q525" s="472">
        <v>0</v>
      </c>
      <c r="R525" s="270">
        <v>0</v>
      </c>
      <c r="S525" s="12" t="s">
        <v>12</v>
      </c>
      <c r="T525" s="340"/>
      <c r="U525" s="474" t="s">
        <v>21</v>
      </c>
      <c r="V525" s="633" t="s">
        <v>22</v>
      </c>
      <c r="W525" s="646" t="s">
        <v>23</v>
      </c>
      <c r="X525" s="1"/>
      <c r="Y525" s="1"/>
      <c r="Z525" s="1"/>
      <c r="AA525" s="1"/>
      <c r="AB525" s="246"/>
    </row>
    <row r="526" spans="2:28" ht="16.5" thickBot="1">
      <c r="B526" s="11"/>
      <c r="C526" s="285"/>
      <c r="D526" s="1"/>
      <c r="E526" s="451" t="s">
        <v>24</v>
      </c>
      <c r="F526" s="8" t="s">
        <v>25</v>
      </c>
      <c r="G526" s="473"/>
      <c r="H526" s="271"/>
      <c r="I526" s="12" t="s">
        <v>12</v>
      </c>
      <c r="J526" s="403"/>
      <c r="K526" s="15"/>
      <c r="L526" s="11"/>
      <c r="M526" s="316"/>
      <c r="N526" s="1"/>
      <c r="O526" s="461" t="s">
        <v>26</v>
      </c>
      <c r="P526" s="466" t="s">
        <v>19</v>
      </c>
      <c r="Q526" s="472">
        <v>0</v>
      </c>
      <c r="R526" s="270"/>
      <c r="S526" s="12" t="s">
        <v>12</v>
      </c>
      <c r="T526" s="340"/>
      <c r="U526" s="451" t="s">
        <v>27</v>
      </c>
      <c r="V526" s="633" t="s">
        <v>22</v>
      </c>
      <c r="W526" s="646" t="s">
        <v>178</v>
      </c>
      <c r="X526" s="1"/>
      <c r="Y526" s="1"/>
      <c r="Z526" s="1"/>
      <c r="AA526" s="1"/>
      <c r="AB526" s="246"/>
    </row>
    <row r="527" spans="2:28" ht="16.5" thickBot="1">
      <c r="B527" s="11"/>
      <c r="C527" s="369"/>
      <c r="D527" s="1">
        <f>IF(OR(G527&lt;0,G527&gt;1),1,0)</f>
        <v>0</v>
      </c>
      <c r="E527" s="453" t="s">
        <v>29</v>
      </c>
      <c r="F527" s="7" t="s">
        <v>19</v>
      </c>
      <c r="G527" s="472">
        <v>8.0000000000000002E-3</v>
      </c>
      <c r="H527" s="270"/>
      <c r="I527" s="12" t="s">
        <v>12</v>
      </c>
      <c r="J527" s="403"/>
      <c r="K527" s="15"/>
      <c r="L527" s="298"/>
      <c r="M527" s="15"/>
      <c r="N527" s="15"/>
      <c r="O527" s="15"/>
      <c r="P527" s="15"/>
      <c r="Q527" s="15"/>
      <c r="R527" s="15"/>
      <c r="S527" s="15"/>
      <c r="T527" s="15"/>
      <c r="U527" s="639"/>
      <c r="V527" s="636"/>
      <c r="W527" s="640"/>
      <c r="X527" s="123"/>
      <c r="Y527" s="123"/>
      <c r="Z527" s="123"/>
      <c r="AA527" s="1"/>
      <c r="AB527" s="246"/>
    </row>
    <row r="528" spans="2:28" ht="16.5" thickBot="1">
      <c r="B528" s="11"/>
      <c r="C528" s="371"/>
      <c r="D528" s="1">
        <f>IF(OR(G528&lt;1,G528&gt;30),1,0)</f>
        <v>0</v>
      </c>
      <c r="E528" s="455" t="s">
        <v>30</v>
      </c>
      <c r="F528" s="466" t="s">
        <v>14</v>
      </c>
      <c r="G528" s="581">
        <v>25</v>
      </c>
      <c r="H528" s="272"/>
      <c r="I528" s="12" t="s">
        <v>12</v>
      </c>
      <c r="J528" s="403"/>
      <c r="K528" s="15"/>
      <c r="L528" s="298"/>
      <c r="M528" s="1"/>
      <c r="N528" s="1"/>
      <c r="O528" s="2" t="s">
        <v>31</v>
      </c>
      <c r="P528" s="3"/>
      <c r="Q528" s="4"/>
      <c r="R528" s="15"/>
      <c r="S528" s="12" t="s">
        <v>12</v>
      </c>
      <c r="T528" s="123"/>
      <c r="U528" s="474" t="s">
        <v>32</v>
      </c>
      <c r="V528" s="634" t="s">
        <v>33</v>
      </c>
      <c r="W528" s="669">
        <v>28.58</v>
      </c>
      <c r="X528" s="178"/>
      <c r="Y528" s="178"/>
      <c r="Z528" s="178"/>
      <c r="AA528" s="1"/>
      <c r="AB528" s="246"/>
    </row>
    <row r="529" spans="2:28" ht="16.5" thickBot="1">
      <c r="B529" s="11"/>
      <c r="C529" s="1"/>
      <c r="D529" s="1"/>
      <c r="E529" s="1"/>
      <c r="F529" s="1"/>
      <c r="G529" s="17"/>
      <c r="H529" s="17"/>
      <c r="I529" s="13"/>
      <c r="J529" s="403"/>
      <c r="K529" s="15"/>
      <c r="L529" s="298"/>
      <c r="M529" s="369"/>
      <c r="N529" s="1"/>
      <c r="O529" s="500" t="s">
        <v>34</v>
      </c>
      <c r="P529" s="501"/>
      <c r="Q529" s="502" t="s">
        <v>35</v>
      </c>
      <c r="R529" s="1"/>
      <c r="S529" s="345" t="s">
        <v>12</v>
      </c>
      <c r="T529" s="346">
        <f>IF(Q524&lt;G528,1,0)</f>
        <v>1</v>
      </c>
      <c r="U529" s="641" t="s">
        <v>36</v>
      </c>
      <c r="V529" s="635" t="s">
        <v>19</v>
      </c>
      <c r="W529" s="670">
        <v>0.02</v>
      </c>
      <c r="X529" s="1"/>
      <c r="Y529" s="123"/>
      <c r="Z529" s="123"/>
      <c r="AA529" s="1"/>
      <c r="AB529" s="246"/>
    </row>
    <row r="530" spans="2:28" ht="16.5" thickBot="1">
      <c r="B530" s="11"/>
      <c r="C530" s="1"/>
      <c r="D530" s="1"/>
      <c r="E530" s="10" t="s">
        <v>37</v>
      </c>
      <c r="F530" s="347" t="s">
        <v>6</v>
      </c>
      <c r="G530" s="411" t="s">
        <v>7</v>
      </c>
      <c r="H530" s="283"/>
      <c r="I530" s="13"/>
      <c r="J530" s="403"/>
      <c r="K530" s="15"/>
      <c r="L530" s="298"/>
      <c r="M530" s="369"/>
      <c r="N530" s="1">
        <f>IF(OR(Q530&lt;=0,Q530=""),1,0)</f>
        <v>0</v>
      </c>
      <c r="O530" s="503" t="s">
        <v>38</v>
      </c>
      <c r="P530" s="343" t="s">
        <v>39</v>
      </c>
      <c r="Q530" s="504">
        <v>5</v>
      </c>
      <c r="R530" s="1"/>
      <c r="S530" s="345" t="s">
        <v>12</v>
      </c>
      <c r="T530" s="346">
        <f>IF(AND($Q$8&lt;$G$12,$Q$13="Year One"),1,0)</f>
        <v>0</v>
      </c>
      <c r="U530" s="642"/>
      <c r="V530" s="637"/>
      <c r="W530" s="643"/>
      <c r="X530" s="1"/>
      <c r="Y530" s="123"/>
      <c r="Z530" s="123"/>
      <c r="AA530" s="1"/>
      <c r="AB530" s="246"/>
    </row>
    <row r="531" spans="2:28" ht="16.5" thickBot="1">
      <c r="B531" s="11"/>
      <c r="C531" s="318"/>
      <c r="D531" s="1"/>
      <c r="E531" s="438" t="s">
        <v>40</v>
      </c>
      <c r="F531" s="439"/>
      <c r="G531" s="440" t="s">
        <v>41</v>
      </c>
      <c r="H531" s="281"/>
      <c r="I531" s="12" t="s">
        <v>12</v>
      </c>
      <c r="J531" s="403"/>
      <c r="K531" s="15"/>
      <c r="L531" s="298"/>
      <c r="M531" s="369"/>
      <c r="N531" s="1">
        <f>IF(OR(Q531&lt;=0,Q531=""),1,0)</f>
        <v>0</v>
      </c>
      <c r="O531" s="505" t="s">
        <v>42</v>
      </c>
      <c r="P531" s="344" t="s">
        <v>19</v>
      </c>
      <c r="Q531" s="506">
        <v>0.03</v>
      </c>
      <c r="R531" s="1"/>
      <c r="S531" s="368" t="s">
        <v>12</v>
      </c>
      <c r="T531" s="346">
        <f>IF(AND($Q$8&lt;$G$12,$Q$13="Year One"),1,0)</f>
        <v>0</v>
      </c>
      <c r="U531" s="451" t="s">
        <v>43</v>
      </c>
      <c r="V531" s="633" t="s">
        <v>19</v>
      </c>
      <c r="W531" s="581">
        <v>0</v>
      </c>
      <c r="X531" s="1"/>
      <c r="Y531" s="123"/>
      <c r="Z531" s="123"/>
      <c r="AA531" s="1"/>
      <c r="AB531" s="246"/>
    </row>
    <row r="532" spans="2:28" ht="16.5" thickBot="1">
      <c r="B532" s="11"/>
      <c r="C532" s="319"/>
      <c r="D532" s="1"/>
      <c r="E532" s="441" t="s">
        <v>44</v>
      </c>
      <c r="F532" s="442" t="s">
        <v>33</v>
      </c>
      <c r="G532" s="443">
        <v>2500</v>
      </c>
      <c r="H532" s="273"/>
      <c r="I532" s="366" t="s">
        <v>12</v>
      </c>
      <c r="J532" s="404"/>
      <c r="K532" s="15"/>
      <c r="L532" s="298"/>
      <c r="M532" s="1"/>
      <c r="N532" s="1"/>
      <c r="O532" s="507" t="str">
        <f>IF(OR($Q$13="Year One",$Q$8=$G$12),"","Click Here for Complex Input Worksheet")</f>
        <v>Click Here for Complex Input Worksheet</v>
      </c>
      <c r="P532" s="508"/>
      <c r="Q532" s="509"/>
      <c r="R532" s="1"/>
      <c r="S532" s="366" t="s">
        <v>12</v>
      </c>
      <c r="T532" s="346">
        <f>IF(AND($Q$8&lt;$G$12,$Q$13="Year-by-Year"),1,0)</f>
        <v>1</v>
      </c>
      <c r="U532" s="451" t="s">
        <v>45</v>
      </c>
      <c r="V532" s="633" t="s">
        <v>19</v>
      </c>
      <c r="W532" s="670">
        <v>0.02</v>
      </c>
      <c r="X532" s="123"/>
      <c r="Y532" s="123"/>
      <c r="Z532" s="123"/>
      <c r="AA532" s="1"/>
      <c r="AB532" s="246"/>
    </row>
    <row r="533" spans="2:28" ht="16.5" thickBot="1">
      <c r="B533" s="11"/>
      <c r="C533" s="320"/>
      <c r="D533" s="1"/>
      <c r="E533" s="444" t="s">
        <v>46</v>
      </c>
      <c r="F533" s="343" t="s">
        <v>47</v>
      </c>
      <c r="G533" s="718">
        <v>2765499.0068230098</v>
      </c>
      <c r="H533" s="274"/>
      <c r="I533" s="366" t="s">
        <v>12</v>
      </c>
      <c r="J533" s="403"/>
      <c r="K533" s="15"/>
      <c r="L533" s="298"/>
      <c r="M533" s="1"/>
      <c r="N533" s="1"/>
      <c r="O533" s="1"/>
      <c r="P533" s="1"/>
      <c r="Q533" s="1"/>
      <c r="R533" s="1"/>
      <c r="S533" s="1"/>
      <c r="T533" s="179"/>
      <c r="U533" s="644"/>
      <c r="V533" s="638"/>
      <c r="W533" s="643"/>
      <c r="X533" s="123"/>
      <c r="Y533" s="123"/>
      <c r="Z533" s="123"/>
      <c r="AA533" s="1"/>
      <c r="AB533" s="246"/>
    </row>
    <row r="534" spans="2:28" ht="16.5" thickBot="1">
      <c r="B534" s="11"/>
      <c r="C534" s="376"/>
      <c r="D534" s="1"/>
      <c r="E534" s="444" t="s">
        <v>48</v>
      </c>
      <c r="F534" s="343" t="s">
        <v>47</v>
      </c>
      <c r="G534" s="718">
        <v>0</v>
      </c>
      <c r="H534" s="274"/>
      <c r="I534" s="366" t="s">
        <v>12</v>
      </c>
      <c r="J534" s="403"/>
      <c r="K534" s="15"/>
      <c r="L534" s="298"/>
      <c r="M534" s="1"/>
      <c r="N534" s="1"/>
      <c r="O534" s="5" t="s">
        <v>49</v>
      </c>
      <c r="P534" s="347" t="s">
        <v>6</v>
      </c>
      <c r="Q534" s="411" t="s">
        <v>7</v>
      </c>
      <c r="R534" s="120"/>
      <c r="S534" s="13"/>
      <c r="T534" s="179"/>
      <c r="U534" s="641" t="s">
        <v>50</v>
      </c>
      <c r="V534" s="257" t="s">
        <v>47</v>
      </c>
      <c r="W534" s="581">
        <v>0</v>
      </c>
      <c r="X534" s="123"/>
      <c r="Y534" s="1"/>
      <c r="Z534" s="1"/>
      <c r="AA534" s="1"/>
      <c r="AB534" s="246"/>
    </row>
    <row r="535" spans="2:28" ht="16.5" thickBot="1">
      <c r="B535" s="11"/>
      <c r="C535" s="376"/>
      <c r="D535" s="1"/>
      <c r="E535" s="444" t="s">
        <v>51</v>
      </c>
      <c r="F535" s="343" t="s">
        <v>47</v>
      </c>
      <c r="G535" s="718">
        <v>0</v>
      </c>
      <c r="H535" s="274"/>
      <c r="I535" s="366" t="s">
        <v>12</v>
      </c>
      <c r="J535" s="403"/>
      <c r="K535" s="15"/>
      <c r="L535" s="298"/>
      <c r="M535" s="374"/>
      <c r="N535" s="1"/>
      <c r="O535" s="518" t="s">
        <v>52</v>
      </c>
      <c r="P535" s="519"/>
      <c r="Q535" s="520" t="s">
        <v>53</v>
      </c>
      <c r="R535" s="1"/>
      <c r="S535" s="12" t="s">
        <v>12</v>
      </c>
      <c r="T535" s="1"/>
      <c r="U535" s="489" t="s">
        <v>54</v>
      </c>
      <c r="V535" s="719" t="s">
        <v>55</v>
      </c>
      <c r="W535" s="720">
        <v>22</v>
      </c>
      <c r="X535" s="1"/>
      <c r="Y535" s="1"/>
      <c r="Z535" s="1"/>
      <c r="AA535" s="1"/>
      <c r="AB535" s="246"/>
    </row>
    <row r="536" spans="2:28" ht="15.75">
      <c r="B536" s="11"/>
      <c r="C536" s="376"/>
      <c r="D536" s="1"/>
      <c r="E536" s="604" t="s">
        <v>56</v>
      </c>
      <c r="F536" s="343" t="s">
        <v>47</v>
      </c>
      <c r="G536" s="721">
        <v>0</v>
      </c>
      <c r="H536" s="274"/>
      <c r="I536" s="366" t="s">
        <v>12</v>
      </c>
      <c r="J536" s="403"/>
      <c r="K536" s="15"/>
      <c r="L536" s="298"/>
      <c r="M536" s="374"/>
      <c r="N536" s="1"/>
      <c r="O536" s="458" t="s">
        <v>57</v>
      </c>
      <c r="P536" s="450"/>
      <c r="Q536" s="496" t="s">
        <v>58</v>
      </c>
      <c r="R536" s="15"/>
      <c r="S536" s="12" t="s">
        <v>12</v>
      </c>
      <c r="T536" s="15"/>
      <c r="U536" s="1"/>
      <c r="V536" s="1"/>
      <c r="W536" s="1"/>
      <c r="X536" s="1"/>
      <c r="Y536" s="1"/>
      <c r="Z536" s="1"/>
      <c r="AA536" s="1"/>
      <c r="AB536" s="246"/>
    </row>
    <row r="537" spans="2:28" ht="15.75">
      <c r="B537" s="11"/>
      <c r="C537" s="321"/>
      <c r="D537" s="1"/>
      <c r="E537" s="444" t="s">
        <v>59</v>
      </c>
      <c r="F537" s="343" t="s">
        <v>47</v>
      </c>
      <c r="G537" s="445"/>
      <c r="H537" s="275"/>
      <c r="I537" s="366" t="s">
        <v>12</v>
      </c>
      <c r="J537" s="403"/>
      <c r="K537" s="15"/>
      <c r="L537" s="298"/>
      <c r="M537" s="374"/>
      <c r="N537" s="1">
        <f>IF(OR(Q537&lt;0,Q537&gt;1,Q537=""),1,0)</f>
        <v>0</v>
      </c>
      <c r="O537" s="468" t="s">
        <v>60</v>
      </c>
      <c r="P537" s="6" t="s">
        <v>19</v>
      </c>
      <c r="Q537" s="674">
        <v>0.3</v>
      </c>
      <c r="R537" s="15"/>
      <c r="S537" s="12" t="s">
        <v>12</v>
      </c>
      <c r="T537" s="15"/>
      <c r="U537" s="1"/>
      <c r="V537" s="1"/>
      <c r="W537" s="1"/>
      <c r="X537" s="1"/>
      <c r="Y537" s="1"/>
      <c r="Z537" s="1"/>
      <c r="AA537" s="1"/>
      <c r="AB537" s="246"/>
    </row>
    <row r="538" spans="2:28" ht="16.5" thickBot="1">
      <c r="B538" s="11"/>
      <c r="C538" s="321"/>
      <c r="D538" s="1"/>
      <c r="E538" s="446" t="s">
        <v>61</v>
      </c>
      <c r="F538" s="447" t="str">
        <f>IF($G$15="Complex","$","")</f>
        <v/>
      </c>
      <c r="G538" s="448"/>
      <c r="H538" s="276"/>
      <c r="I538" s="366" t="s">
        <v>12</v>
      </c>
      <c r="J538" s="403"/>
      <c r="K538" s="15"/>
      <c r="L538" s="298"/>
      <c r="M538" s="369"/>
      <c r="N538" s="1">
        <f>IF(OR(Q538&lt;0,Q538&gt;1,Q538=""),1,0)</f>
        <v>0</v>
      </c>
      <c r="O538" s="483" t="s">
        <v>63</v>
      </c>
      <c r="P538" s="24" t="s">
        <v>19</v>
      </c>
      <c r="Q538" s="674">
        <v>1</v>
      </c>
      <c r="R538" s="121"/>
      <c r="S538" s="12" t="s">
        <v>12</v>
      </c>
      <c r="T538" s="367">
        <f>IF(AND($Q$19="Cost-Based",$Q$20="ITC"),1,0)</f>
        <v>1</v>
      </c>
      <c r="U538" s="1"/>
      <c r="V538" s="1"/>
      <c r="W538" s="1"/>
      <c r="X538" s="1"/>
      <c r="Y538" s="1"/>
      <c r="Z538" s="1"/>
      <c r="AA538" s="1"/>
      <c r="AB538" s="246"/>
    </row>
    <row r="539" spans="2:28" ht="16.5" thickBot="1">
      <c r="B539" s="11"/>
      <c r="C539" s="323"/>
      <c r="D539" s="1"/>
      <c r="E539" s="449" t="s">
        <v>44</v>
      </c>
      <c r="F539" s="450" t="s">
        <v>47</v>
      </c>
      <c r="G539" s="675"/>
      <c r="H539" s="276"/>
      <c r="I539" s="12" t="s">
        <v>12</v>
      </c>
      <c r="J539" s="403"/>
      <c r="K539" s="15"/>
      <c r="L539" s="298"/>
      <c r="M539" s="1"/>
      <c r="N539" s="1"/>
      <c r="O539" s="455" t="s">
        <v>64</v>
      </c>
      <c r="P539" s="462" t="s">
        <v>47</v>
      </c>
      <c r="Q539" s="676"/>
      <c r="R539" s="121"/>
      <c r="S539" s="12" t="s">
        <v>12</v>
      </c>
      <c r="T539" s="15"/>
      <c r="U539" s="1"/>
      <c r="V539" s="1"/>
      <c r="W539" s="1"/>
      <c r="X539" s="1"/>
      <c r="Y539" s="1"/>
      <c r="Z539" s="1"/>
      <c r="AA539" s="1"/>
      <c r="AB539" s="246"/>
    </row>
    <row r="540" spans="2:28" ht="15.75">
      <c r="B540" s="11"/>
      <c r="C540" s="323"/>
      <c r="D540" s="1"/>
      <c r="E540" s="451" t="s">
        <v>44</v>
      </c>
      <c r="F540" s="8" t="str">
        <f>F532</f>
        <v>$/kW</v>
      </c>
      <c r="G540" s="452"/>
      <c r="H540" s="284"/>
      <c r="I540" s="12" t="s">
        <v>12</v>
      </c>
      <c r="J540" s="403"/>
      <c r="K540" s="15"/>
      <c r="L540" s="298"/>
      <c r="M540" s="374"/>
      <c r="N540" s="1"/>
      <c r="O540" s="449" t="s">
        <v>65</v>
      </c>
      <c r="P540" s="522"/>
      <c r="Q540" s="510" t="s">
        <v>66</v>
      </c>
      <c r="R540" s="1"/>
      <c r="S540" s="12" t="s">
        <v>12</v>
      </c>
      <c r="T540" s="1"/>
      <c r="U540" s="1"/>
      <c r="V540" s="1"/>
      <c r="W540" s="1"/>
      <c r="X540" s="1"/>
      <c r="Y540" s="1"/>
      <c r="Z540" s="1"/>
      <c r="AA540" s="1"/>
      <c r="AB540" s="246"/>
    </row>
    <row r="541" spans="2:28" ht="15.75">
      <c r="B541" s="11"/>
      <c r="C541" s="322"/>
      <c r="D541" s="1"/>
      <c r="E541" s="453" t="s">
        <v>67</v>
      </c>
      <c r="F541" s="7" t="s">
        <v>47</v>
      </c>
      <c r="G541" s="454"/>
      <c r="H541" s="277"/>
      <c r="I541" s="12" t="s">
        <v>12</v>
      </c>
      <c r="J541" s="403"/>
      <c r="K541" s="15"/>
      <c r="L541" s="298"/>
      <c r="M541" s="369"/>
      <c r="N541" s="1"/>
      <c r="O541" s="451" t="s">
        <v>68</v>
      </c>
      <c r="P541" s="8" t="s">
        <v>39</v>
      </c>
      <c r="Q541" s="512">
        <v>0</v>
      </c>
      <c r="R541" s="15"/>
      <c r="S541" s="12" t="s">
        <v>12</v>
      </c>
      <c r="T541" s="15"/>
      <c r="U541" s="1"/>
      <c r="V541" s="1"/>
      <c r="W541" s="1"/>
      <c r="X541" s="1"/>
      <c r="Y541" s="1"/>
      <c r="Z541" s="1"/>
      <c r="AA541" s="1"/>
      <c r="AB541" s="246"/>
    </row>
    <row r="542" spans="2:28" ht="15.75">
      <c r="B542" s="11"/>
      <c r="C542" s="322"/>
      <c r="D542" s="1"/>
      <c r="E542" s="453" t="s">
        <v>69</v>
      </c>
      <c r="F542" s="7" t="s">
        <v>47</v>
      </c>
      <c r="G542" s="452"/>
      <c r="H542" s="276"/>
      <c r="I542" s="12" t="s">
        <v>12</v>
      </c>
      <c r="J542" s="403"/>
      <c r="K542" s="15"/>
      <c r="L542" s="298"/>
      <c r="M542" s="369"/>
      <c r="N542" s="1">
        <f>IF(OR(Q542&lt;0,Q542&gt;G528),1,0)</f>
        <v>0</v>
      </c>
      <c r="O542" s="451" t="s">
        <v>70</v>
      </c>
      <c r="P542" s="8" t="s">
        <v>71</v>
      </c>
      <c r="Q542" s="464">
        <v>0</v>
      </c>
      <c r="R542" s="15"/>
      <c r="S542" s="12" t="s">
        <v>12</v>
      </c>
      <c r="T542" s="15"/>
      <c r="U542" s="1"/>
      <c r="V542" s="1"/>
      <c r="W542" s="1"/>
      <c r="X542" s="1"/>
      <c r="Y542" s="1"/>
      <c r="Z542" s="1"/>
      <c r="AA542" s="1"/>
      <c r="AB542" s="246"/>
    </row>
    <row r="543" spans="2:28" ht="16.5" thickBot="1">
      <c r="B543" s="11"/>
      <c r="C543" s="323"/>
      <c r="D543" s="1"/>
      <c r="E543" s="455" t="s">
        <v>69</v>
      </c>
      <c r="F543" s="456" t="str">
        <f>F532</f>
        <v>$/kW</v>
      </c>
      <c r="G543" s="457"/>
      <c r="H543" s="284"/>
      <c r="I543" s="12" t="s">
        <v>12</v>
      </c>
      <c r="J543" s="403"/>
      <c r="K543" s="15"/>
      <c r="L543" s="298"/>
      <c r="M543" s="369"/>
      <c r="N543" s="1"/>
      <c r="O543" s="451" t="s">
        <v>72</v>
      </c>
      <c r="P543" s="6" t="s">
        <v>19</v>
      </c>
      <c r="Q543" s="497">
        <v>0</v>
      </c>
      <c r="R543" s="15"/>
      <c r="S543" s="12" t="s">
        <v>12</v>
      </c>
      <c r="T543" s="15"/>
      <c r="U543" s="1"/>
      <c r="V543" s="1"/>
      <c r="W543" s="1"/>
      <c r="X543" s="1"/>
      <c r="Y543" s="1"/>
      <c r="Z543" s="1"/>
      <c r="AA543" s="1"/>
      <c r="AB543" s="246"/>
    </row>
    <row r="544" spans="2:28" ht="16.5" thickBot="1">
      <c r="B544" s="11"/>
      <c r="C544" s="324"/>
      <c r="D544" s="1"/>
      <c r="E544" s="18"/>
      <c r="F544" s="1"/>
      <c r="G544" s="1"/>
      <c r="H544" s="1"/>
      <c r="I544" s="17"/>
      <c r="J544" s="403"/>
      <c r="K544" s="15"/>
      <c r="L544" s="298"/>
      <c r="M544" s="369"/>
      <c r="N544" s="1">
        <f>IF(OR(Q544&lt;0,Q544&gt;1),1,0)</f>
        <v>0</v>
      </c>
      <c r="O544" s="455" t="s">
        <v>73</v>
      </c>
      <c r="P544" s="462" t="s">
        <v>19</v>
      </c>
      <c r="Q544" s="523">
        <v>0</v>
      </c>
      <c r="R544" s="15"/>
      <c r="S544" s="12" t="s">
        <v>12</v>
      </c>
      <c r="T544" s="15"/>
      <c r="U544" s="1"/>
      <c r="V544" s="1"/>
      <c r="W544" s="1"/>
      <c r="X544" s="1"/>
      <c r="Y544" s="1"/>
      <c r="Z544" s="1"/>
      <c r="AA544" s="1"/>
      <c r="AB544" s="246"/>
    </row>
    <row r="545" spans="2:28" ht="16.5" thickBot="1">
      <c r="B545" s="11"/>
      <c r="C545" s="1"/>
      <c r="D545" s="1"/>
      <c r="E545" s="5" t="s">
        <v>74</v>
      </c>
      <c r="F545" s="347" t="s">
        <v>6</v>
      </c>
      <c r="G545" s="411" t="s">
        <v>7</v>
      </c>
      <c r="H545" s="285"/>
      <c r="I545" s="17"/>
      <c r="J545" s="403"/>
      <c r="K545" s="15"/>
      <c r="L545" s="298"/>
      <c r="M545" s="1"/>
      <c r="N545" s="1"/>
      <c r="O545" s="296" t="s">
        <v>75</v>
      </c>
      <c r="P545" s="521"/>
      <c r="Q545" s="514" t="s">
        <v>76</v>
      </c>
      <c r="R545" s="121"/>
      <c r="S545" s="12" t="s">
        <v>12</v>
      </c>
      <c r="T545" s="15"/>
      <c r="U545" s="1"/>
      <c r="V545" s="1"/>
      <c r="W545" s="1"/>
      <c r="X545" s="1"/>
      <c r="Y545" s="1"/>
      <c r="Z545" s="1"/>
      <c r="AA545" s="1"/>
      <c r="AB545" s="246"/>
    </row>
    <row r="546" spans="2:28" ht="16.5" thickBot="1">
      <c r="B546" s="11"/>
      <c r="C546" s="318"/>
      <c r="D546" s="1"/>
      <c r="E546" s="553" t="s">
        <v>40</v>
      </c>
      <c r="F546" s="554"/>
      <c r="G546" s="555" t="s">
        <v>41</v>
      </c>
      <c r="H546" s="281"/>
      <c r="I546" s="12" t="s">
        <v>12</v>
      </c>
      <c r="J546" s="403"/>
      <c r="K546" s="15"/>
      <c r="L546" s="11"/>
      <c r="M546" s="1"/>
      <c r="N546" s="1"/>
      <c r="O546" s="415"/>
      <c r="P546" s="267"/>
      <c r="Q546" s="297"/>
      <c r="R546" s="1"/>
      <c r="S546" s="1"/>
      <c r="T546" s="1"/>
      <c r="U546" s="1"/>
      <c r="V546" s="1"/>
      <c r="W546" s="1"/>
      <c r="X546" s="1"/>
      <c r="Y546" s="1"/>
      <c r="Z546" s="1"/>
      <c r="AA546" s="1"/>
      <c r="AB546" s="246"/>
    </row>
    <row r="547" spans="2:28" ht="15.75">
      <c r="B547" s="11"/>
      <c r="C547" s="325"/>
      <c r="D547" s="1"/>
      <c r="E547" s="458" t="s">
        <v>77</v>
      </c>
      <c r="F547" s="459" t="s">
        <v>78</v>
      </c>
      <c r="G547" s="460">
        <v>34.024999999999999</v>
      </c>
      <c r="H547" s="286"/>
      <c r="I547" s="12" t="s">
        <v>12</v>
      </c>
      <c r="J547" s="403"/>
      <c r="K547" s="15"/>
      <c r="L547" s="298"/>
      <c r="M547" s="369"/>
      <c r="N547" s="1"/>
      <c r="O547" s="515" t="s">
        <v>79</v>
      </c>
      <c r="P547" s="459" t="s">
        <v>47</v>
      </c>
      <c r="Q547" s="516">
        <v>0</v>
      </c>
      <c r="R547" s="121"/>
      <c r="S547" s="12" t="s">
        <v>12</v>
      </c>
      <c r="T547" s="1"/>
      <c r="U547" s="1"/>
      <c r="V547" s="1"/>
      <c r="W547" s="1"/>
      <c r="X547" s="1"/>
      <c r="Y547" s="1"/>
      <c r="Z547" s="1"/>
      <c r="AA547" s="1"/>
      <c r="AB547" s="246"/>
    </row>
    <row r="548" spans="2:28" ht="16.5" thickBot="1">
      <c r="B548" s="11"/>
      <c r="C548" s="369"/>
      <c r="D548" s="1"/>
      <c r="E548" s="453" t="s">
        <v>80</v>
      </c>
      <c r="F548" s="7" t="s">
        <v>81</v>
      </c>
      <c r="G548" s="512">
        <v>0</v>
      </c>
      <c r="H548" s="287"/>
      <c r="I548" s="12" t="s">
        <v>12</v>
      </c>
      <c r="J548" s="403"/>
      <c r="K548" s="15"/>
      <c r="L548" s="298"/>
      <c r="M548" s="374"/>
      <c r="N548" s="1"/>
      <c r="O548" s="455" t="s">
        <v>82</v>
      </c>
      <c r="P548" s="466"/>
      <c r="Q548" s="517" t="s">
        <v>83</v>
      </c>
      <c r="R548" s="21"/>
      <c r="S548" s="12" t="s">
        <v>12</v>
      </c>
      <c r="T548" s="1"/>
      <c r="U548" s="1"/>
      <c r="V548" s="1"/>
      <c r="W548" s="1"/>
      <c r="X548" s="1"/>
      <c r="Y548" s="1"/>
      <c r="Z548" s="1"/>
      <c r="AA548" s="1"/>
      <c r="AB548" s="246"/>
    </row>
    <row r="549" spans="2:28" ht="16.5" thickBot="1">
      <c r="B549" s="11"/>
      <c r="C549" s="326"/>
      <c r="D549" s="15"/>
      <c r="E549" s="474" t="s">
        <v>84</v>
      </c>
      <c r="F549" s="7" t="s">
        <v>19</v>
      </c>
      <c r="G549" s="475">
        <v>0.03</v>
      </c>
      <c r="H549" s="270"/>
      <c r="I549" s="12" t="s">
        <v>12</v>
      </c>
      <c r="J549" s="404"/>
      <c r="K549" s="15"/>
      <c r="L549" s="298"/>
      <c r="M549" s="1"/>
      <c r="N549" s="1"/>
      <c r="O549" s="1"/>
      <c r="P549" s="1"/>
      <c r="Q549" s="1"/>
      <c r="R549" s="1"/>
      <c r="S549" s="1"/>
      <c r="T549" s="1"/>
      <c r="U549" s="1"/>
      <c r="V549" s="1"/>
      <c r="W549" s="1"/>
      <c r="X549" s="1"/>
      <c r="Y549" s="1"/>
      <c r="Z549" s="1"/>
      <c r="AA549" s="1"/>
      <c r="AB549" s="246"/>
    </row>
    <row r="550" spans="2:28" ht="16.5" thickBot="1">
      <c r="B550" s="11"/>
      <c r="C550" s="317"/>
      <c r="D550" s="1"/>
      <c r="E550" s="451" t="s">
        <v>85</v>
      </c>
      <c r="F550" s="7" t="s">
        <v>86</v>
      </c>
      <c r="G550" s="582">
        <v>10</v>
      </c>
      <c r="H550" s="272"/>
      <c r="I550" s="12" t="s">
        <v>12</v>
      </c>
      <c r="J550" s="404"/>
      <c r="K550" s="15"/>
      <c r="L550" s="298"/>
      <c r="M550" s="1"/>
      <c r="N550" s="1"/>
      <c r="O550" s="5" t="s">
        <v>87</v>
      </c>
      <c r="P550" s="347" t="s">
        <v>6</v>
      </c>
      <c r="Q550" s="411" t="s">
        <v>7</v>
      </c>
      <c r="R550" s="15"/>
      <c r="S550" s="1"/>
      <c r="T550" s="412"/>
      <c r="U550" s="677"/>
      <c r="V550" s="1"/>
      <c r="W550" s="1"/>
      <c r="X550" s="1"/>
      <c r="Y550" s="1"/>
      <c r="Z550" s="1"/>
      <c r="AA550" s="1"/>
      <c r="AB550" s="246"/>
    </row>
    <row r="551" spans="2:28" ht="16.5" thickBot="1">
      <c r="B551" s="11"/>
      <c r="C551" s="326"/>
      <c r="D551" s="15"/>
      <c r="E551" s="465" t="s">
        <v>88</v>
      </c>
      <c r="F551" s="466" t="s">
        <v>19</v>
      </c>
      <c r="G551" s="475">
        <v>0.03</v>
      </c>
      <c r="H551" s="278"/>
      <c r="I551" s="12" t="s">
        <v>12</v>
      </c>
      <c r="J551" s="403"/>
      <c r="K551" s="15"/>
      <c r="L551" s="298"/>
      <c r="M551" s="374"/>
      <c r="N551" s="1"/>
      <c r="O551" s="568" t="s">
        <v>89</v>
      </c>
      <c r="P551" s="569"/>
      <c r="Q551" s="570" t="s">
        <v>90</v>
      </c>
      <c r="R551" s="1"/>
      <c r="S551" s="12" t="s">
        <v>12</v>
      </c>
      <c r="T551" s="1"/>
      <c r="U551" s="1"/>
      <c r="V551" s="1"/>
      <c r="W551" s="1"/>
      <c r="X551" s="1"/>
      <c r="Y551" s="1"/>
      <c r="Z551" s="1"/>
      <c r="AA551" s="1"/>
      <c r="AB551" s="246"/>
    </row>
    <row r="552" spans="2:28" ht="15.75">
      <c r="B552" s="11"/>
      <c r="C552" s="369"/>
      <c r="D552" s="1"/>
      <c r="E552" s="483" t="s">
        <v>91</v>
      </c>
      <c r="F552" s="6" t="s">
        <v>19</v>
      </c>
      <c r="G552" s="470">
        <v>5.7150000000000005E-3</v>
      </c>
      <c r="H552" s="270"/>
      <c r="I552" s="366" t="s">
        <v>12</v>
      </c>
      <c r="J552" s="403"/>
      <c r="K552" s="15"/>
      <c r="L552" s="298"/>
      <c r="M552" s="369"/>
      <c r="N552" s="1">
        <f>IF(OR(Q552&lt;0,Q552&gt;1),1,0)</f>
        <v>0</v>
      </c>
      <c r="O552" s="458" t="s">
        <v>92</v>
      </c>
      <c r="P552" s="450" t="s">
        <v>19</v>
      </c>
      <c r="Q552" s="600">
        <v>0</v>
      </c>
      <c r="R552" s="15">
        <f>IF(OR($Q$35="Performance-Based",$Q$35="Neither"),1,0)</f>
        <v>1</v>
      </c>
      <c r="S552" s="12" t="s">
        <v>12</v>
      </c>
      <c r="T552" s="15"/>
      <c r="U552" s="1"/>
      <c r="V552" s="1"/>
      <c r="W552" s="1"/>
      <c r="X552" s="1"/>
      <c r="Y552" s="1"/>
      <c r="Z552" s="1"/>
      <c r="AA552" s="1"/>
      <c r="AB552" s="246"/>
    </row>
    <row r="553" spans="2:28" ht="15.75">
      <c r="B553" s="11"/>
      <c r="C553" s="1"/>
      <c r="D553" s="1"/>
      <c r="E553" s="451" t="s">
        <v>93</v>
      </c>
      <c r="F553" s="7" t="s">
        <v>47</v>
      </c>
      <c r="G553" s="467"/>
      <c r="H553" s="275"/>
      <c r="I553" s="366" t="s">
        <v>12</v>
      </c>
      <c r="J553" s="403"/>
      <c r="K553" s="15"/>
      <c r="L553" s="298"/>
      <c r="M553" s="369"/>
      <c r="N553" s="1">
        <f>IF(OR(Q553&lt;0,Q553&gt;1),1,0)</f>
        <v>0</v>
      </c>
      <c r="O553" s="453" t="s">
        <v>94</v>
      </c>
      <c r="P553" s="7" t="s">
        <v>19</v>
      </c>
      <c r="Q553" s="601">
        <v>0</v>
      </c>
      <c r="R553" s="15"/>
      <c r="S553" s="12" t="s">
        <v>12</v>
      </c>
      <c r="T553" s="15"/>
      <c r="U553" s="15"/>
      <c r="V553" s="1"/>
      <c r="W553" s="1"/>
      <c r="X553" s="1"/>
      <c r="Y553" s="1"/>
      <c r="Z553" s="1"/>
      <c r="AA553" s="1"/>
      <c r="AB553" s="246"/>
    </row>
    <row r="554" spans="2:28" ht="15.75">
      <c r="B554" s="11"/>
      <c r="C554" s="369"/>
      <c r="D554" s="1"/>
      <c r="E554" s="468" t="s">
        <v>95</v>
      </c>
      <c r="F554" s="6" t="s">
        <v>96</v>
      </c>
      <c r="G554" s="469">
        <v>4000</v>
      </c>
      <c r="H554" s="288"/>
      <c r="I554" s="366" t="s">
        <v>12</v>
      </c>
      <c r="J554" s="404"/>
      <c r="K554" s="15"/>
      <c r="L554" s="298"/>
      <c r="M554" s="369"/>
      <c r="N554" s="1">
        <f>IF(OR(Q554&lt;1,Q554&gt;G528),1,0)</f>
        <v>1</v>
      </c>
      <c r="O554" s="451" t="s">
        <v>97</v>
      </c>
      <c r="P554" s="8" t="s">
        <v>71</v>
      </c>
      <c r="Q554" s="602">
        <v>0</v>
      </c>
      <c r="R554" s="15"/>
      <c r="S554" s="12" t="s">
        <v>12</v>
      </c>
      <c r="T554" s="1"/>
      <c r="U554" s="678"/>
      <c r="V554" s="1"/>
      <c r="W554" s="1"/>
      <c r="X554" s="1"/>
      <c r="Y554" s="1"/>
      <c r="Z554" s="1"/>
      <c r="AA554" s="1"/>
      <c r="AB554" s="246"/>
    </row>
    <row r="555" spans="2:28" ht="16.5" thickBot="1">
      <c r="B555" s="11"/>
      <c r="C555" s="369"/>
      <c r="D555" s="1"/>
      <c r="E555" s="451" t="s">
        <v>98</v>
      </c>
      <c r="F555" s="6" t="s">
        <v>33</v>
      </c>
      <c r="G555" s="603">
        <v>5</v>
      </c>
      <c r="H555" s="288"/>
      <c r="I555" s="366" t="s">
        <v>12</v>
      </c>
      <c r="J555" s="403"/>
      <c r="K555" s="15"/>
      <c r="L555" s="11"/>
      <c r="M555" s="1"/>
      <c r="N555" s="1"/>
      <c r="O555" s="455" t="s">
        <v>50</v>
      </c>
      <c r="P555" s="456" t="s">
        <v>47</v>
      </c>
      <c r="Q555" s="572">
        <v>0</v>
      </c>
      <c r="R555" s="1"/>
      <c r="S555" s="12" t="s">
        <v>12</v>
      </c>
      <c r="T555" s="1"/>
      <c r="U555" s="1"/>
      <c r="V555" s="1"/>
      <c r="W555" s="1"/>
      <c r="X555" s="1"/>
      <c r="Y555" s="1"/>
      <c r="Z555" s="1"/>
      <c r="AA555" s="1"/>
      <c r="AB555" s="246"/>
    </row>
    <row r="556" spans="2:28" ht="15.75">
      <c r="B556" s="11"/>
      <c r="C556" s="369"/>
      <c r="D556" s="1"/>
      <c r="E556" s="451" t="s">
        <v>43</v>
      </c>
      <c r="F556" s="6" t="s">
        <v>19</v>
      </c>
      <c r="G556" s="583">
        <v>0</v>
      </c>
      <c r="H556" s="1"/>
      <c r="I556" s="366" t="s">
        <v>12</v>
      </c>
      <c r="J556" s="403"/>
      <c r="K556" s="15"/>
      <c r="L556" s="298"/>
      <c r="M556" s="374"/>
      <c r="N556" s="1"/>
      <c r="O556" s="483" t="s">
        <v>99</v>
      </c>
      <c r="P556" s="6"/>
      <c r="Q556" s="571" t="s">
        <v>66</v>
      </c>
      <c r="R556" s="15">
        <f>IF(OR($Q$35="Cost-Based",$Q$35="Neither"),1,0)</f>
        <v>1</v>
      </c>
      <c r="S556" s="12" t="s">
        <v>12</v>
      </c>
      <c r="T556" s="15"/>
      <c r="U556" s="21"/>
      <c r="V556" s="1"/>
      <c r="W556" s="1"/>
      <c r="X556" s="1"/>
      <c r="Y556" s="1"/>
      <c r="Z556" s="1"/>
      <c r="AA556" s="1"/>
      <c r="AB556" s="246"/>
    </row>
    <row r="557" spans="2:28" ht="15.75">
      <c r="B557" s="11"/>
      <c r="C557" s="369"/>
      <c r="D557" s="1"/>
      <c r="E557" s="451" t="s">
        <v>100</v>
      </c>
      <c r="F557" s="6" t="s">
        <v>96</v>
      </c>
      <c r="G557" s="469">
        <v>55178</v>
      </c>
      <c r="H557" s="288"/>
      <c r="I557" s="366" t="s">
        <v>12</v>
      </c>
      <c r="J557" s="403"/>
      <c r="K557" s="15"/>
      <c r="L557" s="298"/>
      <c r="M557" s="374"/>
      <c r="N557" s="1"/>
      <c r="O557" s="451" t="s">
        <v>101</v>
      </c>
      <c r="P557" s="8"/>
      <c r="Q557" s="511" t="s">
        <v>102</v>
      </c>
      <c r="R557" s="346">
        <f>IF(OR($Q$35="Cost-Based",$Q$35="Neither",$Q$40="Tax Credit"),1,0)</f>
        <v>1</v>
      </c>
      <c r="S557" s="12" t="s">
        <v>12</v>
      </c>
      <c r="T557" s="1"/>
      <c r="U557" s="21"/>
      <c r="V557" s="1"/>
      <c r="W557" s="1"/>
      <c r="X557" s="1"/>
      <c r="Y557" s="1"/>
      <c r="Z557" s="1"/>
      <c r="AA557" s="1"/>
      <c r="AB557" s="246"/>
    </row>
    <row r="558" spans="2:28" ht="15.75">
      <c r="B558" s="11"/>
      <c r="C558" s="369"/>
      <c r="D558" s="1"/>
      <c r="E558" s="453" t="s">
        <v>103</v>
      </c>
      <c r="F558" s="6" t="s">
        <v>19</v>
      </c>
      <c r="G558" s="470">
        <v>0.02</v>
      </c>
      <c r="H558" s="270"/>
      <c r="I558" s="366" t="s">
        <v>12</v>
      </c>
      <c r="J558" s="403"/>
      <c r="K558" s="15"/>
      <c r="L558" s="298"/>
      <c r="M558" s="369"/>
      <c r="N558" s="1"/>
      <c r="O558" s="451" t="s">
        <v>68</v>
      </c>
      <c r="P558" s="55" t="s">
        <v>39</v>
      </c>
      <c r="Q558" s="512">
        <v>1.5</v>
      </c>
      <c r="R558" s="21"/>
      <c r="S558" s="12" t="s">
        <v>12</v>
      </c>
      <c r="T558" s="346"/>
      <c r="U558" s="679"/>
      <c r="V558" s="1"/>
      <c r="W558" s="1"/>
      <c r="X558" s="1"/>
      <c r="Y558" s="1"/>
      <c r="Z558" s="1"/>
      <c r="AA558" s="1"/>
      <c r="AB558" s="246"/>
    </row>
    <row r="559" spans="2:28" ht="16.5" thickBot="1">
      <c r="B559" s="11"/>
      <c r="C559" s="1"/>
      <c r="D559" s="1"/>
      <c r="E559" s="455"/>
      <c r="F559" s="466"/>
      <c r="G559" s="471"/>
      <c r="H559" s="275"/>
      <c r="I559" s="366" t="s">
        <v>12</v>
      </c>
      <c r="J559" s="246"/>
      <c r="K559" s="15"/>
      <c r="L559" s="298"/>
      <c r="M559" s="369"/>
      <c r="N559" s="1">
        <f>IF(OR(Q559&lt;0,Q559&gt;G528),1,0)</f>
        <v>0</v>
      </c>
      <c r="O559" s="451" t="s">
        <v>70</v>
      </c>
      <c r="P559" s="8" t="s">
        <v>71</v>
      </c>
      <c r="Q559" s="464">
        <v>10</v>
      </c>
      <c r="R559" s="21"/>
      <c r="S559" s="12" t="s">
        <v>12</v>
      </c>
      <c r="T559" s="1"/>
      <c r="U559" s="21"/>
      <c r="V559" s="1"/>
      <c r="W559" s="1"/>
      <c r="X559" s="1"/>
      <c r="Y559" s="1"/>
      <c r="Z559" s="1"/>
      <c r="AA559" s="1"/>
      <c r="AB559" s="246"/>
    </row>
    <row r="560" spans="2:28" ht="16.5" thickBot="1">
      <c r="B560" s="11"/>
      <c r="C560" s="327"/>
      <c r="D560" s="1"/>
      <c r="E560" s="1"/>
      <c r="F560" s="1"/>
      <c r="G560" s="1"/>
      <c r="H560" s="1"/>
      <c r="I560" s="17"/>
      <c r="J560" s="403"/>
      <c r="K560" s="15"/>
      <c r="L560" s="298"/>
      <c r="M560" s="369"/>
      <c r="N560" s="1"/>
      <c r="O560" s="451" t="s">
        <v>72</v>
      </c>
      <c r="P560" s="6" t="s">
        <v>19</v>
      </c>
      <c r="Q560" s="497">
        <v>0.02</v>
      </c>
      <c r="R560" s="15"/>
      <c r="S560" s="12" t="s">
        <v>12</v>
      </c>
      <c r="T560" s="346"/>
      <c r="U560" s="21"/>
      <c r="V560" s="1"/>
      <c r="W560" s="1"/>
      <c r="X560" s="1"/>
      <c r="Y560" s="1"/>
      <c r="Z560" s="1"/>
      <c r="AA560" s="1"/>
      <c r="AB560" s="246"/>
    </row>
    <row r="561" spans="2:28" ht="16.5" thickBot="1">
      <c r="B561" s="11"/>
      <c r="C561" s="327"/>
      <c r="D561" s="1"/>
      <c r="E561" s="5" t="s">
        <v>104</v>
      </c>
      <c r="F561" s="347" t="s">
        <v>6</v>
      </c>
      <c r="G561" s="411" t="s">
        <v>7</v>
      </c>
      <c r="H561" s="289"/>
      <c r="I561" s="17"/>
      <c r="J561" s="403"/>
      <c r="K561" s="15"/>
      <c r="L561" s="298"/>
      <c r="M561" s="369"/>
      <c r="N561" s="1">
        <f>IF(OR(Q561&lt;0,Q561&gt;1),1,0)</f>
        <v>0</v>
      </c>
      <c r="O561" s="455" t="s">
        <v>105</v>
      </c>
      <c r="P561" s="462" t="s">
        <v>19</v>
      </c>
      <c r="Q561" s="523">
        <v>1</v>
      </c>
      <c r="R561" s="15"/>
      <c r="S561" s="12" t="s">
        <v>12</v>
      </c>
      <c r="T561" s="21"/>
      <c r="U561" s="15"/>
      <c r="V561" s="1"/>
      <c r="W561" s="1"/>
      <c r="X561" s="1"/>
      <c r="Y561" s="1"/>
      <c r="Z561" s="1"/>
      <c r="AA561" s="1"/>
      <c r="AB561" s="246"/>
    </row>
    <row r="562" spans="2:28" ht="16.5" thickBot="1">
      <c r="B562" s="11"/>
      <c r="C562" s="372"/>
      <c r="D562" s="1"/>
      <c r="E562" s="463" t="s">
        <v>106</v>
      </c>
      <c r="F562" s="450" t="s">
        <v>107</v>
      </c>
      <c r="G562" s="556">
        <v>0</v>
      </c>
      <c r="H562" s="289"/>
      <c r="I562" s="12" t="s">
        <v>12</v>
      </c>
      <c r="J562" s="403"/>
      <c r="K562" s="15"/>
      <c r="L562" s="298"/>
      <c r="M562" s="15"/>
      <c r="N562" s="15"/>
      <c r="O562" s="524" t="s">
        <v>108</v>
      </c>
      <c r="P562" s="525"/>
      <c r="Q562" s="526" t="s">
        <v>76</v>
      </c>
      <c r="R562" s="15">
        <f>IF($Q$35="Neither",1,0)</f>
        <v>1</v>
      </c>
      <c r="S562" s="12" t="s">
        <v>12</v>
      </c>
      <c r="T562" s="21"/>
      <c r="U562" s="15"/>
      <c r="V562" s="1"/>
      <c r="W562" s="1"/>
      <c r="X562" s="1"/>
      <c r="Y562" s="1"/>
      <c r="Z562" s="1"/>
      <c r="AA562" s="1"/>
      <c r="AB562" s="246"/>
    </row>
    <row r="563" spans="2:28" ht="16.5" thickBot="1">
      <c r="B563" s="11"/>
      <c r="C563" s="372"/>
      <c r="D563" s="1"/>
      <c r="E563" s="474" t="s">
        <v>109</v>
      </c>
      <c r="F563" s="7" t="s">
        <v>19</v>
      </c>
      <c r="G563" s="548">
        <v>0</v>
      </c>
      <c r="H563" s="289"/>
      <c r="I563" s="12" t="s">
        <v>12</v>
      </c>
      <c r="J563" s="403"/>
      <c r="K563" s="15"/>
      <c r="L563" s="11"/>
      <c r="M563" s="1"/>
      <c r="N563" s="1"/>
      <c r="O563" s="415"/>
      <c r="P563" s="267"/>
      <c r="Q563" s="297"/>
      <c r="R563" s="1"/>
      <c r="S563" s="1"/>
      <c r="T563" s="1"/>
      <c r="U563" s="15"/>
      <c r="V563" s="1"/>
      <c r="W563" s="1"/>
      <c r="X563" s="1"/>
      <c r="Y563" s="1"/>
      <c r="Z563" s="1"/>
      <c r="AA563" s="1"/>
      <c r="AB563" s="246"/>
    </row>
    <row r="564" spans="2:28" ht="16.5" thickBot="1">
      <c r="B564" s="11"/>
      <c r="C564" s="327"/>
      <c r="D564" s="1"/>
      <c r="E564" s="465" t="s">
        <v>110</v>
      </c>
      <c r="F564" s="456" t="s">
        <v>47</v>
      </c>
      <c r="G564" s="471"/>
      <c r="H564" s="289"/>
      <c r="I564" s="12" t="s">
        <v>12</v>
      </c>
      <c r="J564" s="403"/>
      <c r="K564" s="15"/>
      <c r="L564" s="298"/>
      <c r="M564" s="369"/>
      <c r="N564" s="15"/>
      <c r="O564" s="515" t="s">
        <v>111</v>
      </c>
      <c r="P564" s="450" t="s">
        <v>47</v>
      </c>
      <c r="Q564" s="516">
        <v>0</v>
      </c>
      <c r="R564" s="1"/>
      <c r="S564" s="12" t="s">
        <v>12</v>
      </c>
      <c r="T564" s="15"/>
      <c r="U564" s="15"/>
      <c r="V564" s="1"/>
      <c r="W564" s="1"/>
      <c r="X564" s="1"/>
      <c r="Y564" s="1"/>
      <c r="Z564" s="1"/>
      <c r="AA564" s="1"/>
      <c r="AB564" s="246"/>
    </row>
    <row r="565" spans="2:28" ht="16.5" thickBot="1">
      <c r="B565" s="11"/>
      <c r="C565" s="1"/>
      <c r="D565" s="1"/>
      <c r="E565" s="1"/>
      <c r="F565" s="1"/>
      <c r="G565" s="182"/>
      <c r="H565" s="182"/>
      <c r="I565" s="17"/>
      <c r="J565" s="403"/>
      <c r="K565" s="15"/>
      <c r="L565" s="298"/>
      <c r="M565" s="374"/>
      <c r="N565" s="1"/>
      <c r="O565" s="455" t="s">
        <v>112</v>
      </c>
      <c r="P565" s="466"/>
      <c r="Q565" s="517" t="s">
        <v>83</v>
      </c>
      <c r="R565" s="21"/>
      <c r="S565" s="12" t="s">
        <v>12</v>
      </c>
      <c r="T565" s="15"/>
      <c r="U565" s="15"/>
      <c r="V565" s="1"/>
      <c r="W565" s="1"/>
      <c r="X565" s="1"/>
      <c r="Y565" s="1"/>
      <c r="Z565" s="1"/>
      <c r="AA565" s="1"/>
      <c r="AB565" s="246"/>
    </row>
    <row r="566" spans="2:28" ht="16.5" thickBot="1">
      <c r="B566" s="11"/>
      <c r="C566" s="327"/>
      <c r="D566" s="1"/>
      <c r="E566" s="480" t="s">
        <v>113</v>
      </c>
      <c r="F566" s="481" t="s">
        <v>6</v>
      </c>
      <c r="G566" s="482" t="s">
        <v>7</v>
      </c>
      <c r="H566" s="289"/>
      <c r="I566" s="405"/>
      <c r="J566" s="403"/>
      <c r="K566" s="15"/>
      <c r="L566" s="298"/>
      <c r="M566" s="1"/>
      <c r="N566" s="1"/>
      <c r="O566" s="1"/>
      <c r="P566" s="1"/>
      <c r="Q566" s="1"/>
      <c r="R566" s="1"/>
      <c r="S566" s="1"/>
      <c r="T566" s="15"/>
      <c r="U566" s="300"/>
      <c r="V566" s="1"/>
      <c r="W566" s="1"/>
      <c r="X566" s="1"/>
      <c r="Y566" s="1"/>
      <c r="Z566" s="1"/>
      <c r="AA566" s="1"/>
      <c r="AB566" s="246"/>
    </row>
    <row r="567" spans="2:28" ht="16.5" thickBot="1">
      <c r="B567" s="11"/>
      <c r="C567" s="369"/>
      <c r="D567" s="1">
        <f>IF(OR(G567="",G567&lt;0,G567&gt;1),1,0)</f>
        <v>0</v>
      </c>
      <c r="E567" s="449" t="s">
        <v>114</v>
      </c>
      <c r="F567" s="450" t="s">
        <v>19</v>
      </c>
      <c r="G567" s="476">
        <v>0.46</v>
      </c>
      <c r="H567" s="290"/>
      <c r="I567" s="12" t="s">
        <v>12</v>
      </c>
      <c r="J567" s="404"/>
      <c r="K567" s="15"/>
      <c r="L567" s="298"/>
      <c r="M567" s="15"/>
      <c r="N567" s="15"/>
      <c r="O567" s="5" t="s">
        <v>115</v>
      </c>
      <c r="P567" s="22"/>
      <c r="Q567" s="411"/>
      <c r="R567" s="15"/>
      <c r="S567" s="15"/>
      <c r="T567" s="15"/>
      <c r="U567" s="15"/>
      <c r="V567" s="1"/>
      <c r="W567" s="1"/>
      <c r="X567" s="1"/>
      <c r="Y567" s="1"/>
      <c r="Z567" s="1"/>
      <c r="AA567" s="1"/>
      <c r="AB567" s="246"/>
    </row>
    <row r="568" spans="2:28" ht="15.75">
      <c r="B568" s="11"/>
      <c r="C568" s="369"/>
      <c r="D568" s="1">
        <f>IF(OR(G568&lt;=0,G568&gt;G528),1,0)</f>
        <v>0</v>
      </c>
      <c r="E568" s="451" t="s">
        <v>116</v>
      </c>
      <c r="F568" s="7" t="s">
        <v>14</v>
      </c>
      <c r="G568" s="464">
        <v>13</v>
      </c>
      <c r="H568" s="272"/>
      <c r="I568" s="12" t="s">
        <v>12</v>
      </c>
      <c r="J568" s="404"/>
      <c r="K568" s="15"/>
      <c r="L568" s="298"/>
      <c r="M568" s="375"/>
      <c r="N568" s="15">
        <f>IF(OR(Q568&lt;1,Q568&gt;$G$12),1,0)</f>
        <v>0</v>
      </c>
      <c r="O568" s="463" t="s">
        <v>117</v>
      </c>
      <c r="P568" s="459" t="s">
        <v>86</v>
      </c>
      <c r="Q568" s="556">
        <v>12</v>
      </c>
      <c r="R568" s="15"/>
      <c r="S568" s="12" t="s">
        <v>12</v>
      </c>
      <c r="T568" s="15"/>
      <c r="U568" s="15"/>
      <c r="V568" s="1"/>
      <c r="W568" s="1"/>
      <c r="X568" s="1"/>
      <c r="Y568" s="1"/>
      <c r="Z568" s="1"/>
      <c r="AA568" s="1"/>
      <c r="AB568" s="246"/>
    </row>
    <row r="569" spans="2:28" ht="16.5" thickBot="1">
      <c r="B569" s="11"/>
      <c r="C569" s="372"/>
      <c r="D569" s="1">
        <f>IF(OR(G569&lt;0,G569=""),1,0)</f>
        <v>0</v>
      </c>
      <c r="E569" s="451" t="s">
        <v>118</v>
      </c>
      <c r="F569" s="7" t="s">
        <v>19</v>
      </c>
      <c r="G569" s="485">
        <v>7.5975931558935353E-2</v>
      </c>
      <c r="H569" s="291"/>
      <c r="I569" s="12" t="s">
        <v>12</v>
      </c>
      <c r="J569" s="404"/>
      <c r="K569" s="15"/>
      <c r="L569" s="298"/>
      <c r="M569" s="326"/>
      <c r="N569" s="15"/>
      <c r="O569" s="465" t="s">
        <v>119</v>
      </c>
      <c r="P569" s="456" t="str">
        <f>$F$16</f>
        <v>$/kW</v>
      </c>
      <c r="Q569" s="531">
        <v>21</v>
      </c>
      <c r="R569" s="15"/>
      <c r="S569" s="12" t="s">
        <v>12</v>
      </c>
      <c r="T569" s="15"/>
      <c r="U569" s="15"/>
      <c r="V569" s="1"/>
      <c r="W569" s="1"/>
      <c r="X569" s="1"/>
      <c r="Y569" s="1"/>
      <c r="Z569" s="1"/>
      <c r="AA569" s="1"/>
      <c r="AB569" s="246"/>
    </row>
    <row r="570" spans="2:28" ht="16.5" thickBot="1">
      <c r="B570" s="11"/>
      <c r="C570" s="369"/>
      <c r="D570" s="1">
        <f>IF(OR(G570&lt;0,G570=""),1,0)</f>
        <v>0</v>
      </c>
      <c r="E570" s="486" t="s">
        <v>120</v>
      </c>
      <c r="F570" s="466" t="s">
        <v>19</v>
      </c>
      <c r="G570" s="487">
        <v>0.01</v>
      </c>
      <c r="H570" s="270"/>
      <c r="I570" s="12" t="s">
        <v>12</v>
      </c>
      <c r="J570" s="403"/>
      <c r="K570" s="15"/>
      <c r="L570" s="298"/>
      <c r="M570" s="375"/>
      <c r="N570" s="15">
        <f>IF(OR(Q570&lt;Q568,Q570&gt;$G$12),1,0)</f>
        <v>0</v>
      </c>
      <c r="O570" s="529" t="s">
        <v>121</v>
      </c>
      <c r="P570" s="24" t="s">
        <v>86</v>
      </c>
      <c r="Q570" s="530">
        <v>12</v>
      </c>
      <c r="R570" s="15"/>
      <c r="S570" s="12" t="s">
        <v>12</v>
      </c>
      <c r="T570" s="15"/>
      <c r="U570" s="15"/>
      <c r="V570" s="1"/>
      <c r="W570" s="1"/>
      <c r="X570" s="1"/>
      <c r="Y570" s="1"/>
      <c r="Z570" s="1"/>
      <c r="AA570" s="1"/>
      <c r="AB570" s="246"/>
    </row>
    <row r="571" spans="2:28" ht="16.5" thickBot="1">
      <c r="B571" s="11"/>
      <c r="C571" s="369"/>
      <c r="D571" s="1"/>
      <c r="E571" s="483" t="s">
        <v>122</v>
      </c>
      <c r="F571" s="24"/>
      <c r="G571" s="484">
        <v>1</v>
      </c>
      <c r="H571" s="279"/>
      <c r="I571" s="12" t="s">
        <v>12</v>
      </c>
      <c r="J571" s="403"/>
      <c r="K571" s="15"/>
      <c r="L571" s="298"/>
      <c r="M571" s="326"/>
      <c r="N571" s="15"/>
      <c r="O571" s="465" t="s">
        <v>123</v>
      </c>
      <c r="P571" s="456" t="str">
        <f>$F$16</f>
        <v>$/kW</v>
      </c>
      <c r="Q571" s="531">
        <v>0</v>
      </c>
      <c r="R571" s="15"/>
      <c r="S571" s="12" t="s">
        <v>12</v>
      </c>
      <c r="T571" s="15"/>
      <c r="U571" s="15"/>
      <c r="V571" s="1"/>
      <c r="W571" s="1"/>
      <c r="X571" s="1"/>
      <c r="Y571" s="1"/>
      <c r="Z571" s="1"/>
      <c r="AA571" s="1"/>
      <c r="AB571" s="246"/>
    </row>
    <row r="572" spans="2:28" ht="15.75">
      <c r="B572" s="11"/>
      <c r="C572" s="1"/>
      <c r="D572" s="1"/>
      <c r="E572" s="451" t="s">
        <v>124</v>
      </c>
      <c r="F572" s="248">
        <f>MAX('[2]Cash Flow'!G561:AJ561)</f>
        <v>0</v>
      </c>
      <c r="G572" s="477"/>
      <c r="H572" s="280"/>
      <c r="I572" s="12" t="s">
        <v>12</v>
      </c>
      <c r="J572" s="403"/>
      <c r="K572" s="15"/>
      <c r="L572" s="298"/>
      <c r="M572" s="375"/>
      <c r="N572" s="15">
        <f>IF(OR(Q572&lt;Q570,Q572&gt;$G$12),1,0)</f>
        <v>0</v>
      </c>
      <c r="O572" s="474" t="s">
        <v>125</v>
      </c>
      <c r="P572" s="8" t="s">
        <v>86</v>
      </c>
      <c r="Q572" s="530">
        <v>12</v>
      </c>
      <c r="R572" s="15"/>
      <c r="S572" s="12" t="s">
        <v>12</v>
      </c>
      <c r="T572" s="15"/>
      <c r="U572" s="15"/>
      <c r="V572" s="1"/>
      <c r="W572" s="1"/>
      <c r="X572" s="1"/>
      <c r="Y572" s="1"/>
      <c r="Z572" s="1"/>
      <c r="AA572" s="1"/>
      <c r="AB572" s="246"/>
    </row>
    <row r="573" spans="2:28" ht="16.5" thickBot="1">
      <c r="B573" s="11"/>
      <c r="C573" s="369"/>
      <c r="D573" s="1"/>
      <c r="E573" s="451" t="s">
        <v>126</v>
      </c>
      <c r="F573" s="8" t="s">
        <v>127</v>
      </c>
      <c r="G573" s="478"/>
      <c r="H573" s="406"/>
      <c r="I573" s="12" t="s">
        <v>12</v>
      </c>
      <c r="J573" s="404"/>
      <c r="K573" s="15"/>
      <c r="L573" s="298"/>
      <c r="M573" s="326"/>
      <c r="N573" s="15"/>
      <c r="O573" s="465" t="s">
        <v>128</v>
      </c>
      <c r="P573" s="456" t="str">
        <f>$F$16</f>
        <v>$/kW</v>
      </c>
      <c r="Q573" s="531">
        <v>0</v>
      </c>
      <c r="R573" s="15"/>
      <c r="S573" s="12" t="s">
        <v>12</v>
      </c>
      <c r="T573" s="1"/>
      <c r="U573" s="1"/>
      <c r="V573" s="1"/>
      <c r="W573" s="1"/>
      <c r="X573" s="1"/>
      <c r="Y573" s="1"/>
      <c r="Z573" s="1"/>
      <c r="AA573" s="1"/>
      <c r="AB573" s="246"/>
    </row>
    <row r="574" spans="2:28" ht="15.75">
      <c r="B574" s="11"/>
      <c r="C574" s="369"/>
      <c r="D574" s="1"/>
      <c r="E574" s="451" t="s">
        <v>129</v>
      </c>
      <c r="F574" s="8"/>
      <c r="G574" s="680">
        <v>1.25</v>
      </c>
      <c r="H574" s="279"/>
      <c r="I574" s="12" t="s">
        <v>12</v>
      </c>
      <c r="J574" s="403"/>
      <c r="K574" s="15"/>
      <c r="L574" s="298"/>
      <c r="M574" s="375"/>
      <c r="N574" s="15">
        <f>IF(OR(Q574&lt;Q572,Q574&gt;$G$12),1,0)</f>
        <v>0</v>
      </c>
      <c r="O574" s="474" t="s">
        <v>130</v>
      </c>
      <c r="P574" s="8" t="s">
        <v>86</v>
      </c>
      <c r="Q574" s="530">
        <v>12</v>
      </c>
      <c r="R574" s="15"/>
      <c r="S574" s="12" t="s">
        <v>12</v>
      </c>
      <c r="T574" s="1"/>
      <c r="U574" s="1"/>
      <c r="V574" s="1"/>
      <c r="W574" s="1"/>
      <c r="X574" s="1"/>
      <c r="Y574" s="1"/>
      <c r="Z574" s="1"/>
      <c r="AA574" s="1"/>
      <c r="AB574" s="246"/>
    </row>
    <row r="575" spans="2:28" ht="16.5" thickBot="1">
      <c r="B575" s="11"/>
      <c r="C575" s="1"/>
      <c r="D575" s="1"/>
      <c r="E575" s="451" t="s">
        <v>131</v>
      </c>
      <c r="F575" s="248"/>
      <c r="G575" s="477"/>
      <c r="H575" s="280"/>
      <c r="I575" s="12" t="s">
        <v>12</v>
      </c>
      <c r="J575" s="403"/>
      <c r="K575" s="15"/>
      <c r="L575" s="298"/>
      <c r="M575" s="326"/>
      <c r="N575" s="15"/>
      <c r="O575" s="465" t="s">
        <v>132</v>
      </c>
      <c r="P575" s="456" t="str">
        <f>$F$16</f>
        <v>$/kW</v>
      </c>
      <c r="Q575" s="531">
        <v>0</v>
      </c>
      <c r="R575" s="15"/>
      <c r="S575" s="12" t="s">
        <v>12</v>
      </c>
      <c r="T575" s="1"/>
      <c r="U575" s="1"/>
      <c r="V575" s="1"/>
      <c r="W575" s="1"/>
      <c r="X575" s="1"/>
      <c r="Y575" s="1"/>
      <c r="Z575" s="1"/>
      <c r="AA575" s="1"/>
      <c r="AB575" s="246"/>
    </row>
    <row r="576" spans="2:28" ht="16.5" thickBot="1">
      <c r="B576" s="11"/>
      <c r="C576" s="369"/>
      <c r="D576" s="1"/>
      <c r="E576" s="455" t="s">
        <v>133</v>
      </c>
      <c r="F576" s="456" t="s">
        <v>127</v>
      </c>
      <c r="G576" s="479"/>
      <c r="H576" s="406"/>
      <c r="I576" s="12" t="s">
        <v>12</v>
      </c>
      <c r="J576" s="403"/>
      <c r="K576" s="15"/>
      <c r="L576" s="298"/>
      <c r="M576" s="1"/>
      <c r="N576" s="1"/>
      <c r="O576" s="1"/>
      <c r="P576" s="1"/>
      <c r="Q576" s="1"/>
      <c r="R576" s="1"/>
      <c r="S576" s="1"/>
      <c r="T576" s="1"/>
      <c r="U576" s="1"/>
      <c r="V576" s="1"/>
      <c r="W576" s="1"/>
      <c r="X576" s="1"/>
      <c r="Y576" s="1"/>
      <c r="Z576" s="1"/>
      <c r="AA576" s="1"/>
      <c r="AB576" s="246"/>
    </row>
    <row r="577" spans="2:28" ht="16.5" thickBot="1">
      <c r="B577" s="11"/>
      <c r="C577" s="1"/>
      <c r="D577" s="1"/>
      <c r="E577" s="449" t="s">
        <v>134</v>
      </c>
      <c r="F577" s="450" t="s">
        <v>19</v>
      </c>
      <c r="G577" s="488"/>
      <c r="H577" s="292"/>
      <c r="I577" s="12" t="s">
        <v>12</v>
      </c>
      <c r="J577" s="403"/>
      <c r="K577" s="15"/>
      <c r="L577" s="298"/>
      <c r="M577" s="15"/>
      <c r="N577" s="15"/>
      <c r="O577" s="5" t="s">
        <v>135</v>
      </c>
      <c r="P577" s="347" t="s">
        <v>6</v>
      </c>
      <c r="Q577" s="411" t="s">
        <v>7</v>
      </c>
      <c r="R577" s="15"/>
      <c r="S577" s="15"/>
      <c r="T577" s="15"/>
      <c r="U577" s="15"/>
      <c r="V577" s="1"/>
      <c r="W577" s="1"/>
      <c r="X577" s="1"/>
      <c r="Y577" s="1"/>
      <c r="Z577" s="1"/>
      <c r="AA577" s="1"/>
      <c r="AB577" s="246"/>
    </row>
    <row r="578" spans="2:28" ht="16.5" thickBot="1">
      <c r="B578" s="11"/>
      <c r="C578" s="369"/>
      <c r="D578" s="1">
        <f>IF(OR(G578&lt;0,G578=""),1,0)</f>
        <v>0</v>
      </c>
      <c r="E578" s="489" t="s">
        <v>136</v>
      </c>
      <c r="F578" s="466" t="s">
        <v>19</v>
      </c>
      <c r="G578" s="722">
        <v>0.10299999999999998</v>
      </c>
      <c r="H578" s="291"/>
      <c r="I578" s="12" t="s">
        <v>12</v>
      </c>
      <c r="J578" s="403"/>
      <c r="K578" s="15"/>
      <c r="L578" s="298"/>
      <c r="M578" s="15"/>
      <c r="N578" s="15"/>
      <c r="O578" s="532" t="s">
        <v>137</v>
      </c>
      <c r="P578" s="533"/>
      <c r="Q578" s="534"/>
      <c r="R578" s="15"/>
      <c r="S578" s="15"/>
      <c r="T578" s="15"/>
      <c r="U578" s="1"/>
      <c r="V578" s="1"/>
      <c r="W578" s="1"/>
      <c r="X578" s="1"/>
      <c r="Y578" s="1"/>
      <c r="Z578" s="1"/>
      <c r="AA578" s="1"/>
      <c r="AB578" s="246"/>
    </row>
    <row r="579" spans="2:28" ht="15.75">
      <c r="B579" s="11"/>
      <c r="C579" s="1"/>
      <c r="D579" s="1"/>
      <c r="E579" s="449" t="s">
        <v>138</v>
      </c>
      <c r="F579" s="450" t="s">
        <v>19</v>
      </c>
      <c r="G579" s="681"/>
      <c r="H579" s="1"/>
      <c r="I579" s="12" t="s">
        <v>12</v>
      </c>
      <c r="J579" s="246"/>
      <c r="K579" s="15"/>
      <c r="L579" s="298"/>
      <c r="M579" s="374"/>
      <c r="N579" s="15"/>
      <c r="O579" s="535" t="s">
        <v>139</v>
      </c>
      <c r="P579" s="23"/>
      <c r="Q579" s="511" t="s">
        <v>140</v>
      </c>
      <c r="R579" s="15"/>
      <c r="S579" s="12" t="s">
        <v>12</v>
      </c>
      <c r="T579" s="15"/>
      <c r="U579" s="15"/>
      <c r="V579" s="1"/>
      <c r="W579" s="1"/>
      <c r="X579" s="1"/>
      <c r="Y579" s="1"/>
      <c r="Z579" s="1"/>
      <c r="AA579" s="1"/>
      <c r="AB579" s="246"/>
    </row>
    <row r="580" spans="2:28" ht="16.5" thickBot="1">
      <c r="B580" s="11"/>
      <c r="C580" s="369"/>
      <c r="D580" s="1"/>
      <c r="E580" s="486" t="s">
        <v>141</v>
      </c>
      <c r="F580" s="466" t="s">
        <v>47</v>
      </c>
      <c r="G580" s="490">
        <v>0</v>
      </c>
      <c r="H580" s="288"/>
      <c r="I580" s="12" t="s">
        <v>12</v>
      </c>
      <c r="J580" s="246"/>
      <c r="K580" s="15"/>
      <c r="L580" s="298"/>
      <c r="M580" s="375"/>
      <c r="N580" s="15"/>
      <c r="O580" s="465" t="s">
        <v>142</v>
      </c>
      <c r="P580" s="456" t="s">
        <v>47</v>
      </c>
      <c r="Q580" s="588">
        <v>0</v>
      </c>
      <c r="R580" s="15"/>
      <c r="S580" s="12" t="s">
        <v>12</v>
      </c>
      <c r="T580" s="15"/>
      <c r="U580" s="385"/>
      <c r="V580" s="1"/>
      <c r="W580" s="1"/>
      <c r="X580" s="1"/>
      <c r="Y580" s="1"/>
      <c r="Z580" s="1"/>
      <c r="AA580" s="1"/>
      <c r="AB580" s="246"/>
    </row>
    <row r="581" spans="2:28" ht="16.5" thickBot="1">
      <c r="B581" s="11"/>
      <c r="C581" s="1"/>
      <c r="D581" s="1"/>
      <c r="E581" s="1"/>
      <c r="F581" s="1"/>
      <c r="G581" s="1"/>
      <c r="H581" s="1"/>
      <c r="I581" s="1"/>
      <c r="J581" s="246"/>
      <c r="K581" s="15"/>
      <c r="L581" s="298"/>
      <c r="M581" s="1"/>
      <c r="N581" s="1"/>
      <c r="O581" s="1"/>
      <c r="P581" s="1"/>
      <c r="Q581" s="1"/>
      <c r="R581" s="1"/>
      <c r="S581" s="1"/>
      <c r="T581" s="1"/>
      <c r="U581" s="385"/>
      <c r="V581" s="1"/>
      <c r="W581" s="1"/>
      <c r="X581" s="1"/>
      <c r="Y581" s="1"/>
      <c r="Z581" s="1"/>
      <c r="AA581" s="1"/>
      <c r="AB581" s="246"/>
    </row>
    <row r="582" spans="2:28" ht="16.5" thickBot="1">
      <c r="B582" s="298"/>
      <c r="C582" s="1"/>
      <c r="D582" s="1"/>
      <c r="E582" s="314" t="s">
        <v>143</v>
      </c>
      <c r="F582" s="22"/>
      <c r="G582" s="315"/>
      <c r="H582" s="1"/>
      <c r="I582" s="1"/>
      <c r="J582" s="246"/>
      <c r="K582" s="1"/>
      <c r="L582" s="298"/>
      <c r="M582" s="15"/>
      <c r="N582" s="15"/>
      <c r="O582" s="5" t="s">
        <v>144</v>
      </c>
      <c r="P582" s="347" t="s">
        <v>6</v>
      </c>
      <c r="Q582" s="411" t="s">
        <v>7</v>
      </c>
      <c r="R582" s="15"/>
      <c r="S582" s="15"/>
      <c r="T582" s="15"/>
      <c r="U582" s="378"/>
      <c r="V582" s="1"/>
      <c r="W582" s="1"/>
      <c r="X582" s="1"/>
      <c r="Y582" s="1"/>
      <c r="Z582" s="1"/>
      <c r="AA582" s="1"/>
      <c r="AB582" s="246"/>
    </row>
    <row r="583" spans="2:28" ht="15.75">
      <c r="B583" s="298"/>
      <c r="C583" s="1"/>
      <c r="D583" s="1"/>
      <c r="E583" s="449" t="s">
        <v>145</v>
      </c>
      <c r="F583" s="574"/>
      <c r="G583" s="491">
        <v>1316414.6348283759</v>
      </c>
      <c r="H583" s="1"/>
      <c r="I583" s="12" t="s">
        <v>12</v>
      </c>
      <c r="J583" s="246"/>
      <c r="K583" s="15"/>
      <c r="L583" s="298"/>
      <c r="M583" s="15"/>
      <c r="N583" s="15"/>
      <c r="O583" s="536" t="s">
        <v>146</v>
      </c>
      <c r="P583" s="527"/>
      <c r="Q583" s="528"/>
      <c r="R583" s="15"/>
      <c r="S583" s="15"/>
      <c r="T583" s="15"/>
      <c r="U583" s="15"/>
      <c r="V583" s="1"/>
      <c r="W583" s="1"/>
      <c r="X583" s="1"/>
      <c r="Y583" s="1"/>
      <c r="Z583" s="1"/>
      <c r="AA583" s="1"/>
      <c r="AB583" s="246"/>
    </row>
    <row r="584" spans="2:28" ht="15.75">
      <c r="B584" s="298"/>
      <c r="C584" s="1"/>
      <c r="D584" s="1"/>
      <c r="E584" s="451" t="s">
        <v>147</v>
      </c>
      <c r="F584" s="573"/>
      <c r="G584" s="467">
        <v>1469769.8682516098</v>
      </c>
      <c r="H584" s="1"/>
      <c r="I584" s="12" t="s">
        <v>12</v>
      </c>
      <c r="J584" s="246"/>
      <c r="K584" s="1"/>
      <c r="L584" s="298"/>
      <c r="M584" s="375"/>
      <c r="N584" s="15"/>
      <c r="O584" s="451" t="s">
        <v>148</v>
      </c>
      <c r="P584" s="7" t="s">
        <v>107</v>
      </c>
      <c r="Q584" s="584">
        <v>0</v>
      </c>
      <c r="R584" s="15"/>
      <c r="S584" s="12" t="s">
        <v>12</v>
      </c>
      <c r="T584" s="15"/>
      <c r="U584" s="15"/>
      <c r="V584" s="1"/>
      <c r="W584" s="1"/>
      <c r="X584" s="1"/>
      <c r="Y584" s="1"/>
      <c r="Z584" s="1"/>
      <c r="AA584" s="1"/>
      <c r="AB584" s="246"/>
    </row>
    <row r="585" spans="2:28" ht="16.5" thickBot="1">
      <c r="B585" s="11"/>
      <c r="C585" s="1"/>
      <c r="D585" s="1"/>
      <c r="E585" s="492" t="s">
        <v>149</v>
      </c>
      <c r="F585" s="575"/>
      <c r="G585" s="493">
        <v>0</v>
      </c>
      <c r="H585" s="1"/>
      <c r="I585" s="12" t="s">
        <v>12</v>
      </c>
      <c r="J585" s="246"/>
      <c r="K585" s="1"/>
      <c r="L585" s="298"/>
      <c r="M585" s="15"/>
      <c r="N585" s="15"/>
      <c r="O585" s="455" t="s">
        <v>150</v>
      </c>
      <c r="P585" s="466" t="s">
        <v>47</v>
      </c>
      <c r="Q585" s="537"/>
      <c r="R585" s="15"/>
      <c r="S585" s="12" t="s">
        <v>12</v>
      </c>
      <c r="T585" s="15"/>
      <c r="U585" s="15"/>
      <c r="V585" s="1"/>
      <c r="W585" s="1"/>
      <c r="X585" s="1"/>
      <c r="Y585" s="1"/>
      <c r="Z585" s="1"/>
      <c r="AA585" s="1"/>
      <c r="AB585" s="246"/>
    </row>
    <row r="586" spans="2:28" ht="17.25" thickTop="1" thickBot="1">
      <c r="B586" s="298"/>
      <c r="C586" s="1"/>
      <c r="D586" s="1"/>
      <c r="E586" s="494" t="s">
        <v>44</v>
      </c>
      <c r="F586" s="462" t="s">
        <v>47</v>
      </c>
      <c r="G586" s="495">
        <v>2786184.5030799857</v>
      </c>
      <c r="H586" s="1"/>
      <c r="I586" s="12" t="s">
        <v>12</v>
      </c>
      <c r="J586" s="246"/>
      <c r="K586" s="1"/>
      <c r="L586" s="298"/>
      <c r="M586" s="15"/>
      <c r="N586" s="15"/>
      <c r="O586" s="536" t="s">
        <v>151</v>
      </c>
      <c r="P586" s="527"/>
      <c r="Q586" s="538"/>
      <c r="R586" s="15"/>
      <c r="S586" s="15"/>
      <c r="T586" s="15"/>
      <c r="U586" s="15"/>
      <c r="V586" s="1"/>
      <c r="W586" s="1"/>
      <c r="X586" s="1"/>
      <c r="Y586" s="1"/>
      <c r="Z586" s="1"/>
      <c r="AA586" s="1"/>
      <c r="AB586" s="246"/>
    </row>
    <row r="587" spans="2:28" ht="16.5" thickBot="1">
      <c r="B587" s="11"/>
      <c r="C587" s="1"/>
      <c r="D587" s="1"/>
      <c r="E587" s="1"/>
      <c r="F587" s="1"/>
      <c r="G587" s="1"/>
      <c r="H587" s="1"/>
      <c r="I587" s="1"/>
      <c r="J587" s="246"/>
      <c r="K587" s="1"/>
      <c r="L587" s="298"/>
      <c r="M587" s="375"/>
      <c r="N587" s="15"/>
      <c r="O587" s="474" t="s">
        <v>152</v>
      </c>
      <c r="P587" s="7" t="s">
        <v>107</v>
      </c>
      <c r="Q587" s="584">
        <v>0</v>
      </c>
      <c r="R587" s="15"/>
      <c r="S587" s="12" t="s">
        <v>12</v>
      </c>
      <c r="T587" s="15"/>
      <c r="U587" s="1"/>
      <c r="V587" s="1"/>
      <c r="W587" s="1"/>
      <c r="X587" s="1"/>
      <c r="Y587" s="1"/>
      <c r="Z587" s="1"/>
      <c r="AA587" s="1"/>
      <c r="AB587" s="246"/>
    </row>
    <row r="588" spans="2:28" ht="16.5" thickBot="1">
      <c r="B588" s="11"/>
      <c r="C588" s="1"/>
      <c r="D588" s="1"/>
      <c r="E588" s="5" t="s">
        <v>153</v>
      </c>
      <c r="F588" s="347" t="s">
        <v>6</v>
      </c>
      <c r="G588" s="411" t="s">
        <v>7</v>
      </c>
      <c r="H588" s="293"/>
      <c r="I588" s="17"/>
      <c r="J588" s="246"/>
      <c r="K588" s="1"/>
      <c r="L588" s="298"/>
      <c r="M588" s="15"/>
      <c r="N588" s="15"/>
      <c r="O588" s="465" t="s">
        <v>154</v>
      </c>
      <c r="P588" s="466" t="s">
        <v>47</v>
      </c>
      <c r="Q588" s="537"/>
      <c r="R588" s="15"/>
      <c r="S588" s="12" t="s">
        <v>12</v>
      </c>
      <c r="T588" s="15"/>
      <c r="U588" s="15"/>
      <c r="V588" s="1"/>
      <c r="W588" s="1"/>
      <c r="X588" s="1"/>
      <c r="Y588" s="1"/>
      <c r="Z588" s="1"/>
      <c r="AA588" s="1"/>
      <c r="AB588" s="246"/>
    </row>
    <row r="589" spans="2:28" ht="16.5" thickBot="1">
      <c r="B589" s="11"/>
      <c r="C589" s="373"/>
      <c r="D589" s="1"/>
      <c r="E589" s="438" t="s">
        <v>155</v>
      </c>
      <c r="F589" s="525"/>
      <c r="G589" s="547" t="s">
        <v>83</v>
      </c>
      <c r="H589" s="282"/>
      <c r="I589" s="12" t="s">
        <v>12</v>
      </c>
      <c r="J589" s="246"/>
      <c r="K589" s="1"/>
      <c r="L589" s="298"/>
      <c r="M589" s="375"/>
      <c r="N589" s="15"/>
      <c r="O589" s="540" t="s">
        <v>156</v>
      </c>
      <c r="P589" s="439" t="s">
        <v>19</v>
      </c>
      <c r="Q589" s="539">
        <v>0.02</v>
      </c>
      <c r="R589" s="15"/>
      <c r="S589" s="12" t="s">
        <v>12</v>
      </c>
      <c r="T589" s="15"/>
      <c r="U589" s="1"/>
      <c r="V589" s="1"/>
      <c r="W589" s="1"/>
      <c r="X589" s="1"/>
      <c r="Y589" s="1"/>
      <c r="Z589" s="1"/>
      <c r="AA589" s="1"/>
      <c r="AB589" s="246"/>
    </row>
    <row r="590" spans="2:28" ht="16.5" thickBot="1">
      <c r="B590" s="11"/>
      <c r="C590" s="369"/>
      <c r="D590" s="1">
        <f>IF(OR(G590&lt;0,G590=""),1,0)</f>
        <v>0</v>
      </c>
      <c r="E590" s="458" t="s">
        <v>157</v>
      </c>
      <c r="F590" s="450" t="s">
        <v>19</v>
      </c>
      <c r="G590" s="548">
        <v>0.21</v>
      </c>
      <c r="H590" s="270"/>
      <c r="I590" s="12" t="s">
        <v>12</v>
      </c>
      <c r="J590" s="403"/>
      <c r="K590" s="1"/>
      <c r="L590" s="11"/>
      <c r="M590" s="1"/>
      <c r="N590" s="1"/>
      <c r="O590" s="1"/>
      <c r="P590" s="1"/>
      <c r="Q590" s="1"/>
      <c r="R590" s="1"/>
      <c r="S590" s="1"/>
      <c r="T590" s="1"/>
      <c r="U590" s="1"/>
      <c r="V590" s="1"/>
      <c r="W590" s="1"/>
      <c r="X590" s="1"/>
      <c r="Y590" s="1"/>
      <c r="Z590" s="1"/>
      <c r="AA590" s="1"/>
      <c r="AB590" s="246"/>
    </row>
    <row r="591" spans="2:28" ht="16.5" thickBot="1">
      <c r="B591" s="11"/>
      <c r="C591" s="373"/>
      <c r="D591" s="1"/>
      <c r="E591" s="513" t="s">
        <v>75</v>
      </c>
      <c r="F591" s="549"/>
      <c r="G591" s="517" t="s">
        <v>76</v>
      </c>
      <c r="H591" s="282"/>
      <c r="I591" s="12" t="s">
        <v>12</v>
      </c>
      <c r="J591" s="246"/>
      <c r="K591" s="1"/>
      <c r="L591" s="11"/>
      <c r="M591" s="15"/>
      <c r="N591" s="15"/>
      <c r="O591" s="348" t="s">
        <v>158</v>
      </c>
      <c r="P591" s="432" t="s">
        <v>159</v>
      </c>
      <c r="Q591" s="432"/>
      <c r="R591" s="432"/>
      <c r="S591" s="432"/>
      <c r="T591" s="432"/>
      <c r="U591" s="432"/>
      <c r="V591" s="432"/>
      <c r="W591" s="432"/>
      <c r="X591" s="432"/>
      <c r="Y591" s="432"/>
      <c r="Z591" s="315"/>
      <c r="AA591" s="1"/>
      <c r="AB591" s="246"/>
    </row>
    <row r="592" spans="2:28" ht="15.75">
      <c r="B592" s="11"/>
      <c r="C592" s="369"/>
      <c r="D592" s="1">
        <f>IF(OR(G592&lt;0,G592=""),1,0)</f>
        <v>0</v>
      </c>
      <c r="E592" s="458" t="s">
        <v>160</v>
      </c>
      <c r="F592" s="450" t="s">
        <v>19</v>
      </c>
      <c r="G592" s="682">
        <v>0.09</v>
      </c>
      <c r="H592" s="270"/>
      <c r="I592" s="12" t="s">
        <v>12</v>
      </c>
      <c r="J592" s="403"/>
      <c r="K592" s="1"/>
      <c r="L592" s="11"/>
      <c r="M592" s="373"/>
      <c r="N592" s="15"/>
      <c r="O592" s="515" t="s">
        <v>161</v>
      </c>
      <c r="P592" s="496" t="str">
        <f>[2]Input_Dashboard!$D$141</f>
        <v>No</v>
      </c>
      <c r="Q592" s="1"/>
      <c r="R592" s="1"/>
      <c r="S592" s="419" t="s">
        <v>12</v>
      </c>
      <c r="T592" s="1"/>
      <c r="U592" s="1"/>
      <c r="V592" s="1"/>
      <c r="W592" s="1"/>
      <c r="X592" s="1"/>
      <c r="Y592" s="1"/>
      <c r="Z592" s="246"/>
      <c r="AA592" s="1"/>
      <c r="AB592" s="246"/>
    </row>
    <row r="593" spans="2:28" ht="16.5" thickBot="1">
      <c r="B593" s="11"/>
      <c r="C593" s="373"/>
      <c r="D593" s="1"/>
      <c r="E593" s="513" t="s">
        <v>162</v>
      </c>
      <c r="F593" s="549"/>
      <c r="G593" s="517" t="s">
        <v>76</v>
      </c>
      <c r="H593" s="282"/>
      <c r="I593" s="12" t="s">
        <v>12</v>
      </c>
      <c r="J593" s="403"/>
      <c r="K593" s="1"/>
      <c r="L593" s="11"/>
      <c r="M593" s="375"/>
      <c r="N593" s="1"/>
      <c r="O593" s="455" t="s">
        <v>163</v>
      </c>
      <c r="P593" s="683">
        <f>[2]Input_Dashboard!D658</f>
        <v>0</v>
      </c>
      <c r="Q593" s="1"/>
      <c r="R593" s="1"/>
      <c r="S593" s="12" t="s">
        <v>12</v>
      </c>
      <c r="T593" s="1"/>
      <c r="U593" s="1"/>
      <c r="V593" s="1"/>
      <c r="W593" s="1"/>
      <c r="X593" s="1"/>
      <c r="Y593" s="1"/>
      <c r="Z593" s="246"/>
      <c r="AA593" s="1"/>
      <c r="AB593" s="246"/>
    </row>
    <row r="594" spans="2:28" ht="16.5" thickBot="1">
      <c r="B594" s="11"/>
      <c r="C594" s="1"/>
      <c r="D594" s="1"/>
      <c r="E594" s="550" t="s">
        <v>164</v>
      </c>
      <c r="F594" s="551" t="s">
        <v>19</v>
      </c>
      <c r="G594" s="552"/>
      <c r="H594" s="295"/>
      <c r="I594" s="12" t="s">
        <v>12</v>
      </c>
      <c r="J594" s="403"/>
      <c r="K594" s="1"/>
      <c r="L594" s="11"/>
      <c r="M594" s="1"/>
      <c r="N594" s="1"/>
      <c r="O594" s="296"/>
      <c r="P594" s="40"/>
      <c r="Q594" s="40"/>
      <c r="R594" s="40"/>
      <c r="S594" s="40"/>
      <c r="T594" s="40"/>
      <c r="U594" s="40"/>
      <c r="V594" s="40"/>
      <c r="W594" s="40"/>
      <c r="X594" s="40"/>
      <c r="Y594" s="40"/>
      <c r="Z594" s="305"/>
      <c r="AA594" s="1"/>
      <c r="AB594" s="246"/>
    </row>
    <row r="595" spans="2:28" ht="16.5" thickBot="1">
      <c r="B595" s="11"/>
      <c r="C595" s="1"/>
      <c r="D595" s="1"/>
      <c r="E595" s="455" t="s">
        <v>158</v>
      </c>
      <c r="F595" s="498"/>
      <c r="G595" s="499" t="s">
        <v>165</v>
      </c>
      <c r="H595" s="55"/>
      <c r="I595" s="12" t="s">
        <v>12</v>
      </c>
      <c r="J595" s="246"/>
      <c r="K595" s="1"/>
      <c r="L595" s="11"/>
      <c r="M595" s="15"/>
      <c r="N595" s="15"/>
      <c r="O595" s="542" t="s">
        <v>166</v>
      </c>
      <c r="P595" s="543" t="s">
        <v>167</v>
      </c>
      <c r="Q595" s="648" t="s">
        <v>168</v>
      </c>
      <c r="R595" s="775" t="s">
        <v>169</v>
      </c>
      <c r="S595" s="776"/>
      <c r="T595" s="777"/>
      <c r="U595" s="543" t="s">
        <v>170</v>
      </c>
      <c r="V595" s="543" t="s">
        <v>171</v>
      </c>
      <c r="W595" s="543" t="s">
        <v>172</v>
      </c>
      <c r="X595" s="543" t="s">
        <v>173</v>
      </c>
      <c r="Y595" s="543" t="s">
        <v>174</v>
      </c>
      <c r="Z595" s="544" t="s">
        <v>175</v>
      </c>
      <c r="AA595" s="1"/>
      <c r="AB595" s="246"/>
    </row>
    <row r="596" spans="2:28" ht="16.5" thickBot="1">
      <c r="B596" s="11"/>
      <c r="C596" s="1"/>
      <c r="D596" s="1"/>
      <c r="E596" s="1"/>
      <c r="F596" s="1"/>
      <c r="G596" s="1"/>
      <c r="H596" s="1"/>
      <c r="I596" s="1"/>
      <c r="J596" s="246"/>
      <c r="K596" s="1"/>
      <c r="L596" s="11">
        <f>IF(AND($G$73="Yes",$G$15="Simple"),1,0)</f>
        <v>0</v>
      </c>
      <c r="M596" s="15"/>
      <c r="N596" s="230">
        <f>IF(AND($G$15="Simple",SUM(P596:Z596)=1),1,IF(AND($G$15="Simple",SUM(P596:Z596)&lt;&gt;1),2,0))</f>
        <v>0</v>
      </c>
      <c r="O596" s="545" t="str">
        <f t="shared" ref="O596:O601" si="6">E532</f>
        <v>Total Installed Cost</v>
      </c>
      <c r="P596" s="590">
        <v>0.94</v>
      </c>
      <c r="Q596" s="649">
        <v>0</v>
      </c>
      <c r="R596" s="778">
        <v>1.4999999999999999E-2</v>
      </c>
      <c r="S596" s="779"/>
      <c r="T596" s="780"/>
      <c r="U596" s="590">
        <v>0.01</v>
      </c>
      <c r="V596" s="590">
        <v>0</v>
      </c>
      <c r="W596" s="590">
        <v>0</v>
      </c>
      <c r="X596" s="590">
        <v>0.01</v>
      </c>
      <c r="Y596" s="590">
        <v>0</v>
      </c>
      <c r="Z596" s="593">
        <v>2.5000000000000001E-2</v>
      </c>
      <c r="AA596" s="1"/>
      <c r="AB596" s="294" t="s">
        <v>12</v>
      </c>
    </row>
    <row r="597" spans="2:28" ht="16.5" thickBot="1">
      <c r="B597" s="296"/>
      <c r="C597" s="40"/>
      <c r="D597" s="40"/>
      <c r="E597" s="40"/>
      <c r="F597" s="40"/>
      <c r="G597" s="40"/>
      <c r="H597" s="40"/>
      <c r="I597" s="40"/>
      <c r="J597" s="305"/>
      <c r="K597" s="1"/>
      <c r="L597" s="11">
        <f>IF(AND($G$73="Yes",$G$15="Intermediate"),1,0)</f>
        <v>1</v>
      </c>
      <c r="M597" s="15"/>
      <c r="N597" s="230">
        <f>IF(AND($G$15="Intermediate",SUM(P597:Z597)=1),1,IF(AND($G$15="Intermediate",SUM(P597:Z597)&lt;&gt;1),2,0))</f>
        <v>1</v>
      </c>
      <c r="O597" s="595" t="str">
        <f t="shared" si="6"/>
        <v>Generation Equipment</v>
      </c>
      <c r="P597" s="723">
        <v>0.96</v>
      </c>
      <c r="Q597" s="724">
        <v>0</v>
      </c>
      <c r="R597" s="781">
        <v>0.02</v>
      </c>
      <c r="S597" s="782"/>
      <c r="T597" s="783"/>
      <c r="U597" s="725">
        <v>0</v>
      </c>
      <c r="V597" s="725">
        <v>0</v>
      </c>
      <c r="W597" s="725">
        <v>0</v>
      </c>
      <c r="X597" s="725">
        <v>0.02</v>
      </c>
      <c r="Y597" s="725">
        <v>0</v>
      </c>
      <c r="Z597" s="726">
        <v>0</v>
      </c>
      <c r="AA597" s="1"/>
      <c r="AB597" s="294" t="s">
        <v>12</v>
      </c>
    </row>
    <row r="598" spans="2:28" ht="15.75">
      <c r="B598" s="1"/>
      <c r="C598" s="1"/>
      <c r="D598" s="1"/>
      <c r="E598" s="1"/>
      <c r="F598" s="1"/>
      <c r="G598" s="1"/>
      <c r="H598" s="1"/>
      <c r="I598" s="1"/>
      <c r="J598" s="1"/>
      <c r="K598" s="1"/>
      <c r="L598" s="11">
        <f>IF(AND($G$73="Yes",$G$15="Intermediate"),1,0)</f>
        <v>1</v>
      </c>
      <c r="M598" s="15"/>
      <c r="N598" s="230">
        <f>IF(AND($G$15="Intermediate",SUM(P598:Z598)=1),1,IF(AND($G$15="Intermediate",SUM(P598:Z598)&lt;&gt;1),2,0))</f>
        <v>1</v>
      </c>
      <c r="O598" s="596" t="str">
        <f t="shared" si="6"/>
        <v>Balance of Plant</v>
      </c>
      <c r="P598" s="723">
        <v>0.5</v>
      </c>
      <c r="Q598" s="724">
        <v>0</v>
      </c>
      <c r="R598" s="784">
        <v>0</v>
      </c>
      <c r="S598" s="785"/>
      <c r="T598" s="786"/>
      <c r="U598" s="724">
        <v>0</v>
      </c>
      <c r="V598" s="724">
        <v>0</v>
      </c>
      <c r="W598" s="724">
        <v>0.5</v>
      </c>
      <c r="X598" s="724">
        <v>0</v>
      </c>
      <c r="Y598" s="724">
        <v>0</v>
      </c>
      <c r="Z598" s="727">
        <v>0</v>
      </c>
      <c r="AA598" s="1"/>
      <c r="AB598" s="294" t="s">
        <v>12</v>
      </c>
    </row>
    <row r="599" spans="2:28" ht="15.75">
      <c r="B599" s="1"/>
      <c r="C599" s="1"/>
      <c r="D599" s="1"/>
      <c r="E599" s="1"/>
      <c r="F599" s="1"/>
      <c r="G599" s="1"/>
      <c r="H599" s="1"/>
      <c r="I599" s="1"/>
      <c r="J599" s="1"/>
      <c r="K599" s="1"/>
      <c r="L599" s="11">
        <f>IF(AND($G$73="Yes",$G$15="Intermediate"),1,0)</f>
        <v>1</v>
      </c>
      <c r="M599" s="15"/>
      <c r="N599" s="230">
        <f>IF(AND($G$15="Intermediate",SUM(P599:Z599)=1),1,IF(AND($G$15="Intermediate",SUM(P599:Z599)&lt;&gt;1),2,0))</f>
        <v>1</v>
      </c>
      <c r="O599" s="596" t="str">
        <f t="shared" si="6"/>
        <v>Interconnection</v>
      </c>
      <c r="P599" s="723">
        <v>0</v>
      </c>
      <c r="Q599" s="724">
        <v>0</v>
      </c>
      <c r="R599" s="784">
        <v>0</v>
      </c>
      <c r="S599" s="785"/>
      <c r="T599" s="786"/>
      <c r="U599" s="724">
        <v>0</v>
      </c>
      <c r="V599" s="724">
        <v>0</v>
      </c>
      <c r="W599" s="724">
        <v>1</v>
      </c>
      <c r="X599" s="724">
        <v>0</v>
      </c>
      <c r="Y599" s="724">
        <v>0</v>
      </c>
      <c r="Z599" s="727">
        <v>0</v>
      </c>
      <c r="AA599" s="1"/>
      <c r="AB599" s="294" t="s">
        <v>12</v>
      </c>
    </row>
    <row r="600" spans="2:28" ht="15.75">
      <c r="B600" s="1"/>
      <c r="C600" s="1"/>
      <c r="D600" s="1"/>
      <c r="E600" s="1"/>
      <c r="F600" s="1"/>
      <c r="G600" s="1"/>
      <c r="H600" s="1"/>
      <c r="I600" s="1"/>
      <c r="J600" s="1"/>
      <c r="K600" s="1"/>
      <c r="L600" s="11">
        <f>IF(AND($G$73="Yes",$G$15="Intermediate"),1,0)</f>
        <v>1</v>
      </c>
      <c r="M600" s="15"/>
      <c r="N600" s="230">
        <f>IF(AND($G$15="Intermediate",SUM(P600:Z600)=1),1,IF(AND($G$15="Intermediate",SUM(P600:Z600)&lt;&gt;1),2,0))</f>
        <v>1</v>
      </c>
      <c r="O600" s="596" t="str">
        <f t="shared" si="6"/>
        <v>Development Costs &amp; Fee</v>
      </c>
      <c r="P600" s="723">
        <v>0.8</v>
      </c>
      <c r="Q600" s="724">
        <v>0</v>
      </c>
      <c r="R600" s="784">
        <v>0</v>
      </c>
      <c r="S600" s="785"/>
      <c r="T600" s="786"/>
      <c r="U600" s="724">
        <v>0</v>
      </c>
      <c r="V600" s="724">
        <v>0</v>
      </c>
      <c r="W600" s="724">
        <v>0.05</v>
      </c>
      <c r="X600" s="724">
        <v>0.05</v>
      </c>
      <c r="Y600" s="724">
        <v>0</v>
      </c>
      <c r="Z600" s="727">
        <v>0.1</v>
      </c>
      <c r="AA600" s="1"/>
      <c r="AB600" s="294" t="s">
        <v>12</v>
      </c>
    </row>
    <row r="601" spans="2:28" ht="16.5" thickBot="1">
      <c r="B601" s="1"/>
      <c r="C601" s="1"/>
      <c r="D601" s="1"/>
      <c r="E601" s="1"/>
      <c r="F601" s="1"/>
      <c r="G601" s="1"/>
      <c r="H601" s="1"/>
      <c r="I601" s="1"/>
      <c r="J601" s="1"/>
      <c r="K601" s="1"/>
      <c r="L601" s="11">
        <f>IF(AND($G$73="Yes",$G$15="Intermediate"),1,0)</f>
        <v>1</v>
      </c>
      <c r="M601" s="15"/>
      <c r="N601" s="230">
        <f>IF(AND($G$15="Intermediate",SUM(P601:Z601)=1),1,IF(AND($G$15="Intermediate",SUM(P601:Z601)&lt;&gt;1),2,0))</f>
        <v>1</v>
      </c>
      <c r="O601" s="597" t="str">
        <f t="shared" si="6"/>
        <v>Reserves &amp; Financing Costs</v>
      </c>
      <c r="P601" s="728">
        <v>0</v>
      </c>
      <c r="Q601" s="729">
        <v>0</v>
      </c>
      <c r="R601" s="766">
        <v>0</v>
      </c>
      <c r="S601" s="767"/>
      <c r="T601" s="768"/>
      <c r="U601" s="729">
        <v>0</v>
      </c>
      <c r="V601" s="729">
        <v>0</v>
      </c>
      <c r="W601" s="729">
        <v>0</v>
      </c>
      <c r="X601" s="729">
        <v>0.5</v>
      </c>
      <c r="Y601" s="729">
        <v>0</v>
      </c>
      <c r="Z601" s="730">
        <v>0.5</v>
      </c>
      <c r="AA601" s="1"/>
      <c r="AB601" s="294" t="s">
        <v>12</v>
      </c>
    </row>
    <row r="602" spans="2:28" ht="16.5" thickBot="1">
      <c r="B602" s="1"/>
      <c r="C602" s="1"/>
      <c r="D602" s="1"/>
      <c r="E602" s="1"/>
      <c r="F602" s="1"/>
      <c r="G602" s="1"/>
      <c r="H602" s="1"/>
      <c r="I602" s="1"/>
      <c r="J602" s="1"/>
      <c r="K602" s="1"/>
      <c r="L602" s="296">
        <f>IF(AND($G$73="Yes",$G$15="Complex"),1,0)</f>
        <v>0</v>
      </c>
      <c r="M602" s="647"/>
      <c r="N602" s="647"/>
      <c r="O602" s="546" t="s">
        <v>176</v>
      </c>
      <c r="P602" s="591"/>
      <c r="Q602" s="592"/>
      <c r="R602" s="769"/>
      <c r="S602" s="770"/>
      <c r="T602" s="771"/>
      <c r="U602" s="591"/>
      <c r="V602" s="591"/>
      <c r="W602" s="591"/>
      <c r="X602" s="591"/>
      <c r="Y602" s="591"/>
      <c r="Z602" s="594"/>
      <c r="AA602" s="40"/>
      <c r="AB602" s="421" t="s">
        <v>12</v>
      </c>
    </row>
    <row r="604" spans="2:28" ht="36.75" thickBot="1">
      <c r="E604" s="731" t="s">
        <v>183</v>
      </c>
    </row>
    <row r="605" spans="2:28" ht="18.75" thickBot="1">
      <c r="B605" s="413"/>
      <c r="C605" s="772" t="s">
        <v>1</v>
      </c>
      <c r="D605" s="772"/>
      <c r="E605" s="772"/>
      <c r="F605" s="772"/>
      <c r="G605" s="772"/>
      <c r="H605" s="772"/>
      <c r="I605" s="772"/>
      <c r="J605" s="772"/>
      <c r="K605" s="772"/>
      <c r="L605" s="773"/>
      <c r="M605" s="773"/>
      <c r="N605" s="773"/>
      <c r="O605" s="773"/>
      <c r="P605" s="773"/>
      <c r="Q605" s="773"/>
      <c r="R605" s="773"/>
      <c r="S605" s="773"/>
      <c r="T605" s="773"/>
      <c r="U605" s="328"/>
      <c r="V605" s="329"/>
      <c r="W605" s="329"/>
      <c r="X605" s="329"/>
      <c r="Y605" s="329"/>
      <c r="Z605" s="329"/>
      <c r="AA605" s="329"/>
      <c r="AB605" s="330"/>
    </row>
    <row r="606" spans="2:28" ht="18">
      <c r="B606" s="11"/>
      <c r="C606" s="266"/>
      <c r="D606" s="266"/>
      <c r="E606" s="266"/>
      <c r="F606" s="266"/>
      <c r="G606" s="266"/>
      <c r="H606" s="266"/>
      <c r="I606" s="266"/>
      <c r="J606" s="266"/>
      <c r="K606" s="341"/>
      <c r="L606" s="265"/>
      <c r="M606" s="266"/>
      <c r="N606" s="266"/>
      <c r="O606" s="266"/>
      <c r="P606" s="266"/>
      <c r="Q606" s="266"/>
      <c r="R606" s="266"/>
      <c r="S606" s="266"/>
      <c r="T606" s="266"/>
      <c r="U606" s="266"/>
      <c r="V606" s="267"/>
      <c r="W606" s="267"/>
      <c r="X606" s="267"/>
      <c r="Y606" s="267"/>
      <c r="Z606" s="267"/>
      <c r="AA606" s="267"/>
      <c r="AB606" s="297"/>
    </row>
    <row r="607" spans="2:28" ht="18.75" thickBot="1">
      <c r="B607" s="11"/>
      <c r="C607" s="401" t="s">
        <v>2</v>
      </c>
      <c r="D607" s="14"/>
      <c r="E607" s="1"/>
      <c r="F607" s="15"/>
      <c r="G607" s="1"/>
      <c r="H607" s="392"/>
      <c r="I607" s="414" t="s">
        <v>3</v>
      </c>
      <c r="J607" s="1"/>
      <c r="K607" s="342"/>
      <c r="L607" s="298"/>
      <c r="M607" s="401" t="s">
        <v>2</v>
      </c>
      <c r="N607" s="15"/>
      <c r="O607" s="774" t="s">
        <v>4</v>
      </c>
      <c r="P607" s="774"/>
      <c r="Q607" s="420"/>
      <c r="R607" s="15"/>
      <c r="S607" s="401" t="s">
        <v>3</v>
      </c>
      <c r="T607" s="393"/>
      <c r="U607" s="14"/>
      <c r="V607" s="1"/>
      <c r="W607" s="1"/>
      <c r="X607" s="1"/>
      <c r="Y607" s="1"/>
      <c r="Z607" s="1"/>
      <c r="AA607" s="1"/>
      <c r="AB607" s="246"/>
    </row>
    <row r="608" spans="2:28" ht="18.75" thickBot="1">
      <c r="B608" s="415"/>
      <c r="C608" s="267"/>
      <c r="D608" s="267"/>
      <c r="E608" s="20"/>
      <c r="F608" s="16"/>
      <c r="G608" s="19"/>
      <c r="H608" s="416"/>
      <c r="I608" s="417"/>
      <c r="J608" s="418"/>
      <c r="K608" s="15"/>
      <c r="L608" s="415"/>
      <c r="M608" s="267"/>
      <c r="N608" s="267"/>
      <c r="O608" s="267"/>
      <c r="P608" s="267"/>
      <c r="Q608" s="267"/>
      <c r="R608" s="267"/>
      <c r="S608" s="267"/>
      <c r="T608" s="267"/>
      <c r="U608" s="267"/>
      <c r="V608" s="267"/>
      <c r="W608" s="267"/>
      <c r="X608" s="267"/>
      <c r="Y608" s="267"/>
      <c r="Z608" s="267"/>
      <c r="AA608" s="267"/>
      <c r="AB608" s="297"/>
    </row>
    <row r="609" spans="2:28" ht="21" thickBot="1">
      <c r="B609" s="11"/>
      <c r="C609" s="1"/>
      <c r="D609" s="1"/>
      <c r="E609" s="2" t="s">
        <v>5</v>
      </c>
      <c r="F609" s="347" t="s">
        <v>6</v>
      </c>
      <c r="G609" s="411" t="s">
        <v>7</v>
      </c>
      <c r="H609" s="57"/>
      <c r="I609" s="17"/>
      <c r="J609" s="402"/>
      <c r="K609" s="15"/>
      <c r="L609" s="11"/>
      <c r="M609" s="1"/>
      <c r="N609" s="1"/>
      <c r="O609" s="2" t="s">
        <v>8</v>
      </c>
      <c r="P609" s="347" t="s">
        <v>6</v>
      </c>
      <c r="Q609" s="411" t="s">
        <v>7</v>
      </c>
      <c r="R609" s="1"/>
      <c r="S609" s="1"/>
      <c r="T609" s="1"/>
      <c r="U609" s="645" t="s">
        <v>9</v>
      </c>
      <c r="V609" s="1"/>
      <c r="W609" s="1"/>
      <c r="X609" s="1"/>
      <c r="Y609" s="1"/>
      <c r="Z609" s="1"/>
      <c r="AA609" s="1"/>
      <c r="AB609" s="246"/>
    </row>
    <row r="610" spans="2:28" ht="15.75">
      <c r="B610" s="11"/>
      <c r="C610" s="317"/>
      <c r="D610" s="1"/>
      <c r="E610" s="458" t="s">
        <v>10</v>
      </c>
      <c r="F610" s="450" t="s">
        <v>11</v>
      </c>
      <c r="G610" s="717">
        <v>5000</v>
      </c>
      <c r="H610" s="269"/>
      <c r="I610" s="12" t="s">
        <v>12</v>
      </c>
      <c r="J610" s="403"/>
      <c r="K610" s="15"/>
      <c r="L610" s="11"/>
      <c r="M610" s="371"/>
      <c r="N610" s="1">
        <f>IF(OR(Q610&lt;=0,Q610&gt;G614),1,0)</f>
        <v>0</v>
      </c>
      <c r="O610" s="458" t="s">
        <v>13</v>
      </c>
      <c r="P610" s="450" t="s">
        <v>14</v>
      </c>
      <c r="Q610" s="667">
        <v>20</v>
      </c>
      <c r="R610" s="272"/>
      <c r="S610" s="12" t="s">
        <v>12</v>
      </c>
      <c r="T610" s="340"/>
      <c r="U610" s="656" t="s">
        <v>15</v>
      </c>
      <c r="V610" s="657" t="s">
        <v>16</v>
      </c>
      <c r="W610" s="658" t="s">
        <v>17</v>
      </c>
      <c r="X610" s="1"/>
      <c r="Y610" s="1"/>
      <c r="Z610" s="1"/>
      <c r="AA610" s="1"/>
      <c r="AB610" s="246"/>
    </row>
    <row r="611" spans="2:28" ht="15.75">
      <c r="B611" s="11"/>
      <c r="C611" s="370"/>
      <c r="D611" s="1">
        <f>IF(OR(G611&lt;=0,G611&gt;1),1,0)</f>
        <v>0</v>
      </c>
      <c r="E611" s="451" t="s">
        <v>18</v>
      </c>
      <c r="F611" s="7" t="s">
        <v>19</v>
      </c>
      <c r="G611" s="472">
        <v>0.151</v>
      </c>
      <c r="H611" s="270"/>
      <c r="I611" s="12" t="s">
        <v>12</v>
      </c>
      <c r="J611" s="403"/>
      <c r="K611" s="15"/>
      <c r="L611" s="11"/>
      <c r="M611" s="317"/>
      <c r="N611" s="1"/>
      <c r="O611" s="451" t="s">
        <v>20</v>
      </c>
      <c r="P611" s="7" t="s">
        <v>19</v>
      </c>
      <c r="Q611" s="472">
        <v>0</v>
      </c>
      <c r="R611" s="270">
        <v>0</v>
      </c>
      <c r="S611" s="12" t="s">
        <v>12</v>
      </c>
      <c r="T611" s="340"/>
      <c r="U611" s="474" t="s">
        <v>21</v>
      </c>
      <c r="V611" s="633" t="s">
        <v>22</v>
      </c>
      <c r="W611" s="646" t="s">
        <v>23</v>
      </c>
      <c r="X611" s="1"/>
      <c r="Y611" s="1"/>
      <c r="Z611" s="1"/>
      <c r="AA611" s="1"/>
      <c r="AB611" s="246"/>
    </row>
    <row r="612" spans="2:28" ht="16.5" thickBot="1">
      <c r="B612" s="11"/>
      <c r="C612" s="285"/>
      <c r="D612" s="1"/>
      <c r="E612" s="451" t="s">
        <v>24</v>
      </c>
      <c r="F612" s="8" t="s">
        <v>25</v>
      </c>
      <c r="G612" s="473"/>
      <c r="H612" s="271"/>
      <c r="I612" s="12" t="s">
        <v>12</v>
      </c>
      <c r="J612" s="403"/>
      <c r="K612" s="15"/>
      <c r="L612" s="11"/>
      <c r="M612" s="316"/>
      <c r="N612" s="1"/>
      <c r="O612" s="461" t="s">
        <v>26</v>
      </c>
      <c r="P612" s="466" t="s">
        <v>19</v>
      </c>
      <c r="Q612" s="472">
        <v>0</v>
      </c>
      <c r="R612" s="270"/>
      <c r="S612" s="12" t="s">
        <v>12</v>
      </c>
      <c r="T612" s="340"/>
      <c r="U612" s="451" t="s">
        <v>27</v>
      </c>
      <c r="V612" s="633" t="s">
        <v>22</v>
      </c>
      <c r="W612" s="646" t="s">
        <v>178</v>
      </c>
      <c r="X612" s="1"/>
      <c r="Y612" s="1"/>
      <c r="Z612" s="1"/>
      <c r="AA612" s="1"/>
      <c r="AB612" s="246"/>
    </row>
    <row r="613" spans="2:28" ht="16.5" thickBot="1">
      <c r="B613" s="11"/>
      <c r="C613" s="369"/>
      <c r="D613" s="1">
        <f>IF(OR(G613&lt;0,G613&gt;1),1,0)</f>
        <v>0</v>
      </c>
      <c r="E613" s="453" t="s">
        <v>29</v>
      </c>
      <c r="F613" s="7" t="s">
        <v>19</v>
      </c>
      <c r="G613" s="472">
        <v>5.0000000000000001E-3</v>
      </c>
      <c r="H613" s="270"/>
      <c r="I613" s="12" t="s">
        <v>12</v>
      </c>
      <c r="J613" s="403"/>
      <c r="K613" s="15"/>
      <c r="L613" s="298"/>
      <c r="M613" s="15"/>
      <c r="N613" s="15"/>
      <c r="O613" s="15"/>
      <c r="P613" s="15"/>
      <c r="Q613" s="15"/>
      <c r="R613" s="15"/>
      <c r="S613" s="15"/>
      <c r="T613" s="15"/>
      <c r="U613" s="639"/>
      <c r="V613" s="636"/>
      <c r="W613" s="640"/>
      <c r="X613" s="123"/>
      <c r="Y613" s="123"/>
      <c r="Z613" s="123"/>
      <c r="AA613" s="1"/>
      <c r="AB613" s="246"/>
    </row>
    <row r="614" spans="2:28" ht="16.5" thickBot="1">
      <c r="B614" s="11"/>
      <c r="C614" s="371"/>
      <c r="D614" s="1">
        <f>IF(OR(G614&lt;1,G614&gt;30),1,0)</f>
        <v>0</v>
      </c>
      <c r="E614" s="455" t="s">
        <v>30</v>
      </c>
      <c r="F614" s="466" t="s">
        <v>14</v>
      </c>
      <c r="G614" s="581">
        <v>30</v>
      </c>
      <c r="H614" s="272"/>
      <c r="I614" s="12" t="s">
        <v>12</v>
      </c>
      <c r="J614" s="403"/>
      <c r="K614" s="15"/>
      <c r="L614" s="298"/>
      <c r="M614" s="1"/>
      <c r="N614" s="1"/>
      <c r="O614" s="2" t="s">
        <v>31</v>
      </c>
      <c r="P614" s="3"/>
      <c r="Q614" s="4"/>
      <c r="R614" s="15"/>
      <c r="S614" s="12" t="s">
        <v>12</v>
      </c>
      <c r="T614" s="123"/>
      <c r="U614" s="474" t="s">
        <v>32</v>
      </c>
      <c r="V614" s="634" t="s">
        <v>33</v>
      </c>
      <c r="W614" s="669">
        <v>20</v>
      </c>
      <c r="X614" s="178"/>
      <c r="Y614" s="178"/>
      <c r="Z614" s="178"/>
      <c r="AA614" s="1"/>
      <c r="AB614" s="246"/>
    </row>
    <row r="615" spans="2:28" ht="16.5" thickBot="1">
      <c r="B615" s="11"/>
      <c r="C615" s="1"/>
      <c r="D615" s="1"/>
      <c r="E615" s="1"/>
      <c r="F615" s="1"/>
      <c r="G615" s="17"/>
      <c r="H615" s="17"/>
      <c r="I615" s="13"/>
      <c r="J615" s="403"/>
      <c r="K615" s="15"/>
      <c r="L615" s="298"/>
      <c r="M615" s="369"/>
      <c r="N615" s="1"/>
      <c r="O615" s="500" t="s">
        <v>34</v>
      </c>
      <c r="P615" s="501"/>
      <c r="Q615" s="502" t="s">
        <v>35</v>
      </c>
      <c r="R615" s="1"/>
      <c r="S615" s="345" t="s">
        <v>12</v>
      </c>
      <c r="T615" s="346">
        <f>IF(Q610&lt;G614,1,0)</f>
        <v>1</v>
      </c>
      <c r="U615" s="641" t="s">
        <v>36</v>
      </c>
      <c r="V615" s="635" t="s">
        <v>19</v>
      </c>
      <c r="W615" s="670">
        <v>0.02</v>
      </c>
      <c r="X615" s="1"/>
      <c r="Y615" s="123"/>
      <c r="Z615" s="123"/>
      <c r="AA615" s="1"/>
      <c r="AB615" s="246"/>
    </row>
    <row r="616" spans="2:28" ht="16.5" thickBot="1">
      <c r="B616" s="11"/>
      <c r="C616" s="1"/>
      <c r="D616" s="1"/>
      <c r="E616" s="10" t="s">
        <v>37</v>
      </c>
      <c r="F616" s="347" t="s">
        <v>6</v>
      </c>
      <c r="G616" s="411" t="s">
        <v>7</v>
      </c>
      <c r="H616" s="283"/>
      <c r="I616" s="13"/>
      <c r="J616" s="403"/>
      <c r="K616" s="15"/>
      <c r="L616" s="298"/>
      <c r="M616" s="369"/>
      <c r="N616" s="1">
        <f>IF(OR(Q616&lt;=0,Q616=""),1,0)</f>
        <v>0</v>
      </c>
      <c r="O616" s="503" t="s">
        <v>38</v>
      </c>
      <c r="P616" s="343" t="s">
        <v>39</v>
      </c>
      <c r="Q616" s="504">
        <v>5</v>
      </c>
      <c r="R616" s="1"/>
      <c r="S616" s="345" t="s">
        <v>12</v>
      </c>
      <c r="T616" s="346">
        <f>IF(AND($Q$8&lt;$G$12,$Q$13="Year One"),1,0)</f>
        <v>0</v>
      </c>
      <c r="U616" s="642"/>
      <c r="V616" s="637"/>
      <c r="W616" s="643"/>
      <c r="X616" s="1"/>
      <c r="Y616" s="123"/>
      <c r="Z616" s="123"/>
      <c r="AA616" s="1"/>
      <c r="AB616" s="246"/>
    </row>
    <row r="617" spans="2:28" ht="16.5" thickBot="1">
      <c r="B617" s="11"/>
      <c r="C617" s="318"/>
      <c r="D617" s="1"/>
      <c r="E617" s="438" t="s">
        <v>40</v>
      </c>
      <c r="F617" s="439"/>
      <c r="G617" s="440" t="s">
        <v>41</v>
      </c>
      <c r="H617" s="281"/>
      <c r="I617" s="12" t="s">
        <v>12</v>
      </c>
      <c r="J617" s="403"/>
      <c r="K617" s="15"/>
      <c r="L617" s="298"/>
      <c r="M617" s="369"/>
      <c r="N617" s="1">
        <f>IF(OR(Q617&lt;=0,Q617=""),1,0)</f>
        <v>0</v>
      </c>
      <c r="O617" s="505" t="s">
        <v>42</v>
      </c>
      <c r="P617" s="344" t="s">
        <v>19</v>
      </c>
      <c r="Q617" s="506">
        <v>0.03</v>
      </c>
      <c r="R617" s="1"/>
      <c r="S617" s="368" t="s">
        <v>12</v>
      </c>
      <c r="T617" s="346">
        <f>IF(AND($Q$8&lt;$G$12,$Q$13="Year One"),1,0)</f>
        <v>0</v>
      </c>
      <c r="U617" s="451" t="s">
        <v>43</v>
      </c>
      <c r="V617" s="633" t="s">
        <v>19</v>
      </c>
      <c r="W617" s="581">
        <v>0</v>
      </c>
      <c r="X617" s="1"/>
      <c r="Y617" s="123"/>
      <c r="Z617" s="123"/>
      <c r="AA617" s="1"/>
      <c r="AB617" s="246"/>
    </row>
    <row r="618" spans="2:28" ht="16.5" thickBot="1">
      <c r="B618" s="11"/>
      <c r="C618" s="319"/>
      <c r="D618" s="1"/>
      <c r="E618" s="441" t="s">
        <v>44</v>
      </c>
      <c r="F618" s="442" t="s">
        <v>33</v>
      </c>
      <c r="G618" s="443">
        <v>2500</v>
      </c>
      <c r="H618" s="273"/>
      <c r="I618" s="366" t="s">
        <v>12</v>
      </c>
      <c r="J618" s="404"/>
      <c r="K618" s="15"/>
      <c r="L618" s="298"/>
      <c r="M618" s="1"/>
      <c r="N618" s="1"/>
      <c r="O618" s="507" t="str">
        <f>IF(OR($Q$13="Year One",$Q$8=$G$12),"","Click Here for Complex Input Worksheet")</f>
        <v>Click Here for Complex Input Worksheet</v>
      </c>
      <c r="P618" s="508"/>
      <c r="Q618" s="509"/>
      <c r="R618" s="1"/>
      <c r="S618" s="366" t="s">
        <v>12</v>
      </c>
      <c r="T618" s="346">
        <f>IF(AND($Q$8&lt;$G$12,$Q$13="Year-by-Year"),1,0)</f>
        <v>1</v>
      </c>
      <c r="U618" s="451" t="s">
        <v>45</v>
      </c>
      <c r="V618" s="633" t="s">
        <v>19</v>
      </c>
      <c r="W618" s="670">
        <v>0.02</v>
      </c>
      <c r="X618" s="123"/>
      <c r="Y618" s="123"/>
      <c r="Z618" s="123"/>
      <c r="AA618" s="1"/>
      <c r="AB618" s="246"/>
    </row>
    <row r="619" spans="2:28" ht="16.5" thickBot="1">
      <c r="B619" s="11"/>
      <c r="C619" s="320"/>
      <c r="D619" s="1"/>
      <c r="E619" s="444" t="s">
        <v>46</v>
      </c>
      <c r="F619" s="343" t="s">
        <v>47</v>
      </c>
      <c r="G619" s="718">
        <v>12252006.829041246</v>
      </c>
      <c r="H619" s="274"/>
      <c r="I619" s="366" t="s">
        <v>12</v>
      </c>
      <c r="J619" s="403"/>
      <c r="K619" s="15"/>
      <c r="L619" s="298"/>
      <c r="M619" s="1"/>
      <c r="N619" s="1"/>
      <c r="O619" s="1"/>
      <c r="P619" s="1"/>
      <c r="Q619" s="1"/>
      <c r="R619" s="1"/>
      <c r="S619" s="1"/>
      <c r="T619" s="179"/>
      <c r="U619" s="644"/>
      <c r="V619" s="638"/>
      <c r="W619" s="643"/>
      <c r="X619" s="123"/>
      <c r="Y619" s="123"/>
      <c r="Z619" s="123"/>
      <c r="AA619" s="1"/>
      <c r="AB619" s="246"/>
    </row>
    <row r="620" spans="2:28" ht="16.5" thickBot="1">
      <c r="B620" s="11"/>
      <c r="C620" s="376"/>
      <c r="D620" s="1"/>
      <c r="E620" s="444" t="s">
        <v>48</v>
      </c>
      <c r="F620" s="343" t="s">
        <v>47</v>
      </c>
      <c r="G620" s="718">
        <v>0</v>
      </c>
      <c r="H620" s="274"/>
      <c r="I620" s="366" t="s">
        <v>12</v>
      </c>
      <c r="J620" s="403"/>
      <c r="K620" s="15"/>
      <c r="L620" s="298"/>
      <c r="M620" s="1"/>
      <c r="N620" s="1"/>
      <c r="O620" s="5" t="s">
        <v>49</v>
      </c>
      <c r="P620" s="347" t="s">
        <v>6</v>
      </c>
      <c r="Q620" s="411" t="s">
        <v>7</v>
      </c>
      <c r="R620" s="120"/>
      <c r="S620" s="13"/>
      <c r="T620" s="179"/>
      <c r="U620" s="641" t="s">
        <v>50</v>
      </c>
      <c r="V620" s="257" t="s">
        <v>47</v>
      </c>
      <c r="W620" s="581">
        <v>0</v>
      </c>
      <c r="X620" s="123"/>
      <c r="Y620" s="1"/>
      <c r="Z620" s="1"/>
      <c r="AA620" s="1"/>
      <c r="AB620" s="246"/>
    </row>
    <row r="621" spans="2:28" ht="16.5" thickBot="1">
      <c r="B621" s="11"/>
      <c r="C621" s="376"/>
      <c r="D621" s="1"/>
      <c r="E621" s="444" t="s">
        <v>51</v>
      </c>
      <c r="F621" s="343" t="s">
        <v>47</v>
      </c>
      <c r="G621" s="718">
        <v>0</v>
      </c>
      <c r="H621" s="274"/>
      <c r="I621" s="366" t="s">
        <v>12</v>
      </c>
      <c r="J621" s="403"/>
      <c r="K621" s="15"/>
      <c r="L621" s="298"/>
      <c r="M621" s="374"/>
      <c r="N621" s="1"/>
      <c r="O621" s="518" t="s">
        <v>52</v>
      </c>
      <c r="P621" s="519"/>
      <c r="Q621" s="520" t="s">
        <v>53</v>
      </c>
      <c r="R621" s="1"/>
      <c r="S621" s="12" t="s">
        <v>12</v>
      </c>
      <c r="T621" s="1"/>
      <c r="U621" s="489" t="s">
        <v>54</v>
      </c>
      <c r="V621" s="719" t="s">
        <v>55</v>
      </c>
      <c r="W621" s="720">
        <v>0</v>
      </c>
      <c r="X621" s="1"/>
      <c r="Y621" s="1"/>
      <c r="Z621" s="1"/>
      <c r="AA621" s="1"/>
      <c r="AB621" s="246"/>
    </row>
    <row r="622" spans="2:28" ht="15.75">
      <c r="B622" s="11"/>
      <c r="C622" s="376"/>
      <c r="D622" s="1"/>
      <c r="E622" s="604" t="s">
        <v>56</v>
      </c>
      <c r="F622" s="343" t="s">
        <v>47</v>
      </c>
      <c r="G622" s="721">
        <v>0</v>
      </c>
      <c r="H622" s="274"/>
      <c r="I622" s="366" t="s">
        <v>12</v>
      </c>
      <c r="J622" s="403"/>
      <c r="K622" s="15"/>
      <c r="L622" s="298"/>
      <c r="M622" s="374"/>
      <c r="N622" s="1"/>
      <c r="O622" s="458" t="s">
        <v>57</v>
      </c>
      <c r="P622" s="450"/>
      <c r="Q622" s="496" t="s">
        <v>58</v>
      </c>
      <c r="R622" s="15"/>
      <c r="S622" s="12" t="s">
        <v>12</v>
      </c>
      <c r="T622" s="15"/>
      <c r="U622" s="1"/>
      <c r="V622" s="1"/>
      <c r="W622" s="1"/>
      <c r="X622" s="1"/>
      <c r="Y622" s="1"/>
      <c r="Z622" s="1"/>
      <c r="AA622" s="1"/>
      <c r="AB622" s="246"/>
    </row>
    <row r="623" spans="2:28" ht="15.75">
      <c r="B623" s="11"/>
      <c r="C623" s="321"/>
      <c r="D623" s="1"/>
      <c r="E623" s="444" t="s">
        <v>59</v>
      </c>
      <c r="F623" s="343" t="s">
        <v>47</v>
      </c>
      <c r="G623" s="445"/>
      <c r="H623" s="275"/>
      <c r="I623" s="366" t="s">
        <v>12</v>
      </c>
      <c r="J623" s="403"/>
      <c r="K623" s="15"/>
      <c r="L623" s="298"/>
      <c r="M623" s="374"/>
      <c r="N623" s="1">
        <f>IF(OR(Q623&lt;0,Q623&gt;1,Q623=""),1,0)</f>
        <v>0</v>
      </c>
      <c r="O623" s="468" t="s">
        <v>60</v>
      </c>
      <c r="P623" s="6" t="s">
        <v>19</v>
      </c>
      <c r="Q623" s="674">
        <v>0.3</v>
      </c>
      <c r="R623" s="15"/>
      <c r="S623" s="12" t="s">
        <v>12</v>
      </c>
      <c r="T623" s="15"/>
      <c r="U623" s="1"/>
      <c r="V623" s="1"/>
      <c r="W623" s="1"/>
      <c r="X623" s="1"/>
      <c r="Y623" s="1"/>
      <c r="Z623" s="1"/>
      <c r="AA623" s="1"/>
      <c r="AB623" s="246"/>
    </row>
    <row r="624" spans="2:28" ht="16.5" thickBot="1">
      <c r="B624" s="11"/>
      <c r="C624" s="321"/>
      <c r="D624" s="1"/>
      <c r="E624" s="446" t="s">
        <v>61</v>
      </c>
      <c r="F624" s="447" t="str">
        <f>IF($G$15="Complex","$","")</f>
        <v/>
      </c>
      <c r="G624" s="448"/>
      <c r="H624" s="276"/>
      <c r="I624" s="366" t="s">
        <v>12</v>
      </c>
      <c r="J624" s="403"/>
      <c r="K624" s="15"/>
      <c r="L624" s="298"/>
      <c r="M624" s="369"/>
      <c r="N624" s="1">
        <f>IF(OR(Q624&lt;0,Q624&gt;1,Q624=""),1,0)</f>
        <v>0</v>
      </c>
      <c r="O624" s="483" t="s">
        <v>63</v>
      </c>
      <c r="P624" s="24" t="s">
        <v>19</v>
      </c>
      <c r="Q624" s="674">
        <v>1</v>
      </c>
      <c r="R624" s="121"/>
      <c r="S624" s="12" t="s">
        <v>12</v>
      </c>
      <c r="T624" s="367">
        <f>IF(AND($Q$19="Cost-Based",$Q$20="ITC"),1,0)</f>
        <v>1</v>
      </c>
      <c r="U624" s="1"/>
      <c r="V624" s="1"/>
      <c r="W624" s="1"/>
      <c r="X624" s="1"/>
      <c r="Y624" s="1"/>
      <c r="Z624" s="1"/>
      <c r="AA624" s="1"/>
      <c r="AB624" s="246"/>
    </row>
    <row r="625" spans="2:28" ht="16.5" thickBot="1">
      <c r="B625" s="11"/>
      <c r="C625" s="323"/>
      <c r="D625" s="1"/>
      <c r="E625" s="449" t="s">
        <v>44</v>
      </c>
      <c r="F625" s="450" t="s">
        <v>47</v>
      </c>
      <c r="G625" s="675"/>
      <c r="H625" s="276"/>
      <c r="I625" s="12" t="s">
        <v>12</v>
      </c>
      <c r="J625" s="403"/>
      <c r="K625" s="15"/>
      <c r="L625" s="298"/>
      <c r="M625" s="1"/>
      <c r="N625" s="1"/>
      <c r="O625" s="455" t="s">
        <v>64</v>
      </c>
      <c r="P625" s="462" t="s">
        <v>47</v>
      </c>
      <c r="Q625" s="676"/>
      <c r="R625" s="121"/>
      <c r="S625" s="12" t="s">
        <v>12</v>
      </c>
      <c r="T625" s="15"/>
      <c r="U625" s="1"/>
      <c r="V625" s="1"/>
      <c r="W625" s="1"/>
      <c r="X625" s="1"/>
      <c r="Y625" s="1"/>
      <c r="Z625" s="1"/>
      <c r="AA625" s="1"/>
      <c r="AB625" s="246"/>
    </row>
    <row r="626" spans="2:28" ht="15.75">
      <c r="B626" s="11"/>
      <c r="C626" s="323"/>
      <c r="D626" s="1"/>
      <c r="E626" s="451" t="s">
        <v>44</v>
      </c>
      <c r="F626" s="8" t="str">
        <f>F618</f>
        <v>$/kW</v>
      </c>
      <c r="G626" s="452"/>
      <c r="H626" s="284"/>
      <c r="I626" s="12" t="s">
        <v>12</v>
      </c>
      <c r="J626" s="403"/>
      <c r="K626" s="15"/>
      <c r="L626" s="298"/>
      <c r="M626" s="374"/>
      <c r="N626" s="1"/>
      <c r="O626" s="449" t="s">
        <v>65</v>
      </c>
      <c r="P626" s="522"/>
      <c r="Q626" s="510" t="s">
        <v>66</v>
      </c>
      <c r="R626" s="1"/>
      <c r="S626" s="12" t="s">
        <v>12</v>
      </c>
      <c r="T626" s="1"/>
      <c r="U626" s="1"/>
      <c r="V626" s="1"/>
      <c r="W626" s="1"/>
      <c r="X626" s="1"/>
      <c r="Y626" s="1"/>
      <c r="Z626" s="1"/>
      <c r="AA626" s="1"/>
      <c r="AB626" s="246"/>
    </row>
    <row r="627" spans="2:28" ht="15.75">
      <c r="B627" s="11"/>
      <c r="C627" s="322"/>
      <c r="D627" s="1"/>
      <c r="E627" s="453" t="s">
        <v>67</v>
      </c>
      <c r="F627" s="7" t="s">
        <v>47</v>
      </c>
      <c r="G627" s="454"/>
      <c r="H627" s="277"/>
      <c r="I627" s="12" t="s">
        <v>12</v>
      </c>
      <c r="J627" s="403"/>
      <c r="K627" s="15"/>
      <c r="L627" s="298"/>
      <c r="M627" s="369"/>
      <c r="N627" s="1"/>
      <c r="O627" s="451" t="s">
        <v>68</v>
      </c>
      <c r="P627" s="8" t="s">
        <v>39</v>
      </c>
      <c r="Q627" s="512">
        <v>0</v>
      </c>
      <c r="R627" s="15"/>
      <c r="S627" s="12" t="s">
        <v>12</v>
      </c>
      <c r="T627" s="15"/>
      <c r="U627" s="1"/>
      <c r="V627" s="1"/>
      <c r="W627" s="1"/>
      <c r="X627" s="1"/>
      <c r="Y627" s="1"/>
      <c r="Z627" s="1"/>
      <c r="AA627" s="1"/>
      <c r="AB627" s="246"/>
    </row>
    <row r="628" spans="2:28" ht="15.75">
      <c r="B628" s="11"/>
      <c r="C628" s="322"/>
      <c r="D628" s="1"/>
      <c r="E628" s="453" t="s">
        <v>69</v>
      </c>
      <c r="F628" s="7" t="s">
        <v>47</v>
      </c>
      <c r="G628" s="452"/>
      <c r="H628" s="276"/>
      <c r="I628" s="12" t="s">
        <v>12</v>
      </c>
      <c r="J628" s="403" t="s">
        <v>184</v>
      </c>
      <c r="K628" s="15"/>
      <c r="L628" s="298"/>
      <c r="M628" s="369"/>
      <c r="N628" s="1">
        <f>IF(OR(Q628&lt;0,Q628&gt;G614),1,0)</f>
        <v>0</v>
      </c>
      <c r="O628" s="451" t="s">
        <v>70</v>
      </c>
      <c r="P628" s="8" t="s">
        <v>71</v>
      </c>
      <c r="Q628" s="464">
        <v>0</v>
      </c>
      <c r="R628" s="15"/>
      <c r="S628" s="12" t="s">
        <v>12</v>
      </c>
      <c r="T628" s="15"/>
      <c r="U628" s="1"/>
      <c r="V628" s="1"/>
      <c r="W628" s="1"/>
      <c r="X628" s="1"/>
      <c r="Y628" s="1"/>
      <c r="Z628" s="1"/>
      <c r="AA628" s="1"/>
      <c r="AB628" s="246"/>
    </row>
    <row r="629" spans="2:28" ht="16.5" thickBot="1">
      <c r="B629" s="11"/>
      <c r="C629" s="323"/>
      <c r="D629" s="1"/>
      <c r="E629" s="455" t="s">
        <v>69</v>
      </c>
      <c r="F629" s="456" t="str">
        <f>F618</f>
        <v>$/kW</v>
      </c>
      <c r="G629" s="457"/>
      <c r="H629" s="284"/>
      <c r="I629" s="12" t="s">
        <v>12</v>
      </c>
      <c r="J629" s="403"/>
      <c r="K629" s="15"/>
      <c r="L629" s="298"/>
      <c r="M629" s="369"/>
      <c r="N629" s="1"/>
      <c r="O629" s="451" t="s">
        <v>72</v>
      </c>
      <c r="P629" s="6" t="s">
        <v>19</v>
      </c>
      <c r="Q629" s="497">
        <v>0</v>
      </c>
      <c r="R629" s="15"/>
      <c r="S629" s="12" t="s">
        <v>12</v>
      </c>
      <c r="T629" s="15"/>
      <c r="U629" s="1"/>
      <c r="V629" s="1"/>
      <c r="W629" s="1"/>
      <c r="X629" s="1"/>
      <c r="Y629" s="1"/>
      <c r="Z629" s="1"/>
      <c r="AA629" s="1"/>
      <c r="AB629" s="246"/>
    </row>
    <row r="630" spans="2:28" ht="16.5" thickBot="1">
      <c r="B630" s="11"/>
      <c r="C630" s="324"/>
      <c r="D630" s="1"/>
      <c r="E630" s="18"/>
      <c r="F630" s="1"/>
      <c r="G630" s="1"/>
      <c r="H630" s="1"/>
      <c r="I630" s="17"/>
      <c r="J630" s="403"/>
      <c r="K630" s="15"/>
      <c r="L630" s="298"/>
      <c r="M630" s="369"/>
      <c r="N630" s="1">
        <f>IF(OR(Q630&lt;0,Q630&gt;1),1,0)</f>
        <v>0</v>
      </c>
      <c r="O630" s="455" t="s">
        <v>73</v>
      </c>
      <c r="P630" s="462" t="s">
        <v>19</v>
      </c>
      <c r="Q630" s="523">
        <v>0</v>
      </c>
      <c r="R630" s="15"/>
      <c r="S630" s="12" t="s">
        <v>12</v>
      </c>
      <c r="T630" s="15"/>
      <c r="U630" s="1"/>
      <c r="V630" s="1"/>
      <c r="W630" s="1"/>
      <c r="X630" s="1"/>
      <c r="Y630" s="1"/>
      <c r="Z630" s="1"/>
      <c r="AA630" s="1"/>
      <c r="AB630" s="246"/>
    </row>
    <row r="631" spans="2:28" ht="16.5" thickBot="1">
      <c r="B631" s="11"/>
      <c r="C631" s="1"/>
      <c r="D631" s="1"/>
      <c r="E631" s="5" t="s">
        <v>74</v>
      </c>
      <c r="F631" s="347" t="s">
        <v>6</v>
      </c>
      <c r="G631" s="411" t="s">
        <v>7</v>
      </c>
      <c r="H631" s="285"/>
      <c r="I631" s="17"/>
      <c r="J631" s="403"/>
      <c r="K631" s="15"/>
      <c r="L631" s="298"/>
      <c r="M631" s="1"/>
      <c r="N631" s="1"/>
      <c r="O631" s="296" t="s">
        <v>75</v>
      </c>
      <c r="P631" s="521"/>
      <c r="Q631" s="514" t="s">
        <v>76</v>
      </c>
      <c r="R631" s="121"/>
      <c r="S631" s="12" t="s">
        <v>12</v>
      </c>
      <c r="T631" s="15"/>
      <c r="U631" s="1"/>
      <c r="V631" s="1"/>
      <c r="W631" s="1"/>
      <c r="X631" s="1"/>
      <c r="Y631" s="1"/>
      <c r="Z631" s="1"/>
      <c r="AA631" s="1"/>
      <c r="AB631" s="246"/>
    </row>
    <row r="632" spans="2:28" ht="16.5" thickBot="1">
      <c r="B632" s="11"/>
      <c r="C632" s="318"/>
      <c r="D632" s="1"/>
      <c r="E632" s="553" t="s">
        <v>40</v>
      </c>
      <c r="F632" s="554"/>
      <c r="G632" s="555" t="s">
        <v>41</v>
      </c>
      <c r="H632" s="281"/>
      <c r="I632" s="12" t="s">
        <v>12</v>
      </c>
      <c r="J632" s="403"/>
      <c r="K632" s="15"/>
      <c r="L632" s="11"/>
      <c r="M632" s="1"/>
      <c r="N632" s="1"/>
      <c r="O632" s="415"/>
      <c r="P632" s="267"/>
      <c r="Q632" s="297"/>
      <c r="R632" s="1"/>
      <c r="S632" s="1"/>
      <c r="T632" s="1"/>
      <c r="U632" s="1"/>
      <c r="V632" s="1"/>
      <c r="W632" s="1"/>
      <c r="X632" s="1"/>
      <c r="Y632" s="1"/>
      <c r="Z632" s="1"/>
      <c r="AA632" s="1"/>
      <c r="AB632" s="246"/>
    </row>
    <row r="633" spans="2:28" ht="15.75">
      <c r="B633" s="11"/>
      <c r="C633" s="325"/>
      <c r="D633" s="1"/>
      <c r="E633" s="458" t="s">
        <v>77</v>
      </c>
      <c r="F633" s="459" t="s">
        <v>78</v>
      </c>
      <c r="G633" s="460">
        <v>11</v>
      </c>
      <c r="H633" s="286"/>
      <c r="I633" s="12" t="s">
        <v>12</v>
      </c>
      <c r="J633" s="403"/>
      <c r="K633" s="15"/>
      <c r="L633" s="298"/>
      <c r="M633" s="369"/>
      <c r="N633" s="1"/>
      <c r="O633" s="515" t="s">
        <v>79</v>
      </c>
      <c r="P633" s="459" t="s">
        <v>47</v>
      </c>
      <c r="Q633" s="516">
        <v>0</v>
      </c>
      <c r="R633" s="121"/>
      <c r="S633" s="12" t="s">
        <v>12</v>
      </c>
      <c r="T633" s="1"/>
      <c r="U633" s="1"/>
      <c r="V633" s="1"/>
      <c r="W633" s="1"/>
      <c r="X633" s="1"/>
      <c r="Y633" s="1"/>
      <c r="Z633" s="1"/>
      <c r="AA633" s="1"/>
      <c r="AB633" s="246"/>
    </row>
    <row r="634" spans="2:28" ht="16.5" thickBot="1">
      <c r="B634" s="11"/>
      <c r="C634" s="369"/>
      <c r="D634" s="1"/>
      <c r="E634" s="453" t="s">
        <v>80</v>
      </c>
      <c r="F634" s="7" t="s">
        <v>81</v>
      </c>
      <c r="G634" s="512">
        <v>0</v>
      </c>
      <c r="H634" s="287"/>
      <c r="I634" s="12" t="s">
        <v>12</v>
      </c>
      <c r="J634" s="403"/>
      <c r="K634" s="15"/>
      <c r="L634" s="298"/>
      <c r="M634" s="374"/>
      <c r="N634" s="1"/>
      <c r="O634" s="455" t="s">
        <v>82</v>
      </c>
      <c r="P634" s="466"/>
      <c r="Q634" s="517" t="s">
        <v>83</v>
      </c>
      <c r="R634" s="21"/>
      <c r="S634" s="12" t="s">
        <v>12</v>
      </c>
      <c r="T634" s="1"/>
      <c r="U634" s="1"/>
      <c r="V634" s="1"/>
      <c r="W634" s="1"/>
      <c r="X634" s="1"/>
      <c r="Y634" s="1"/>
      <c r="Z634" s="1"/>
      <c r="AA634" s="1"/>
      <c r="AB634" s="246"/>
    </row>
    <row r="635" spans="2:28" ht="16.5" thickBot="1">
      <c r="B635" s="11"/>
      <c r="C635" s="326"/>
      <c r="D635" s="15"/>
      <c r="E635" s="474" t="s">
        <v>84</v>
      </c>
      <c r="F635" s="7" t="s">
        <v>19</v>
      </c>
      <c r="G635" s="475">
        <v>0.03</v>
      </c>
      <c r="H635" s="270"/>
      <c r="I635" s="12" t="s">
        <v>12</v>
      </c>
      <c r="J635" s="404"/>
      <c r="K635" s="15"/>
      <c r="L635" s="298"/>
      <c r="M635" s="1"/>
      <c r="N635" s="1"/>
      <c r="O635" s="1"/>
      <c r="P635" s="1"/>
      <c r="Q635" s="1"/>
      <c r="R635" s="1"/>
      <c r="S635" s="1"/>
      <c r="T635" s="1"/>
      <c r="U635" s="1"/>
      <c r="V635" s="1"/>
      <c r="W635" s="1"/>
      <c r="X635" s="1"/>
      <c r="Y635" s="1"/>
      <c r="Z635" s="1"/>
      <c r="AA635" s="1"/>
      <c r="AB635" s="246"/>
    </row>
    <row r="636" spans="2:28" ht="16.5" thickBot="1">
      <c r="B636" s="11"/>
      <c r="C636" s="317"/>
      <c r="D636" s="1"/>
      <c r="E636" s="451" t="s">
        <v>85</v>
      </c>
      <c r="F636" s="7" t="s">
        <v>86</v>
      </c>
      <c r="G636" s="582">
        <v>10</v>
      </c>
      <c r="H636" s="272"/>
      <c r="I636" s="12" t="s">
        <v>12</v>
      </c>
      <c r="J636" s="404"/>
      <c r="K636" s="15"/>
      <c r="L636" s="298"/>
      <c r="M636" s="1"/>
      <c r="N636" s="1"/>
      <c r="O636" s="5" t="s">
        <v>87</v>
      </c>
      <c r="P636" s="347" t="s">
        <v>6</v>
      </c>
      <c r="Q636" s="411" t="s">
        <v>7</v>
      </c>
      <c r="R636" s="15"/>
      <c r="S636" s="1"/>
      <c r="T636" s="412"/>
      <c r="U636" s="677"/>
      <c r="V636" s="1"/>
      <c r="W636" s="1"/>
      <c r="X636" s="1"/>
      <c r="Y636" s="1"/>
      <c r="Z636" s="1"/>
      <c r="AA636" s="1"/>
      <c r="AB636" s="246"/>
    </row>
    <row r="637" spans="2:28" ht="16.5" thickBot="1">
      <c r="B637" s="11"/>
      <c r="C637" s="326"/>
      <c r="D637" s="15"/>
      <c r="E637" s="465" t="s">
        <v>88</v>
      </c>
      <c r="F637" s="466" t="s">
        <v>19</v>
      </c>
      <c r="G637" s="475">
        <v>0.03</v>
      </c>
      <c r="H637" s="278"/>
      <c r="I637" s="12" t="s">
        <v>12</v>
      </c>
      <c r="J637" s="403"/>
      <c r="K637" s="15"/>
      <c r="L637" s="298"/>
      <c r="M637" s="374"/>
      <c r="N637" s="1"/>
      <c r="O637" s="568" t="s">
        <v>89</v>
      </c>
      <c r="P637" s="569"/>
      <c r="Q637" s="570" t="s">
        <v>90</v>
      </c>
      <c r="R637" s="1"/>
      <c r="S637" s="12" t="s">
        <v>12</v>
      </c>
      <c r="T637" s="1"/>
      <c r="U637" s="1"/>
      <c r="V637" s="1"/>
      <c r="W637" s="1"/>
      <c r="X637" s="1"/>
      <c r="Y637" s="1"/>
      <c r="Z637" s="1"/>
      <c r="AA637" s="1"/>
      <c r="AB637" s="246"/>
    </row>
    <row r="638" spans="2:28" ht="15.75">
      <c r="B638" s="11"/>
      <c r="C638" s="369"/>
      <c r="D638" s="1"/>
      <c r="E638" s="483" t="s">
        <v>91</v>
      </c>
      <c r="F638" s="6" t="s">
        <v>19</v>
      </c>
      <c r="G638" s="470">
        <v>5.7150000000000005E-3</v>
      </c>
      <c r="H638" s="270"/>
      <c r="I638" s="366" t="s">
        <v>12</v>
      </c>
      <c r="J638" s="403"/>
      <c r="K638" s="15"/>
      <c r="L638" s="298"/>
      <c r="M638" s="369"/>
      <c r="N638" s="1">
        <f>IF(OR(Q638&lt;0,Q638&gt;1),1,0)</f>
        <v>0</v>
      </c>
      <c r="O638" s="458" t="s">
        <v>92</v>
      </c>
      <c r="P638" s="450" t="s">
        <v>19</v>
      </c>
      <c r="Q638" s="600">
        <v>0</v>
      </c>
      <c r="R638" s="15">
        <f>IF(OR($Q$35="Performance-Based",$Q$35="Neither"),1,0)</f>
        <v>1</v>
      </c>
      <c r="S638" s="12" t="s">
        <v>12</v>
      </c>
      <c r="T638" s="15"/>
      <c r="U638" s="1"/>
      <c r="V638" s="1"/>
      <c r="W638" s="1"/>
      <c r="X638" s="1"/>
      <c r="Y638" s="1"/>
      <c r="Z638" s="1"/>
      <c r="AA638" s="1"/>
      <c r="AB638" s="246"/>
    </row>
    <row r="639" spans="2:28" ht="15.75">
      <c r="B639" s="11"/>
      <c r="C639" s="1"/>
      <c r="D639" s="1"/>
      <c r="E639" s="451" t="s">
        <v>93</v>
      </c>
      <c r="F639" s="7" t="s">
        <v>47</v>
      </c>
      <c r="G639" s="467"/>
      <c r="H639" s="275"/>
      <c r="I639" s="366" t="s">
        <v>12</v>
      </c>
      <c r="J639" s="403"/>
      <c r="K639" s="15"/>
      <c r="L639" s="298"/>
      <c r="M639" s="369"/>
      <c r="N639" s="1">
        <f>IF(OR(Q639&lt;0,Q639&gt;1),1,0)</f>
        <v>0</v>
      </c>
      <c r="O639" s="453" t="s">
        <v>94</v>
      </c>
      <c r="P639" s="7" t="s">
        <v>19</v>
      </c>
      <c r="Q639" s="601">
        <v>0</v>
      </c>
      <c r="R639" s="15"/>
      <c r="S639" s="12" t="s">
        <v>12</v>
      </c>
      <c r="T639" s="15"/>
      <c r="U639" s="15"/>
      <c r="V639" s="1"/>
      <c r="W639" s="1"/>
      <c r="X639" s="1"/>
      <c r="Y639" s="1"/>
      <c r="Z639" s="1"/>
      <c r="AA639" s="1"/>
      <c r="AB639" s="246"/>
    </row>
    <row r="640" spans="2:28" ht="15.75">
      <c r="B640" s="11"/>
      <c r="C640" s="369"/>
      <c r="D640" s="1"/>
      <c r="E640" s="468" t="s">
        <v>95</v>
      </c>
      <c r="F640" s="6" t="s">
        <v>96</v>
      </c>
      <c r="G640" s="469">
        <v>20000</v>
      </c>
      <c r="H640" s="288"/>
      <c r="I640" s="366" t="s">
        <v>12</v>
      </c>
      <c r="J640" s="404"/>
      <c r="K640" s="15"/>
      <c r="L640" s="298"/>
      <c r="M640" s="369"/>
      <c r="N640" s="1">
        <f>IF(OR(Q640&lt;1,Q640&gt;G614),1,0)</f>
        <v>1</v>
      </c>
      <c r="O640" s="451" t="s">
        <v>97</v>
      </c>
      <c r="P640" s="8" t="s">
        <v>71</v>
      </c>
      <c r="Q640" s="602">
        <v>0</v>
      </c>
      <c r="R640" s="15"/>
      <c r="S640" s="12" t="s">
        <v>12</v>
      </c>
      <c r="T640" s="1"/>
      <c r="U640" s="678"/>
      <c r="V640" s="1"/>
      <c r="W640" s="1"/>
      <c r="X640" s="1"/>
      <c r="Y640" s="1"/>
      <c r="Z640" s="1"/>
      <c r="AA640" s="1"/>
      <c r="AB640" s="246"/>
    </row>
    <row r="641" spans="2:28" ht="16.5" thickBot="1">
      <c r="B641" s="11"/>
      <c r="C641" s="369"/>
      <c r="D641" s="1"/>
      <c r="E641" s="451" t="s">
        <v>98</v>
      </c>
      <c r="F641" s="6" t="s">
        <v>33</v>
      </c>
      <c r="G641" s="603">
        <v>5</v>
      </c>
      <c r="H641" s="288"/>
      <c r="I641" s="366" t="s">
        <v>12</v>
      </c>
      <c r="J641" s="403"/>
      <c r="K641" s="15"/>
      <c r="L641" s="11"/>
      <c r="M641" s="1"/>
      <c r="N641" s="1"/>
      <c r="O641" s="455" t="s">
        <v>50</v>
      </c>
      <c r="P641" s="456" t="s">
        <v>47</v>
      </c>
      <c r="Q641" s="572">
        <v>0</v>
      </c>
      <c r="R641" s="1"/>
      <c r="S641" s="12" t="s">
        <v>12</v>
      </c>
      <c r="T641" s="1"/>
      <c r="U641" s="1"/>
      <c r="V641" s="1"/>
      <c r="W641" s="1"/>
      <c r="X641" s="1"/>
      <c r="Y641" s="1"/>
      <c r="Z641" s="1"/>
      <c r="AA641" s="1"/>
      <c r="AB641" s="246"/>
    </row>
    <row r="642" spans="2:28" ht="15.75">
      <c r="B642" s="11"/>
      <c r="C642" s="369"/>
      <c r="D642" s="1"/>
      <c r="E642" s="451" t="s">
        <v>43</v>
      </c>
      <c r="F642" s="6" t="s">
        <v>19</v>
      </c>
      <c r="G642" s="583">
        <v>0</v>
      </c>
      <c r="H642" s="1"/>
      <c r="I642" s="366" t="s">
        <v>12</v>
      </c>
      <c r="J642" s="403"/>
      <c r="K642" s="15"/>
      <c r="L642" s="298"/>
      <c r="M642" s="374"/>
      <c r="N642" s="1"/>
      <c r="O642" s="483" t="s">
        <v>99</v>
      </c>
      <c r="P642" s="6"/>
      <c r="Q642" s="571" t="s">
        <v>66</v>
      </c>
      <c r="R642" s="15">
        <f>IF(OR($Q$35="Cost-Based",$Q$35="Neither"),1,0)</f>
        <v>1</v>
      </c>
      <c r="S642" s="12" t="s">
        <v>12</v>
      </c>
      <c r="T642" s="15"/>
      <c r="U642" s="21"/>
      <c r="V642" s="1"/>
      <c r="W642" s="1"/>
      <c r="X642" s="1"/>
      <c r="Y642" s="1"/>
      <c r="Z642" s="1"/>
      <c r="AA642" s="1"/>
      <c r="AB642" s="246"/>
    </row>
    <row r="643" spans="2:28" ht="15.75">
      <c r="B643" s="11"/>
      <c r="C643" s="369"/>
      <c r="D643" s="1"/>
      <c r="E643" s="451" t="s">
        <v>100</v>
      </c>
      <c r="F643" s="6" t="s">
        <v>96</v>
      </c>
      <c r="G643" s="469">
        <v>160701</v>
      </c>
      <c r="H643" s="288"/>
      <c r="I643" s="366" t="s">
        <v>12</v>
      </c>
      <c r="J643" s="403"/>
      <c r="K643" s="15"/>
      <c r="L643" s="298"/>
      <c r="M643" s="374"/>
      <c r="N643" s="1"/>
      <c r="O643" s="451" t="s">
        <v>101</v>
      </c>
      <c r="P643" s="8"/>
      <c r="Q643" s="511" t="s">
        <v>102</v>
      </c>
      <c r="R643" s="346">
        <f>IF(OR($Q$35="Cost-Based",$Q$35="Neither",$Q$40="Tax Credit"),1,0)</f>
        <v>1</v>
      </c>
      <c r="S643" s="12" t="s">
        <v>12</v>
      </c>
      <c r="T643" s="1"/>
      <c r="U643" s="21"/>
      <c r="V643" s="1"/>
      <c r="W643" s="1"/>
      <c r="X643" s="1"/>
      <c r="Y643" s="1"/>
      <c r="Z643" s="1"/>
      <c r="AA643" s="1"/>
      <c r="AB643" s="246"/>
    </row>
    <row r="644" spans="2:28" ht="15.75">
      <c r="B644" s="11"/>
      <c r="C644" s="369"/>
      <c r="D644" s="1"/>
      <c r="E644" s="453" t="s">
        <v>103</v>
      </c>
      <c r="F644" s="6" t="s">
        <v>19</v>
      </c>
      <c r="G644" s="470">
        <v>0.02</v>
      </c>
      <c r="H644" s="270"/>
      <c r="I644" s="366" t="s">
        <v>12</v>
      </c>
      <c r="J644" s="403"/>
      <c r="K644" s="15"/>
      <c r="L644" s="298"/>
      <c r="M644" s="369"/>
      <c r="N644" s="1"/>
      <c r="O644" s="451" t="s">
        <v>68</v>
      </c>
      <c r="P644" s="55" t="s">
        <v>39</v>
      </c>
      <c r="Q644" s="512">
        <v>1.5</v>
      </c>
      <c r="R644" s="21"/>
      <c r="S644" s="12" t="s">
        <v>12</v>
      </c>
      <c r="T644" s="346"/>
      <c r="U644" s="679"/>
      <c r="V644" s="1"/>
      <c r="W644" s="1"/>
      <c r="X644" s="1"/>
      <c r="Y644" s="1"/>
      <c r="Z644" s="1"/>
      <c r="AA644" s="1"/>
      <c r="AB644" s="246"/>
    </row>
    <row r="645" spans="2:28" ht="16.5" thickBot="1">
      <c r="B645" s="11"/>
      <c r="C645" s="1"/>
      <c r="D645" s="1"/>
      <c r="E645" s="455"/>
      <c r="F645" s="466"/>
      <c r="G645" s="471"/>
      <c r="H645" s="275"/>
      <c r="I645" s="366" t="s">
        <v>12</v>
      </c>
      <c r="J645" s="246"/>
      <c r="K645" s="15"/>
      <c r="L645" s="298"/>
      <c r="M645" s="369"/>
      <c r="N645" s="1">
        <f>IF(OR(Q645&lt;0,Q645&gt;G614),1,0)</f>
        <v>0</v>
      </c>
      <c r="O645" s="451" t="s">
        <v>70</v>
      </c>
      <c r="P645" s="8" t="s">
        <v>71</v>
      </c>
      <c r="Q645" s="464">
        <v>10</v>
      </c>
      <c r="R645" s="21"/>
      <c r="S645" s="12" t="s">
        <v>12</v>
      </c>
      <c r="T645" s="1"/>
      <c r="U645" s="21"/>
      <c r="V645" s="1"/>
      <c r="W645" s="1"/>
      <c r="X645" s="1"/>
      <c r="Y645" s="1"/>
      <c r="Z645" s="1"/>
      <c r="AA645" s="1"/>
      <c r="AB645" s="246"/>
    </row>
    <row r="646" spans="2:28" ht="16.5" thickBot="1">
      <c r="B646" s="11"/>
      <c r="C646" s="327"/>
      <c r="D646" s="1"/>
      <c r="E646" s="1"/>
      <c r="F646" s="1"/>
      <c r="G646" s="1"/>
      <c r="H646" s="1"/>
      <c r="I646" s="17"/>
      <c r="J646" s="403"/>
      <c r="K646" s="15"/>
      <c r="L646" s="298"/>
      <c r="M646" s="369"/>
      <c r="N646" s="1"/>
      <c r="O646" s="451" t="s">
        <v>72</v>
      </c>
      <c r="P646" s="6" t="s">
        <v>19</v>
      </c>
      <c r="Q646" s="497">
        <v>0.02</v>
      </c>
      <c r="R646" s="15"/>
      <c r="S646" s="12" t="s">
        <v>12</v>
      </c>
      <c r="T646" s="346"/>
      <c r="U646" s="21"/>
      <c r="V646" s="1"/>
      <c r="W646" s="1"/>
      <c r="X646" s="1"/>
      <c r="Y646" s="1"/>
      <c r="Z646" s="1"/>
      <c r="AA646" s="1"/>
      <c r="AB646" s="246"/>
    </row>
    <row r="647" spans="2:28" ht="16.5" thickBot="1">
      <c r="B647" s="11"/>
      <c r="C647" s="327"/>
      <c r="D647" s="1"/>
      <c r="E647" s="5" t="s">
        <v>104</v>
      </c>
      <c r="F647" s="347" t="s">
        <v>6</v>
      </c>
      <c r="G647" s="411" t="s">
        <v>7</v>
      </c>
      <c r="H647" s="289"/>
      <c r="I647" s="17"/>
      <c r="J647" s="403"/>
      <c r="K647" s="15"/>
      <c r="L647" s="298"/>
      <c r="M647" s="369"/>
      <c r="N647" s="1">
        <f>IF(OR(Q647&lt;0,Q647&gt;1),1,0)</f>
        <v>0</v>
      </c>
      <c r="O647" s="455" t="s">
        <v>105</v>
      </c>
      <c r="P647" s="462" t="s">
        <v>19</v>
      </c>
      <c r="Q647" s="523">
        <v>1</v>
      </c>
      <c r="R647" s="15"/>
      <c r="S647" s="12" t="s">
        <v>12</v>
      </c>
      <c r="T647" s="21"/>
      <c r="U647" s="15"/>
      <c r="V647" s="1"/>
      <c r="W647" s="1"/>
      <c r="X647" s="1"/>
      <c r="Y647" s="1"/>
      <c r="Z647" s="1"/>
      <c r="AA647" s="1"/>
      <c r="AB647" s="246"/>
    </row>
    <row r="648" spans="2:28" ht="16.5" thickBot="1">
      <c r="B648" s="11"/>
      <c r="C648" s="372"/>
      <c r="D648" s="1"/>
      <c r="E648" s="463" t="s">
        <v>106</v>
      </c>
      <c r="F648" s="450" t="s">
        <v>107</v>
      </c>
      <c r="G648" s="556">
        <v>0</v>
      </c>
      <c r="H648" s="289"/>
      <c r="I648" s="12" t="s">
        <v>12</v>
      </c>
      <c r="J648" s="403"/>
      <c r="K648" s="15"/>
      <c r="L648" s="298"/>
      <c r="M648" s="15"/>
      <c r="N648" s="15"/>
      <c r="O648" s="524" t="s">
        <v>108</v>
      </c>
      <c r="P648" s="525"/>
      <c r="Q648" s="526" t="s">
        <v>76</v>
      </c>
      <c r="R648" s="15">
        <f>IF($Q$35="Neither",1,0)</f>
        <v>1</v>
      </c>
      <c r="S648" s="12" t="s">
        <v>12</v>
      </c>
      <c r="T648" s="21"/>
      <c r="U648" s="15"/>
      <c r="V648" s="1"/>
      <c r="W648" s="1"/>
      <c r="X648" s="1"/>
      <c r="Y648" s="1"/>
      <c r="Z648" s="1"/>
      <c r="AA648" s="1"/>
      <c r="AB648" s="246"/>
    </row>
    <row r="649" spans="2:28" ht="16.5" thickBot="1">
      <c r="B649" s="11"/>
      <c r="C649" s="372"/>
      <c r="D649" s="1"/>
      <c r="E649" s="474" t="s">
        <v>109</v>
      </c>
      <c r="F649" s="7" t="s">
        <v>19</v>
      </c>
      <c r="G649" s="548">
        <v>0</v>
      </c>
      <c r="H649" s="289"/>
      <c r="I649" s="12" t="s">
        <v>12</v>
      </c>
      <c r="J649" s="403"/>
      <c r="K649" s="15"/>
      <c r="L649" s="11"/>
      <c r="M649" s="1"/>
      <c r="N649" s="1"/>
      <c r="O649" s="415"/>
      <c r="P649" s="267"/>
      <c r="Q649" s="297"/>
      <c r="R649" s="1"/>
      <c r="S649" s="1"/>
      <c r="T649" s="1"/>
      <c r="U649" s="15"/>
      <c r="V649" s="1"/>
      <c r="W649" s="1"/>
      <c r="X649" s="1"/>
      <c r="Y649" s="1"/>
      <c r="Z649" s="1"/>
      <c r="AA649" s="1"/>
      <c r="AB649" s="246"/>
    </row>
    <row r="650" spans="2:28" ht="16.5" thickBot="1">
      <c r="B650" s="11"/>
      <c r="C650" s="327"/>
      <c r="D650" s="1"/>
      <c r="E650" s="465" t="s">
        <v>110</v>
      </c>
      <c r="F650" s="456" t="s">
        <v>47</v>
      </c>
      <c r="G650" s="471"/>
      <c r="H650" s="289"/>
      <c r="I650" s="12" t="s">
        <v>12</v>
      </c>
      <c r="J650" s="403"/>
      <c r="K650" s="15"/>
      <c r="L650" s="298"/>
      <c r="M650" s="369"/>
      <c r="N650" s="15"/>
      <c r="O650" s="515" t="s">
        <v>111</v>
      </c>
      <c r="P650" s="450" t="s">
        <v>47</v>
      </c>
      <c r="Q650" s="516">
        <v>0</v>
      </c>
      <c r="R650" s="1"/>
      <c r="S650" s="12" t="s">
        <v>12</v>
      </c>
      <c r="T650" s="15"/>
      <c r="U650" s="15"/>
      <c r="V650" s="1"/>
      <c r="W650" s="1"/>
      <c r="X650" s="1"/>
      <c r="Y650" s="1"/>
      <c r="Z650" s="1"/>
      <c r="AA650" s="1"/>
      <c r="AB650" s="246"/>
    </row>
    <row r="651" spans="2:28" ht="16.5" thickBot="1">
      <c r="B651" s="11"/>
      <c r="C651" s="1"/>
      <c r="D651" s="1"/>
      <c r="E651" s="1"/>
      <c r="F651" s="1"/>
      <c r="G651" s="182"/>
      <c r="H651" s="182"/>
      <c r="I651" s="17"/>
      <c r="J651" s="403"/>
      <c r="K651" s="15"/>
      <c r="L651" s="298"/>
      <c r="M651" s="374"/>
      <c r="N651" s="1"/>
      <c r="O651" s="455" t="s">
        <v>112</v>
      </c>
      <c r="P651" s="466"/>
      <c r="Q651" s="517" t="s">
        <v>83</v>
      </c>
      <c r="R651" s="21"/>
      <c r="S651" s="12" t="s">
        <v>12</v>
      </c>
      <c r="T651" s="15"/>
      <c r="U651" s="15"/>
      <c r="V651" s="1"/>
      <c r="W651" s="1"/>
      <c r="X651" s="1"/>
      <c r="Y651" s="1"/>
      <c r="Z651" s="1"/>
      <c r="AA651" s="1"/>
      <c r="AB651" s="246"/>
    </row>
    <row r="652" spans="2:28" ht="16.5" thickBot="1">
      <c r="B652" s="11"/>
      <c r="C652" s="327"/>
      <c r="D652" s="1"/>
      <c r="E652" s="480" t="s">
        <v>113</v>
      </c>
      <c r="F652" s="481" t="s">
        <v>6</v>
      </c>
      <c r="G652" s="482" t="s">
        <v>7</v>
      </c>
      <c r="H652" s="289"/>
      <c r="I652" s="405"/>
      <c r="J652" s="403"/>
      <c r="K652" s="15"/>
      <c r="L652" s="298"/>
      <c r="M652" s="1"/>
      <c r="N652" s="1"/>
      <c r="O652" s="1"/>
      <c r="P652" s="1"/>
      <c r="Q652" s="1"/>
      <c r="R652" s="1"/>
      <c r="S652" s="1"/>
      <c r="T652" s="15"/>
      <c r="U652" s="300"/>
      <c r="V652" s="1"/>
      <c r="W652" s="1"/>
      <c r="X652" s="1"/>
      <c r="Y652" s="1"/>
      <c r="Z652" s="1"/>
      <c r="AA652" s="1"/>
      <c r="AB652" s="246"/>
    </row>
    <row r="653" spans="2:28" ht="16.5" thickBot="1">
      <c r="B653" s="11"/>
      <c r="C653" s="369"/>
      <c r="D653" s="1">
        <f>IF(OR(G653="",G653&lt;0,G653&gt;1),1,0)</f>
        <v>0</v>
      </c>
      <c r="E653" s="449" t="s">
        <v>114</v>
      </c>
      <c r="F653" s="450" t="s">
        <v>19</v>
      </c>
      <c r="G653" s="476">
        <v>0.44500000000000001</v>
      </c>
      <c r="H653" s="290"/>
      <c r="I653" s="12" t="s">
        <v>12</v>
      </c>
      <c r="J653" s="404"/>
      <c r="K653" s="15"/>
      <c r="L653" s="298"/>
      <c r="M653" s="15"/>
      <c r="N653" s="15"/>
      <c r="O653" s="5" t="s">
        <v>115</v>
      </c>
      <c r="P653" s="22"/>
      <c r="Q653" s="411"/>
      <c r="R653" s="15"/>
      <c r="S653" s="15"/>
      <c r="T653" s="15"/>
      <c r="U653" s="15"/>
      <c r="V653" s="1"/>
      <c r="W653" s="1"/>
      <c r="X653" s="1"/>
      <c r="Y653" s="1"/>
      <c r="Z653" s="1"/>
      <c r="AA653" s="1"/>
      <c r="AB653" s="246"/>
    </row>
    <row r="654" spans="2:28" ht="15.75">
      <c r="B654" s="11"/>
      <c r="C654" s="369"/>
      <c r="D654" s="1">
        <f>IF(OR(G654&lt;=0,G654&gt;G614),1,0)</f>
        <v>0</v>
      </c>
      <c r="E654" s="451" t="s">
        <v>116</v>
      </c>
      <c r="F654" s="7" t="s">
        <v>14</v>
      </c>
      <c r="G654" s="464">
        <v>15</v>
      </c>
      <c r="H654" s="272"/>
      <c r="I654" s="12" t="s">
        <v>12</v>
      </c>
      <c r="J654" s="404"/>
      <c r="K654" s="15"/>
      <c r="L654" s="298"/>
      <c r="M654" s="375"/>
      <c r="N654" s="15">
        <f>IF(OR(Q654&lt;1,Q654&gt;$G$12),1,0)</f>
        <v>0</v>
      </c>
      <c r="O654" s="463" t="s">
        <v>117</v>
      </c>
      <c r="P654" s="459" t="s">
        <v>86</v>
      </c>
      <c r="Q654" s="556">
        <v>12</v>
      </c>
      <c r="R654" s="15"/>
      <c r="S654" s="12" t="s">
        <v>12</v>
      </c>
      <c r="T654" s="15"/>
      <c r="U654" s="15"/>
      <c r="V654" s="1"/>
      <c r="W654" s="1"/>
      <c r="X654" s="1"/>
      <c r="Y654" s="1"/>
      <c r="Z654" s="1"/>
      <c r="AA654" s="1"/>
      <c r="AB654" s="246"/>
    </row>
    <row r="655" spans="2:28" ht="16.5" thickBot="1">
      <c r="B655" s="11"/>
      <c r="C655" s="372"/>
      <c r="D655" s="1">
        <f>IF(OR(G655&lt;0,G655=""),1,0)</f>
        <v>0</v>
      </c>
      <c r="E655" s="451" t="s">
        <v>118</v>
      </c>
      <c r="F655" s="7" t="s">
        <v>19</v>
      </c>
      <c r="G655" s="485">
        <v>7.6638765941485373E-2</v>
      </c>
      <c r="H655" s="291"/>
      <c r="I655" s="12" t="s">
        <v>12</v>
      </c>
      <c r="J655" s="404"/>
      <c r="K655" s="15"/>
      <c r="L655" s="298"/>
      <c r="M655" s="326"/>
      <c r="N655" s="15"/>
      <c r="O655" s="465" t="s">
        <v>119</v>
      </c>
      <c r="P655" s="456" t="str">
        <f>$F$16</f>
        <v>$/kW</v>
      </c>
      <c r="Q655" s="531">
        <v>21</v>
      </c>
      <c r="R655" s="15"/>
      <c r="S655" s="12" t="s">
        <v>12</v>
      </c>
      <c r="T655" s="15"/>
      <c r="U655" s="15"/>
      <c r="V655" s="1"/>
      <c r="W655" s="1"/>
      <c r="X655" s="1"/>
      <c r="Y655" s="1"/>
      <c r="Z655" s="1"/>
      <c r="AA655" s="1"/>
      <c r="AB655" s="246"/>
    </row>
    <row r="656" spans="2:28" ht="16.5" thickBot="1">
      <c r="B656" s="11"/>
      <c r="C656" s="369"/>
      <c r="D656" s="1">
        <f>IF(OR(G656&lt;0,G656=""),1,0)</f>
        <v>0</v>
      </c>
      <c r="E656" s="486" t="s">
        <v>120</v>
      </c>
      <c r="F656" s="466" t="s">
        <v>19</v>
      </c>
      <c r="G656" s="487">
        <v>0.02</v>
      </c>
      <c r="H656" s="270"/>
      <c r="I656" s="12" t="s">
        <v>12</v>
      </c>
      <c r="J656" s="403"/>
      <c r="K656" s="15"/>
      <c r="L656" s="298"/>
      <c r="M656" s="375"/>
      <c r="N656" s="15">
        <f>IF(OR(Q656&lt;Q654,Q656&gt;$G$12),1,0)</f>
        <v>0</v>
      </c>
      <c r="O656" s="529" t="s">
        <v>121</v>
      </c>
      <c r="P656" s="24" t="s">
        <v>86</v>
      </c>
      <c r="Q656" s="530">
        <v>12</v>
      </c>
      <c r="R656" s="15"/>
      <c r="S656" s="12" t="s">
        <v>12</v>
      </c>
      <c r="T656" s="15"/>
      <c r="U656" s="15"/>
      <c r="V656" s="1"/>
      <c r="W656" s="1"/>
      <c r="X656" s="1"/>
      <c r="Y656" s="1"/>
      <c r="Z656" s="1"/>
      <c r="AA656" s="1"/>
      <c r="AB656" s="246"/>
    </row>
    <row r="657" spans="2:28" ht="16.5" thickBot="1">
      <c r="B657" s="11"/>
      <c r="C657" s="369"/>
      <c r="D657" s="1"/>
      <c r="E657" s="483" t="s">
        <v>122</v>
      </c>
      <c r="F657" s="24"/>
      <c r="G657" s="484">
        <v>1</v>
      </c>
      <c r="H657" s="279"/>
      <c r="I657" s="12" t="s">
        <v>12</v>
      </c>
      <c r="J657" s="403"/>
      <c r="K657" s="15"/>
      <c r="L657" s="298"/>
      <c r="M657" s="326"/>
      <c r="N657" s="15"/>
      <c r="O657" s="465" t="s">
        <v>123</v>
      </c>
      <c r="P657" s="456" t="str">
        <f>$F$16</f>
        <v>$/kW</v>
      </c>
      <c r="Q657" s="531">
        <v>0</v>
      </c>
      <c r="R657" s="15"/>
      <c r="S657" s="12" t="s">
        <v>12</v>
      </c>
      <c r="T657" s="15"/>
      <c r="U657" s="15"/>
      <c r="V657" s="1"/>
      <c r="W657" s="1"/>
      <c r="X657" s="1"/>
      <c r="Y657" s="1"/>
      <c r="Z657" s="1"/>
      <c r="AA657" s="1"/>
      <c r="AB657" s="246"/>
    </row>
    <row r="658" spans="2:28" ht="15.75">
      <c r="B658" s="11"/>
      <c r="C658" s="1"/>
      <c r="D658" s="1"/>
      <c r="E658" s="451" t="s">
        <v>124</v>
      </c>
      <c r="F658" s="248">
        <f>MAX('[2]Cash Flow'!G647:AJ647)</f>
        <v>0</v>
      </c>
      <c r="G658" s="477"/>
      <c r="H658" s="280"/>
      <c r="I658" s="12" t="s">
        <v>12</v>
      </c>
      <c r="J658" s="403"/>
      <c r="K658" s="15"/>
      <c r="L658" s="298"/>
      <c r="M658" s="375"/>
      <c r="N658" s="15">
        <f>IF(OR(Q658&lt;Q656,Q658&gt;$G$12),1,0)</f>
        <v>0</v>
      </c>
      <c r="O658" s="474" t="s">
        <v>125</v>
      </c>
      <c r="P658" s="8" t="s">
        <v>86</v>
      </c>
      <c r="Q658" s="530">
        <v>12</v>
      </c>
      <c r="R658" s="15"/>
      <c r="S658" s="12" t="s">
        <v>12</v>
      </c>
      <c r="T658" s="15"/>
      <c r="U658" s="15"/>
      <c r="V658" s="1"/>
      <c r="W658" s="1"/>
      <c r="X658" s="1"/>
      <c r="Y658" s="1"/>
      <c r="Z658" s="1"/>
      <c r="AA658" s="1"/>
      <c r="AB658" s="246"/>
    </row>
    <row r="659" spans="2:28" ht="16.5" thickBot="1">
      <c r="B659" s="11"/>
      <c r="C659" s="369"/>
      <c r="D659" s="1"/>
      <c r="E659" s="451" t="s">
        <v>126</v>
      </c>
      <c r="F659" s="8" t="s">
        <v>127</v>
      </c>
      <c r="G659" s="478"/>
      <c r="H659" s="406"/>
      <c r="I659" s="12" t="s">
        <v>12</v>
      </c>
      <c r="J659" s="404"/>
      <c r="K659" s="15"/>
      <c r="L659" s="298"/>
      <c r="M659" s="326"/>
      <c r="N659" s="15"/>
      <c r="O659" s="465" t="s">
        <v>128</v>
      </c>
      <c r="P659" s="456" t="str">
        <f>$F$16</f>
        <v>$/kW</v>
      </c>
      <c r="Q659" s="531">
        <v>0</v>
      </c>
      <c r="R659" s="15"/>
      <c r="S659" s="12" t="s">
        <v>12</v>
      </c>
      <c r="T659" s="1"/>
      <c r="U659" s="1"/>
      <c r="V659" s="1"/>
      <c r="W659" s="1"/>
      <c r="X659" s="1"/>
      <c r="Y659" s="1"/>
      <c r="Z659" s="1"/>
      <c r="AA659" s="1"/>
      <c r="AB659" s="246"/>
    </row>
    <row r="660" spans="2:28" ht="15.75">
      <c r="B660" s="11"/>
      <c r="C660" s="369"/>
      <c r="D660" s="1"/>
      <c r="E660" s="451" t="s">
        <v>129</v>
      </c>
      <c r="F660" s="8"/>
      <c r="G660" s="680">
        <v>1.25</v>
      </c>
      <c r="H660" s="279"/>
      <c r="I660" s="12" t="s">
        <v>12</v>
      </c>
      <c r="J660" s="403"/>
      <c r="K660" s="15"/>
      <c r="L660" s="298"/>
      <c r="M660" s="375"/>
      <c r="N660" s="15">
        <f>IF(OR(Q660&lt;Q658,Q660&gt;$G$12),1,0)</f>
        <v>0</v>
      </c>
      <c r="O660" s="474" t="s">
        <v>130</v>
      </c>
      <c r="P660" s="8" t="s">
        <v>86</v>
      </c>
      <c r="Q660" s="530">
        <v>12</v>
      </c>
      <c r="R660" s="15"/>
      <c r="S660" s="12" t="s">
        <v>12</v>
      </c>
      <c r="T660" s="1"/>
      <c r="U660" s="1"/>
      <c r="V660" s="1"/>
      <c r="W660" s="1"/>
      <c r="X660" s="1"/>
      <c r="Y660" s="1"/>
      <c r="Z660" s="1"/>
      <c r="AA660" s="1"/>
      <c r="AB660" s="246"/>
    </row>
    <row r="661" spans="2:28" ht="16.5" thickBot="1">
      <c r="B661" s="11"/>
      <c r="C661" s="1"/>
      <c r="D661" s="1"/>
      <c r="E661" s="451" t="s">
        <v>131</v>
      </c>
      <c r="F661" s="248"/>
      <c r="G661" s="477"/>
      <c r="H661" s="280"/>
      <c r="I661" s="12" t="s">
        <v>12</v>
      </c>
      <c r="J661" s="403"/>
      <c r="K661" s="15"/>
      <c r="L661" s="298"/>
      <c r="M661" s="326"/>
      <c r="N661" s="15"/>
      <c r="O661" s="465" t="s">
        <v>132</v>
      </c>
      <c r="P661" s="456" t="str">
        <f>$F$16</f>
        <v>$/kW</v>
      </c>
      <c r="Q661" s="531">
        <v>0</v>
      </c>
      <c r="R661" s="15"/>
      <c r="S661" s="12" t="s">
        <v>12</v>
      </c>
      <c r="T661" s="1"/>
      <c r="U661" s="1"/>
      <c r="V661" s="1"/>
      <c r="W661" s="1"/>
      <c r="X661" s="1"/>
      <c r="Y661" s="1"/>
      <c r="Z661" s="1"/>
      <c r="AA661" s="1"/>
      <c r="AB661" s="246"/>
    </row>
    <row r="662" spans="2:28" ht="16.5" thickBot="1">
      <c r="B662" s="11"/>
      <c r="C662" s="369"/>
      <c r="D662" s="1"/>
      <c r="E662" s="455" t="s">
        <v>133</v>
      </c>
      <c r="F662" s="456" t="s">
        <v>127</v>
      </c>
      <c r="G662" s="479"/>
      <c r="H662" s="406"/>
      <c r="I662" s="12" t="s">
        <v>12</v>
      </c>
      <c r="J662" s="403"/>
      <c r="K662" s="15"/>
      <c r="L662" s="298"/>
      <c r="M662" s="1"/>
      <c r="N662" s="1"/>
      <c r="O662" s="1"/>
      <c r="P662" s="1"/>
      <c r="Q662" s="1"/>
      <c r="R662" s="1"/>
      <c r="S662" s="1"/>
      <c r="T662" s="1"/>
      <c r="U662" s="1"/>
      <c r="V662" s="1"/>
      <c r="W662" s="1"/>
      <c r="X662" s="1"/>
      <c r="Y662" s="1"/>
      <c r="Z662" s="1"/>
      <c r="AA662" s="1"/>
      <c r="AB662" s="246"/>
    </row>
    <row r="663" spans="2:28" ht="16.5" thickBot="1">
      <c r="B663" s="11"/>
      <c r="C663" s="1"/>
      <c r="D663" s="1"/>
      <c r="E663" s="449" t="s">
        <v>134</v>
      </c>
      <c r="F663" s="450" t="s">
        <v>19</v>
      </c>
      <c r="G663" s="488"/>
      <c r="H663" s="292"/>
      <c r="I663" s="12" t="s">
        <v>12</v>
      </c>
      <c r="J663" s="403"/>
      <c r="K663" s="15"/>
      <c r="L663" s="298"/>
      <c r="M663" s="15"/>
      <c r="N663" s="15"/>
      <c r="O663" s="5" t="s">
        <v>135</v>
      </c>
      <c r="P663" s="347" t="s">
        <v>6</v>
      </c>
      <c r="Q663" s="411" t="s">
        <v>7</v>
      </c>
      <c r="R663" s="15"/>
      <c r="S663" s="15"/>
      <c r="T663" s="15"/>
      <c r="U663" s="15"/>
      <c r="V663" s="1"/>
      <c r="W663" s="1"/>
      <c r="X663" s="1"/>
      <c r="Y663" s="1"/>
      <c r="Z663" s="1"/>
      <c r="AA663" s="1"/>
      <c r="AB663" s="246"/>
    </row>
    <row r="664" spans="2:28" ht="16.5" thickBot="1">
      <c r="B664" s="11"/>
      <c r="C664" s="369"/>
      <c r="D664" s="1">
        <f>IF(OR(G664&lt;0,G664=""),1,0)</f>
        <v>0</v>
      </c>
      <c r="E664" s="489" t="s">
        <v>136</v>
      </c>
      <c r="F664" s="466" t="s">
        <v>19</v>
      </c>
      <c r="G664" s="722">
        <v>0.10025000000000001</v>
      </c>
      <c r="H664" s="291"/>
      <c r="I664" s="12" t="s">
        <v>12</v>
      </c>
      <c r="J664" s="403"/>
      <c r="K664" s="15"/>
      <c r="L664" s="298"/>
      <c r="M664" s="15"/>
      <c r="N664" s="15"/>
      <c r="O664" s="532" t="s">
        <v>137</v>
      </c>
      <c r="P664" s="533"/>
      <c r="Q664" s="534"/>
      <c r="R664" s="15"/>
      <c r="S664" s="15"/>
      <c r="T664" s="15"/>
      <c r="U664" s="1"/>
      <c r="V664" s="1"/>
      <c r="W664" s="1"/>
      <c r="X664" s="1"/>
      <c r="Y664" s="1"/>
      <c r="Z664" s="1"/>
      <c r="AA664" s="1"/>
      <c r="AB664" s="246"/>
    </row>
    <row r="665" spans="2:28" ht="15.75">
      <c r="B665" s="11"/>
      <c r="C665" s="1"/>
      <c r="D665" s="1"/>
      <c r="E665" s="449" t="s">
        <v>138</v>
      </c>
      <c r="F665" s="450" t="s">
        <v>19</v>
      </c>
      <c r="G665" s="681"/>
      <c r="H665" s="1"/>
      <c r="I665" s="12" t="s">
        <v>12</v>
      </c>
      <c r="J665" s="246"/>
      <c r="K665" s="15"/>
      <c r="L665" s="298"/>
      <c r="M665" s="374"/>
      <c r="N665" s="15"/>
      <c r="O665" s="535" t="s">
        <v>139</v>
      </c>
      <c r="P665" s="23"/>
      <c r="Q665" s="511" t="s">
        <v>140</v>
      </c>
      <c r="R665" s="15"/>
      <c r="S665" s="12" t="s">
        <v>12</v>
      </c>
      <c r="T665" s="15"/>
      <c r="U665" s="15"/>
      <c r="V665" s="1"/>
      <c r="W665" s="1"/>
      <c r="X665" s="1"/>
      <c r="Y665" s="1"/>
      <c r="Z665" s="1"/>
      <c r="AA665" s="1"/>
      <c r="AB665" s="246"/>
    </row>
    <row r="666" spans="2:28" ht="16.5" thickBot="1">
      <c r="B666" s="11"/>
      <c r="C666" s="369"/>
      <c r="D666" s="1"/>
      <c r="E666" s="486" t="s">
        <v>141</v>
      </c>
      <c r="F666" s="466" t="s">
        <v>47</v>
      </c>
      <c r="G666" s="490">
        <v>0</v>
      </c>
      <c r="H666" s="288"/>
      <c r="I666" s="12" t="s">
        <v>12</v>
      </c>
      <c r="J666" s="246"/>
      <c r="K666" s="15"/>
      <c r="L666" s="298"/>
      <c r="M666" s="375"/>
      <c r="N666" s="15"/>
      <c r="O666" s="465" t="s">
        <v>142</v>
      </c>
      <c r="P666" s="456" t="s">
        <v>47</v>
      </c>
      <c r="Q666" s="588">
        <v>0</v>
      </c>
      <c r="R666" s="15"/>
      <c r="S666" s="12" t="s">
        <v>12</v>
      </c>
      <c r="T666" s="15"/>
      <c r="U666" s="385"/>
      <c r="V666" s="1"/>
      <c r="W666" s="1"/>
      <c r="X666" s="1"/>
      <c r="Y666" s="1"/>
      <c r="Z666" s="1"/>
      <c r="AA666" s="1"/>
      <c r="AB666" s="246"/>
    </row>
    <row r="667" spans="2:28" ht="16.5" thickBot="1">
      <c r="B667" s="11"/>
      <c r="C667" s="1"/>
      <c r="D667" s="1"/>
      <c r="E667" s="1"/>
      <c r="F667" s="1"/>
      <c r="G667" s="1"/>
      <c r="H667" s="1"/>
      <c r="I667" s="1"/>
      <c r="J667" s="246"/>
      <c r="K667" s="15"/>
      <c r="L667" s="298"/>
      <c r="M667" s="1"/>
      <c r="N667" s="1"/>
      <c r="O667" s="1"/>
      <c r="P667" s="1"/>
      <c r="Q667" s="1"/>
      <c r="R667" s="1"/>
      <c r="S667" s="1"/>
      <c r="T667" s="1"/>
      <c r="U667" s="385"/>
      <c r="V667" s="1"/>
      <c r="W667" s="1"/>
      <c r="X667" s="1"/>
      <c r="Y667" s="1"/>
      <c r="Z667" s="1"/>
      <c r="AA667" s="1"/>
      <c r="AB667" s="246"/>
    </row>
    <row r="668" spans="2:28" ht="16.5" thickBot="1">
      <c r="B668" s="298"/>
      <c r="C668" s="1"/>
      <c r="D668" s="1"/>
      <c r="E668" s="314" t="s">
        <v>143</v>
      </c>
      <c r="F668" s="22"/>
      <c r="G668" s="315"/>
      <c r="H668" s="1"/>
      <c r="I668" s="1"/>
      <c r="J668" s="246"/>
      <c r="K668" s="1"/>
      <c r="L668" s="298"/>
      <c r="M668" s="15"/>
      <c r="N668" s="15"/>
      <c r="O668" s="5" t="s">
        <v>144</v>
      </c>
      <c r="P668" s="347" t="s">
        <v>6</v>
      </c>
      <c r="Q668" s="411" t="s">
        <v>7</v>
      </c>
      <c r="R668" s="15"/>
      <c r="S668" s="15"/>
      <c r="T668" s="15"/>
      <c r="U668" s="378"/>
      <c r="V668" s="1"/>
      <c r="W668" s="1"/>
      <c r="X668" s="1"/>
      <c r="Y668" s="1"/>
      <c r="Z668" s="1"/>
      <c r="AA668" s="1"/>
      <c r="AB668" s="246"/>
    </row>
    <row r="669" spans="2:28" ht="15.75">
      <c r="B669" s="298"/>
      <c r="C669" s="1"/>
      <c r="D669" s="1"/>
      <c r="E669" s="449" t="s">
        <v>145</v>
      </c>
      <c r="F669" s="574"/>
      <c r="G669" s="491"/>
      <c r="H669" s="1"/>
      <c r="I669" s="12" t="s">
        <v>12</v>
      </c>
      <c r="J669" s="246"/>
      <c r="K669" s="15"/>
      <c r="L669" s="298"/>
      <c r="M669" s="15"/>
      <c r="N669" s="15"/>
      <c r="O669" s="536" t="s">
        <v>146</v>
      </c>
      <c r="P669" s="527"/>
      <c r="Q669" s="528"/>
      <c r="R669" s="15"/>
      <c r="S669" s="15"/>
      <c r="T669" s="15"/>
      <c r="U669" s="15"/>
      <c r="V669" s="1"/>
      <c r="W669" s="1"/>
      <c r="X669" s="1"/>
      <c r="Y669" s="1"/>
      <c r="Z669" s="1"/>
      <c r="AA669" s="1"/>
      <c r="AB669" s="246"/>
    </row>
    <row r="670" spans="2:28" ht="15.75">
      <c r="B670" s="298"/>
      <c r="C670" s="1"/>
      <c r="D670" s="1"/>
      <c r="E670" s="451" t="s">
        <v>147</v>
      </c>
      <c r="F670" s="573"/>
      <c r="G670" s="467"/>
      <c r="H670" s="1"/>
      <c r="I670" s="12" t="s">
        <v>12</v>
      </c>
      <c r="J670" s="246"/>
      <c r="K670" s="1"/>
      <c r="L670" s="298"/>
      <c r="M670" s="375"/>
      <c r="N670" s="15"/>
      <c r="O670" s="451" t="s">
        <v>148</v>
      </c>
      <c r="P670" s="7" t="s">
        <v>107</v>
      </c>
      <c r="Q670" s="584">
        <v>0</v>
      </c>
      <c r="R670" s="15"/>
      <c r="S670" s="12" t="s">
        <v>12</v>
      </c>
      <c r="T670" s="15"/>
      <c r="U670" s="15"/>
      <c r="V670" s="1"/>
      <c r="W670" s="1"/>
      <c r="X670" s="1"/>
      <c r="Y670" s="1"/>
      <c r="Z670" s="1"/>
      <c r="AA670" s="1"/>
      <c r="AB670" s="246"/>
    </row>
    <row r="671" spans="2:28" ht="16.5" thickBot="1">
      <c r="B671" s="11"/>
      <c r="C671" s="1"/>
      <c r="D671" s="1"/>
      <c r="E671" s="492" t="s">
        <v>149</v>
      </c>
      <c r="F671" s="575"/>
      <c r="G671" s="493"/>
      <c r="H671" s="1"/>
      <c r="I671" s="12" t="s">
        <v>12</v>
      </c>
      <c r="J671" s="246"/>
      <c r="K671" s="1"/>
      <c r="L671" s="298"/>
      <c r="M671" s="15"/>
      <c r="N671" s="15"/>
      <c r="O671" s="455" t="s">
        <v>150</v>
      </c>
      <c r="P671" s="466" t="s">
        <v>47</v>
      </c>
      <c r="Q671" s="537"/>
      <c r="R671" s="15"/>
      <c r="S671" s="12" t="s">
        <v>12</v>
      </c>
      <c r="T671" s="15"/>
      <c r="U671" s="15"/>
      <c r="V671" s="1"/>
      <c r="W671" s="1"/>
      <c r="X671" s="1"/>
      <c r="Y671" s="1"/>
      <c r="Z671" s="1"/>
      <c r="AA671" s="1"/>
      <c r="AB671" s="246"/>
    </row>
    <row r="672" spans="2:28" ht="17.25" thickTop="1" thickBot="1">
      <c r="B672" s="298"/>
      <c r="C672" s="1"/>
      <c r="D672" s="1"/>
      <c r="E672" s="494" t="s">
        <v>44</v>
      </c>
      <c r="F672" s="462" t="s">
        <v>47</v>
      </c>
      <c r="G672" s="495"/>
      <c r="H672" s="1"/>
      <c r="I672" s="12" t="s">
        <v>12</v>
      </c>
      <c r="J672" s="246"/>
      <c r="K672" s="1"/>
      <c r="L672" s="298"/>
      <c r="M672" s="15"/>
      <c r="N672" s="15"/>
      <c r="O672" s="536" t="s">
        <v>151</v>
      </c>
      <c r="P672" s="527"/>
      <c r="Q672" s="538"/>
      <c r="R672" s="15"/>
      <c r="S672" s="15"/>
      <c r="T672" s="15"/>
      <c r="U672" s="15"/>
      <c r="V672" s="1"/>
      <c r="W672" s="1"/>
      <c r="X672" s="1"/>
      <c r="Y672" s="1"/>
      <c r="Z672" s="1"/>
      <c r="AA672" s="1"/>
      <c r="AB672" s="246"/>
    </row>
    <row r="673" spans="2:28" ht="16.5" thickBot="1">
      <c r="B673" s="11"/>
      <c r="C673" s="1"/>
      <c r="D673" s="1"/>
      <c r="E673" s="1"/>
      <c r="F673" s="1"/>
      <c r="G673" s="1"/>
      <c r="H673" s="1"/>
      <c r="I673" s="1"/>
      <c r="J673" s="246"/>
      <c r="K673" s="1"/>
      <c r="L673" s="298"/>
      <c r="M673" s="375"/>
      <c r="N673" s="15"/>
      <c r="O673" s="474" t="s">
        <v>152</v>
      </c>
      <c r="P673" s="7" t="s">
        <v>107</v>
      </c>
      <c r="Q673" s="584">
        <v>0</v>
      </c>
      <c r="R673" s="15"/>
      <c r="S673" s="12" t="s">
        <v>12</v>
      </c>
      <c r="T673" s="15"/>
      <c r="U673" s="1"/>
      <c r="V673" s="1"/>
      <c r="W673" s="1"/>
      <c r="X673" s="1"/>
      <c r="Y673" s="1"/>
      <c r="Z673" s="1"/>
      <c r="AA673" s="1"/>
      <c r="AB673" s="246"/>
    </row>
    <row r="674" spans="2:28" ht="16.5" thickBot="1">
      <c r="B674" s="11"/>
      <c r="C674" s="1"/>
      <c r="D674" s="1"/>
      <c r="E674" s="5" t="s">
        <v>153</v>
      </c>
      <c r="F674" s="347" t="s">
        <v>6</v>
      </c>
      <c r="G674" s="411" t="s">
        <v>7</v>
      </c>
      <c r="H674" s="293"/>
      <c r="I674" s="17"/>
      <c r="J674" s="246"/>
      <c r="K674" s="1"/>
      <c r="L674" s="298"/>
      <c r="M674" s="15"/>
      <c r="N674" s="15"/>
      <c r="O674" s="465" t="s">
        <v>154</v>
      </c>
      <c r="P674" s="466" t="s">
        <v>47</v>
      </c>
      <c r="Q674" s="537"/>
      <c r="R674" s="15"/>
      <c r="S674" s="12" t="s">
        <v>12</v>
      </c>
      <c r="T674" s="15"/>
      <c r="U674" s="15"/>
      <c r="V674" s="1"/>
      <c r="W674" s="1"/>
      <c r="X674" s="1"/>
      <c r="Y674" s="1"/>
      <c r="Z674" s="1"/>
      <c r="AA674" s="1"/>
      <c r="AB674" s="246"/>
    </row>
    <row r="675" spans="2:28" ht="16.5" thickBot="1">
      <c r="B675" s="11"/>
      <c r="C675" s="373"/>
      <c r="D675" s="1"/>
      <c r="E675" s="438" t="s">
        <v>155</v>
      </c>
      <c r="F675" s="525"/>
      <c r="G675" s="547" t="s">
        <v>83</v>
      </c>
      <c r="H675" s="282"/>
      <c r="I675" s="12" t="s">
        <v>12</v>
      </c>
      <c r="J675" s="246"/>
      <c r="K675" s="1"/>
      <c r="L675" s="298"/>
      <c r="M675" s="375"/>
      <c r="N675" s="15"/>
      <c r="O675" s="540" t="s">
        <v>156</v>
      </c>
      <c r="P675" s="439" t="s">
        <v>19</v>
      </c>
      <c r="Q675" s="539">
        <v>0.02</v>
      </c>
      <c r="R675" s="15"/>
      <c r="S675" s="12" t="s">
        <v>12</v>
      </c>
      <c r="T675" s="15"/>
      <c r="U675" s="1"/>
      <c r="V675" s="1"/>
      <c r="W675" s="1"/>
      <c r="X675" s="1"/>
      <c r="Y675" s="1"/>
      <c r="Z675" s="1"/>
      <c r="AA675" s="1"/>
      <c r="AB675" s="246"/>
    </row>
    <row r="676" spans="2:28" ht="16.5" thickBot="1">
      <c r="B676" s="11"/>
      <c r="C676" s="369"/>
      <c r="D676" s="1">
        <f>IF(OR(G676&lt;0,G676=""),1,0)</f>
        <v>0</v>
      </c>
      <c r="E676" s="458" t="s">
        <v>157</v>
      </c>
      <c r="F676" s="450" t="s">
        <v>19</v>
      </c>
      <c r="G676" s="548">
        <v>0.21</v>
      </c>
      <c r="H676" s="270"/>
      <c r="I676" s="12" t="s">
        <v>12</v>
      </c>
      <c r="J676" s="403"/>
      <c r="K676" s="1"/>
      <c r="L676" s="11"/>
      <c r="M676" s="1"/>
      <c r="N676" s="1"/>
      <c r="O676" s="1"/>
      <c r="P676" s="1"/>
      <c r="Q676" s="1"/>
      <c r="R676" s="1"/>
      <c r="S676" s="1"/>
      <c r="T676" s="1"/>
      <c r="U676" s="1"/>
      <c r="V676" s="1"/>
      <c r="W676" s="1"/>
      <c r="X676" s="1"/>
      <c r="Y676" s="1"/>
      <c r="Z676" s="1"/>
      <c r="AA676" s="1"/>
      <c r="AB676" s="246"/>
    </row>
    <row r="677" spans="2:28" ht="16.5" thickBot="1">
      <c r="B677" s="11"/>
      <c r="C677" s="373"/>
      <c r="D677" s="1"/>
      <c r="E677" s="513" t="s">
        <v>75</v>
      </c>
      <c r="F677" s="549"/>
      <c r="G677" s="517" t="s">
        <v>76</v>
      </c>
      <c r="H677" s="282"/>
      <c r="I677" s="12" t="s">
        <v>12</v>
      </c>
      <c r="J677" s="246"/>
      <c r="K677" s="1"/>
      <c r="L677" s="11"/>
      <c r="M677" s="15"/>
      <c r="N677" s="15"/>
      <c r="O677" s="348" t="s">
        <v>158</v>
      </c>
      <c r="P677" s="432" t="s">
        <v>159</v>
      </c>
      <c r="Q677" s="432"/>
      <c r="R677" s="432"/>
      <c r="S677" s="432"/>
      <c r="T677" s="432"/>
      <c r="U677" s="432"/>
      <c r="V677" s="432"/>
      <c r="W677" s="432"/>
      <c r="X677" s="432"/>
      <c r="Y677" s="432"/>
      <c r="Z677" s="315"/>
      <c r="AA677" s="1"/>
      <c r="AB677" s="246"/>
    </row>
    <row r="678" spans="2:28" ht="15.75">
      <c r="B678" s="11"/>
      <c r="C678" s="369"/>
      <c r="D678" s="1">
        <f>IF(OR(G678&lt;0,G678=""),1,0)</f>
        <v>0</v>
      </c>
      <c r="E678" s="458" t="s">
        <v>160</v>
      </c>
      <c r="F678" s="450" t="s">
        <v>19</v>
      </c>
      <c r="G678" s="682">
        <v>0.09</v>
      </c>
      <c r="H678" s="270"/>
      <c r="I678" s="12" t="s">
        <v>12</v>
      </c>
      <c r="J678" s="403"/>
      <c r="K678" s="1"/>
      <c r="L678" s="11"/>
      <c r="M678" s="373"/>
      <c r="N678" s="15"/>
      <c r="O678" s="515" t="s">
        <v>161</v>
      </c>
      <c r="P678" s="496" t="str">
        <f>[2]Input_Dashboard!$D$141</f>
        <v>No</v>
      </c>
      <c r="Q678" s="1"/>
      <c r="R678" s="1"/>
      <c r="S678" s="419" t="s">
        <v>12</v>
      </c>
      <c r="T678" s="1"/>
      <c r="U678" s="1"/>
      <c r="V678" s="1"/>
      <c r="W678" s="1"/>
      <c r="X678" s="1"/>
      <c r="Y678" s="1"/>
      <c r="Z678" s="246"/>
      <c r="AA678" s="1"/>
      <c r="AB678" s="246"/>
    </row>
    <row r="679" spans="2:28" ht="16.5" thickBot="1">
      <c r="B679" s="11"/>
      <c r="C679" s="373"/>
      <c r="D679" s="1"/>
      <c r="E679" s="513" t="s">
        <v>162</v>
      </c>
      <c r="F679" s="549"/>
      <c r="G679" s="517" t="s">
        <v>76</v>
      </c>
      <c r="H679" s="282"/>
      <c r="I679" s="12" t="s">
        <v>12</v>
      </c>
      <c r="J679" s="403"/>
      <c r="K679" s="1"/>
      <c r="L679" s="11"/>
      <c r="M679" s="375"/>
      <c r="N679" s="1"/>
      <c r="O679" s="455" t="s">
        <v>163</v>
      </c>
      <c r="P679" s="683">
        <f>[2]Input_Dashboard!D744</f>
        <v>0</v>
      </c>
      <c r="Q679" s="1"/>
      <c r="R679" s="1"/>
      <c r="S679" s="12" t="s">
        <v>12</v>
      </c>
      <c r="T679" s="1"/>
      <c r="U679" s="1"/>
      <c r="V679" s="1"/>
      <c r="W679" s="1"/>
      <c r="X679" s="1"/>
      <c r="Y679" s="1"/>
      <c r="Z679" s="246"/>
      <c r="AA679" s="1"/>
      <c r="AB679" s="246"/>
    </row>
    <row r="680" spans="2:28" ht="16.5" thickBot="1">
      <c r="B680" s="11"/>
      <c r="C680" s="1"/>
      <c r="D680" s="1"/>
      <c r="E680" s="550" t="s">
        <v>164</v>
      </c>
      <c r="F680" s="551" t="s">
        <v>19</v>
      </c>
      <c r="G680" s="552"/>
      <c r="H680" s="295"/>
      <c r="I680" s="12" t="s">
        <v>12</v>
      </c>
      <c r="J680" s="403"/>
      <c r="K680" s="1"/>
      <c r="L680" s="11"/>
      <c r="M680" s="1"/>
      <c r="N680" s="1"/>
      <c r="O680" s="296"/>
      <c r="P680" s="40"/>
      <c r="Q680" s="40"/>
      <c r="R680" s="40"/>
      <c r="S680" s="40"/>
      <c r="T680" s="40"/>
      <c r="U680" s="40"/>
      <c r="V680" s="40"/>
      <c r="W680" s="40"/>
      <c r="X680" s="40"/>
      <c r="Y680" s="40"/>
      <c r="Z680" s="305"/>
      <c r="AA680" s="1"/>
      <c r="AB680" s="246"/>
    </row>
    <row r="681" spans="2:28" ht="16.5" thickBot="1">
      <c r="B681" s="11"/>
      <c r="C681" s="1"/>
      <c r="D681" s="1"/>
      <c r="E681" s="455" t="s">
        <v>158</v>
      </c>
      <c r="F681" s="498"/>
      <c r="G681" s="499" t="s">
        <v>165</v>
      </c>
      <c r="H681" s="55"/>
      <c r="I681" s="12" t="s">
        <v>12</v>
      </c>
      <c r="J681" s="246"/>
      <c r="K681" s="1"/>
      <c r="L681" s="11"/>
      <c r="M681" s="15"/>
      <c r="N681" s="15"/>
      <c r="O681" s="542" t="s">
        <v>166</v>
      </c>
      <c r="P681" s="543" t="s">
        <v>167</v>
      </c>
      <c r="Q681" s="648" t="s">
        <v>168</v>
      </c>
      <c r="R681" s="775" t="s">
        <v>169</v>
      </c>
      <c r="S681" s="776"/>
      <c r="T681" s="777"/>
      <c r="U681" s="543" t="s">
        <v>170</v>
      </c>
      <c r="V681" s="543" t="s">
        <v>171</v>
      </c>
      <c r="W681" s="543" t="s">
        <v>172</v>
      </c>
      <c r="X681" s="543" t="s">
        <v>173</v>
      </c>
      <c r="Y681" s="543" t="s">
        <v>174</v>
      </c>
      <c r="Z681" s="544" t="s">
        <v>175</v>
      </c>
      <c r="AA681" s="1"/>
      <c r="AB681" s="246"/>
    </row>
    <row r="682" spans="2:28" ht="16.5" thickBot="1">
      <c r="B682" s="11"/>
      <c r="C682" s="1"/>
      <c r="D682" s="1"/>
      <c r="E682" s="1"/>
      <c r="F682" s="1"/>
      <c r="G682" s="1"/>
      <c r="H682" s="1"/>
      <c r="I682" s="1"/>
      <c r="J682" s="246"/>
      <c r="K682" s="1"/>
      <c r="L682" s="11">
        <f>IF(AND($G$73="Yes",$G$15="Simple"),1,0)</f>
        <v>0</v>
      </c>
      <c r="M682" s="15"/>
      <c r="N682" s="230">
        <f>IF(AND($G$15="Simple",SUM(P682:Z682)=1),1,IF(AND($G$15="Simple",SUM(P682:Z682)&lt;&gt;1),2,0))</f>
        <v>0</v>
      </c>
      <c r="O682" s="545" t="str">
        <f t="shared" ref="O682:O687" si="7">E618</f>
        <v>Total Installed Cost</v>
      </c>
      <c r="P682" s="590">
        <v>0.94</v>
      </c>
      <c r="Q682" s="649">
        <v>0</v>
      </c>
      <c r="R682" s="778">
        <v>1.4999999999999999E-2</v>
      </c>
      <c r="S682" s="779"/>
      <c r="T682" s="780"/>
      <c r="U682" s="590">
        <v>0.01</v>
      </c>
      <c r="V682" s="590">
        <v>0</v>
      </c>
      <c r="W682" s="590">
        <v>0</v>
      </c>
      <c r="X682" s="590">
        <v>0.01</v>
      </c>
      <c r="Y682" s="590">
        <v>0</v>
      </c>
      <c r="Z682" s="593">
        <v>2.5000000000000001E-2</v>
      </c>
      <c r="AA682" s="1"/>
      <c r="AB682" s="294" t="s">
        <v>12</v>
      </c>
    </row>
    <row r="683" spans="2:28" ht="16.5" thickBot="1">
      <c r="B683" s="296"/>
      <c r="C683" s="40"/>
      <c r="D683" s="40"/>
      <c r="E683" s="40"/>
      <c r="F683" s="40"/>
      <c r="G683" s="40"/>
      <c r="H683" s="40"/>
      <c r="I683" s="40"/>
      <c r="J683" s="305"/>
      <c r="K683" s="1"/>
      <c r="L683" s="11">
        <f>IF(AND($G$73="Yes",$G$15="Intermediate"),1,0)</f>
        <v>1</v>
      </c>
      <c r="M683" s="15"/>
      <c r="N683" s="230">
        <f>IF(AND($G$15="Intermediate",SUM(P683:Z683)=1),1,IF(AND($G$15="Intermediate",SUM(P683:Z683)&lt;&gt;1),2,0))</f>
        <v>1</v>
      </c>
      <c r="O683" s="595" t="str">
        <f t="shared" si="7"/>
        <v>Generation Equipment</v>
      </c>
      <c r="P683" s="723">
        <v>0.96</v>
      </c>
      <c r="Q683" s="724">
        <v>0</v>
      </c>
      <c r="R683" s="781">
        <v>0.02</v>
      </c>
      <c r="S683" s="782"/>
      <c r="T683" s="783"/>
      <c r="U683" s="725">
        <v>0</v>
      </c>
      <c r="V683" s="725">
        <v>0</v>
      </c>
      <c r="W683" s="725">
        <v>0</v>
      </c>
      <c r="X683" s="725">
        <v>0.02</v>
      </c>
      <c r="Y683" s="725">
        <v>0</v>
      </c>
      <c r="Z683" s="726">
        <v>0</v>
      </c>
      <c r="AA683" s="1"/>
      <c r="AB683" s="294" t="s">
        <v>12</v>
      </c>
    </row>
    <row r="684" spans="2:28" ht="15.75">
      <c r="B684" s="1"/>
      <c r="C684" s="1"/>
      <c r="D684" s="1"/>
      <c r="E684" s="1"/>
      <c r="F684" s="1"/>
      <c r="G684" s="1"/>
      <c r="H684" s="1"/>
      <c r="I684" s="1"/>
      <c r="J684" s="1"/>
      <c r="K684" s="1"/>
      <c r="L684" s="11">
        <f>IF(AND($G$73="Yes",$G$15="Intermediate"),1,0)</f>
        <v>1</v>
      </c>
      <c r="M684" s="15"/>
      <c r="N684" s="230">
        <f>IF(AND($G$15="Intermediate",SUM(P684:Z684)=1),1,IF(AND($G$15="Intermediate",SUM(P684:Z684)&lt;&gt;1),2,0))</f>
        <v>1</v>
      </c>
      <c r="O684" s="596" t="str">
        <f t="shared" si="7"/>
        <v>Balance of Plant</v>
      </c>
      <c r="P684" s="723">
        <v>0.5</v>
      </c>
      <c r="Q684" s="724">
        <v>0</v>
      </c>
      <c r="R684" s="784">
        <v>0</v>
      </c>
      <c r="S684" s="785"/>
      <c r="T684" s="786"/>
      <c r="U684" s="724">
        <v>0</v>
      </c>
      <c r="V684" s="724">
        <v>0</v>
      </c>
      <c r="W684" s="724">
        <v>0.5</v>
      </c>
      <c r="X684" s="724">
        <v>0</v>
      </c>
      <c r="Y684" s="724">
        <v>0</v>
      </c>
      <c r="Z684" s="727">
        <v>0</v>
      </c>
      <c r="AA684" s="1"/>
      <c r="AB684" s="294" t="s">
        <v>12</v>
      </c>
    </row>
    <row r="685" spans="2:28" ht="15.75">
      <c r="B685" s="1"/>
      <c r="C685" s="1"/>
      <c r="D685" s="1"/>
      <c r="E685" s="1"/>
      <c r="F685" s="1"/>
      <c r="G685" s="1"/>
      <c r="H685" s="1"/>
      <c r="I685" s="1"/>
      <c r="J685" s="1"/>
      <c r="K685" s="1"/>
      <c r="L685" s="11">
        <f>IF(AND($G$73="Yes",$G$15="Intermediate"),1,0)</f>
        <v>1</v>
      </c>
      <c r="M685" s="15"/>
      <c r="N685" s="230">
        <f>IF(AND($G$15="Intermediate",SUM(P685:Z685)=1),1,IF(AND($G$15="Intermediate",SUM(P685:Z685)&lt;&gt;1),2,0))</f>
        <v>1</v>
      </c>
      <c r="O685" s="596" t="str">
        <f t="shared" si="7"/>
        <v>Interconnection</v>
      </c>
      <c r="P685" s="723">
        <v>0</v>
      </c>
      <c r="Q685" s="724">
        <v>0</v>
      </c>
      <c r="R685" s="784">
        <v>0</v>
      </c>
      <c r="S685" s="785"/>
      <c r="T685" s="786"/>
      <c r="U685" s="724">
        <v>0</v>
      </c>
      <c r="V685" s="724">
        <v>0</v>
      </c>
      <c r="W685" s="724">
        <v>1</v>
      </c>
      <c r="X685" s="724">
        <v>0</v>
      </c>
      <c r="Y685" s="724">
        <v>0</v>
      </c>
      <c r="Z685" s="727">
        <v>0</v>
      </c>
      <c r="AA685" s="1"/>
      <c r="AB685" s="294" t="s">
        <v>12</v>
      </c>
    </row>
    <row r="686" spans="2:28" ht="15.75">
      <c r="B686" s="1"/>
      <c r="C686" s="1"/>
      <c r="D686" s="1"/>
      <c r="E686" s="1"/>
      <c r="F686" s="1"/>
      <c r="G686" s="1"/>
      <c r="H686" s="1"/>
      <c r="I686" s="1"/>
      <c r="J686" s="1"/>
      <c r="K686" s="1"/>
      <c r="L686" s="11">
        <f>IF(AND($G$73="Yes",$G$15="Intermediate"),1,0)</f>
        <v>1</v>
      </c>
      <c r="M686" s="15"/>
      <c r="N686" s="230">
        <f>IF(AND($G$15="Intermediate",SUM(P686:Z686)=1),1,IF(AND($G$15="Intermediate",SUM(P686:Z686)&lt;&gt;1),2,0))</f>
        <v>1</v>
      </c>
      <c r="O686" s="596" t="str">
        <f t="shared" si="7"/>
        <v>Development Costs &amp; Fee</v>
      </c>
      <c r="P686" s="723">
        <v>0.8</v>
      </c>
      <c r="Q686" s="724">
        <v>0</v>
      </c>
      <c r="R686" s="784">
        <v>0</v>
      </c>
      <c r="S686" s="785"/>
      <c r="T686" s="786"/>
      <c r="U686" s="724">
        <v>0</v>
      </c>
      <c r="V686" s="724">
        <v>0</v>
      </c>
      <c r="W686" s="724">
        <v>0.05</v>
      </c>
      <c r="X686" s="724">
        <v>0.05</v>
      </c>
      <c r="Y686" s="724">
        <v>0</v>
      </c>
      <c r="Z686" s="727">
        <v>0.1</v>
      </c>
      <c r="AA686" s="1"/>
      <c r="AB686" s="294" t="s">
        <v>12</v>
      </c>
    </row>
    <row r="687" spans="2:28" ht="16.5" thickBot="1">
      <c r="B687" s="1"/>
      <c r="C687" s="1"/>
      <c r="D687" s="1"/>
      <c r="E687" s="1"/>
      <c r="F687" s="1"/>
      <c r="G687" s="1"/>
      <c r="H687" s="1"/>
      <c r="I687" s="1"/>
      <c r="J687" s="1"/>
      <c r="K687" s="1"/>
      <c r="L687" s="11">
        <f>IF(AND($G$73="Yes",$G$15="Intermediate"),1,0)</f>
        <v>1</v>
      </c>
      <c r="M687" s="15"/>
      <c r="N687" s="230">
        <f>IF(AND($G$15="Intermediate",SUM(P687:Z687)=1),1,IF(AND($G$15="Intermediate",SUM(P687:Z687)&lt;&gt;1),2,0))</f>
        <v>1</v>
      </c>
      <c r="O687" s="597" t="str">
        <f t="shared" si="7"/>
        <v>Reserves &amp; Financing Costs</v>
      </c>
      <c r="P687" s="728">
        <v>0</v>
      </c>
      <c r="Q687" s="729">
        <v>0</v>
      </c>
      <c r="R687" s="766">
        <v>0</v>
      </c>
      <c r="S687" s="767"/>
      <c r="T687" s="768"/>
      <c r="U687" s="729">
        <v>0</v>
      </c>
      <c r="V687" s="729">
        <v>0</v>
      </c>
      <c r="W687" s="729">
        <v>0</v>
      </c>
      <c r="X687" s="729">
        <v>0.5</v>
      </c>
      <c r="Y687" s="729">
        <v>0</v>
      </c>
      <c r="Z687" s="730">
        <v>0.5</v>
      </c>
      <c r="AA687" s="1"/>
      <c r="AB687" s="294" t="s">
        <v>12</v>
      </c>
    </row>
    <row r="688" spans="2:28" ht="16.5" thickBot="1">
      <c r="B688" s="1"/>
      <c r="C688" s="1"/>
      <c r="D688" s="1"/>
      <c r="E688" s="1"/>
      <c r="F688" s="1"/>
      <c r="G688" s="1"/>
      <c r="H688" s="1"/>
      <c r="I688" s="1"/>
      <c r="J688" s="1"/>
      <c r="K688" s="1"/>
      <c r="L688" s="296">
        <f>IF(AND($G$73="Yes",$G$15="Complex"),1,0)</f>
        <v>0</v>
      </c>
      <c r="M688" s="647"/>
      <c r="N688" s="647"/>
      <c r="O688" s="546" t="s">
        <v>176</v>
      </c>
      <c r="P688" s="591"/>
      <c r="Q688" s="592"/>
      <c r="R688" s="769"/>
      <c r="S688" s="770"/>
      <c r="T688" s="771"/>
      <c r="U688" s="591"/>
      <c r="V688" s="591"/>
      <c r="W688" s="591"/>
      <c r="X688" s="591"/>
      <c r="Y688" s="591"/>
      <c r="Z688" s="594"/>
      <c r="AA688" s="40"/>
      <c r="AB688" s="421" t="s">
        <v>12</v>
      </c>
    </row>
    <row r="690" spans="2:28" ht="36.75" thickBot="1">
      <c r="E690" s="731" t="s">
        <v>185</v>
      </c>
    </row>
    <row r="691" spans="2:28" ht="18.75" thickBot="1">
      <c r="B691" s="413"/>
      <c r="C691" s="772" t="s">
        <v>1</v>
      </c>
      <c r="D691" s="772"/>
      <c r="E691" s="772"/>
      <c r="F691" s="772"/>
      <c r="G691" s="772"/>
      <c r="H691" s="772"/>
      <c r="I691" s="772"/>
      <c r="J691" s="772"/>
      <c r="K691" s="772"/>
      <c r="L691" s="773"/>
      <c r="M691" s="773"/>
      <c r="N691" s="773"/>
      <c r="O691" s="773"/>
      <c r="P691" s="773"/>
      <c r="Q691" s="773"/>
      <c r="R691" s="773"/>
      <c r="S691" s="773"/>
      <c r="T691" s="773"/>
      <c r="U691" s="328"/>
      <c r="V691" s="329"/>
      <c r="W691" s="329"/>
      <c r="X691" s="329"/>
      <c r="Y691" s="329"/>
      <c r="Z691" s="329"/>
      <c r="AA691" s="329"/>
      <c r="AB691" s="330"/>
    </row>
    <row r="692" spans="2:28" ht="18">
      <c r="B692" s="11"/>
      <c r="C692" s="266"/>
      <c r="D692" s="266"/>
      <c r="E692" s="266"/>
      <c r="F692" s="266"/>
      <c r="G692" s="266"/>
      <c r="H692" s="266"/>
      <c r="I692" s="266"/>
      <c r="J692" s="266"/>
      <c r="K692" s="341"/>
      <c r="L692" s="265"/>
      <c r="M692" s="266"/>
      <c r="N692" s="266"/>
      <c r="O692" s="266"/>
      <c r="P692" s="266"/>
      <c r="Q692" s="266"/>
      <c r="R692" s="266"/>
      <c r="S692" s="266"/>
      <c r="T692" s="266"/>
      <c r="U692" s="266"/>
      <c r="V692" s="267"/>
      <c r="W692" s="267"/>
      <c r="X692" s="267"/>
      <c r="Y692" s="267"/>
      <c r="Z692" s="267"/>
      <c r="AA692" s="267"/>
      <c r="AB692" s="297"/>
    </row>
    <row r="693" spans="2:28" ht="18.75" thickBot="1">
      <c r="B693" s="11"/>
      <c r="C693" s="401" t="s">
        <v>2</v>
      </c>
      <c r="D693" s="14"/>
      <c r="E693" s="1"/>
      <c r="F693" s="15"/>
      <c r="G693" s="1"/>
      <c r="H693" s="392"/>
      <c r="I693" s="414" t="s">
        <v>3</v>
      </c>
      <c r="J693" s="1"/>
      <c r="K693" s="342"/>
      <c r="L693" s="298"/>
      <c r="M693" s="401" t="s">
        <v>2</v>
      </c>
      <c r="N693" s="15"/>
      <c r="O693" s="774" t="s">
        <v>4</v>
      </c>
      <c r="P693" s="774"/>
      <c r="Q693" s="420"/>
      <c r="R693" s="15"/>
      <c r="S693" s="401" t="s">
        <v>3</v>
      </c>
      <c r="T693" s="393"/>
      <c r="U693" s="14"/>
      <c r="V693" s="1"/>
      <c r="W693" s="1"/>
      <c r="X693" s="1"/>
      <c r="Y693" s="1"/>
      <c r="Z693" s="1"/>
      <c r="AA693" s="1"/>
      <c r="AB693" s="246"/>
    </row>
    <row r="694" spans="2:28" ht="18.75" thickBot="1">
      <c r="B694" s="415"/>
      <c r="C694" s="267"/>
      <c r="D694" s="267"/>
      <c r="E694" s="20"/>
      <c r="F694" s="16"/>
      <c r="G694" s="19"/>
      <c r="H694" s="416"/>
      <c r="I694" s="417"/>
      <c r="J694" s="418"/>
      <c r="K694" s="15"/>
      <c r="L694" s="415"/>
      <c r="M694" s="267"/>
      <c r="N694" s="267"/>
      <c r="O694" s="267"/>
      <c r="P694" s="267"/>
      <c r="Q694" s="267"/>
      <c r="R694" s="267"/>
      <c r="S694" s="267"/>
      <c r="T694" s="267"/>
      <c r="U694" s="267"/>
      <c r="V694" s="267"/>
      <c r="W694" s="267"/>
      <c r="X694" s="267"/>
      <c r="Y694" s="267"/>
      <c r="Z694" s="267"/>
      <c r="AA694" s="267"/>
      <c r="AB694" s="297"/>
    </row>
    <row r="695" spans="2:28" ht="21" thickBot="1">
      <c r="B695" s="11"/>
      <c r="C695" s="1"/>
      <c r="D695" s="1"/>
      <c r="E695" s="2" t="s">
        <v>5</v>
      </c>
      <c r="F695" s="347" t="s">
        <v>6</v>
      </c>
      <c r="G695" s="411" t="s">
        <v>7</v>
      </c>
      <c r="H695" s="57"/>
      <c r="I695" s="17"/>
      <c r="J695" s="402"/>
      <c r="K695" s="15"/>
      <c r="L695" s="11"/>
      <c r="M695" s="1"/>
      <c r="N695" s="1"/>
      <c r="O695" s="2" t="s">
        <v>8</v>
      </c>
      <c r="P695" s="347" t="s">
        <v>6</v>
      </c>
      <c r="Q695" s="411" t="s">
        <v>7</v>
      </c>
      <c r="R695" s="1"/>
      <c r="S695" s="1"/>
      <c r="T695" s="1"/>
      <c r="U695" s="645" t="s">
        <v>9</v>
      </c>
      <c r="V695" s="1"/>
      <c r="W695" s="1"/>
      <c r="X695" s="1"/>
      <c r="Y695" s="1"/>
      <c r="Z695" s="1"/>
      <c r="AA695" s="1"/>
      <c r="AB695" s="246"/>
    </row>
    <row r="696" spans="2:28" ht="15.75">
      <c r="B696" s="11"/>
      <c r="C696" s="317"/>
      <c r="D696" s="1"/>
      <c r="E696" s="458" t="s">
        <v>10</v>
      </c>
      <c r="F696" s="450" t="s">
        <v>11</v>
      </c>
      <c r="G696" s="717">
        <v>5000</v>
      </c>
      <c r="H696" s="269"/>
      <c r="I696" s="12" t="s">
        <v>12</v>
      </c>
      <c r="J696" s="403"/>
      <c r="K696" s="15"/>
      <c r="L696" s="11"/>
      <c r="M696" s="371"/>
      <c r="N696" s="1">
        <f>IF(OR(Q696&lt;=0,Q696&gt;G700),1,0)</f>
        <v>0</v>
      </c>
      <c r="O696" s="458" t="s">
        <v>13</v>
      </c>
      <c r="P696" s="450" t="s">
        <v>14</v>
      </c>
      <c r="Q696" s="667">
        <v>20</v>
      </c>
      <c r="R696" s="272"/>
      <c r="S696" s="12" t="s">
        <v>12</v>
      </c>
      <c r="T696" s="340"/>
      <c r="U696" s="656" t="s">
        <v>15</v>
      </c>
      <c r="V696" s="657" t="s">
        <v>16</v>
      </c>
      <c r="W696" s="658" t="s">
        <v>17</v>
      </c>
      <c r="X696" s="1"/>
      <c r="Y696" s="1"/>
      <c r="Z696" s="1"/>
      <c r="AA696" s="1"/>
      <c r="AB696" s="246"/>
    </row>
    <row r="697" spans="2:28" ht="15.75">
      <c r="B697" s="11"/>
      <c r="C697" s="370"/>
      <c r="D697" s="1">
        <f>IF(OR(G697&lt;=0,G697&gt;1),1,0)</f>
        <v>0</v>
      </c>
      <c r="E697" s="451" t="s">
        <v>18</v>
      </c>
      <c r="F697" s="7" t="s">
        <v>19</v>
      </c>
      <c r="G697" s="472">
        <v>0.151</v>
      </c>
      <c r="H697" s="270"/>
      <c r="I697" s="12" t="s">
        <v>12</v>
      </c>
      <c r="J697" s="403"/>
      <c r="K697" s="15"/>
      <c r="L697" s="11"/>
      <c r="M697" s="317"/>
      <c r="N697" s="1"/>
      <c r="O697" s="451" t="s">
        <v>20</v>
      </c>
      <c r="P697" s="7" t="s">
        <v>19</v>
      </c>
      <c r="Q697" s="472">
        <v>0</v>
      </c>
      <c r="R697" s="270">
        <v>0</v>
      </c>
      <c r="S697" s="12" t="s">
        <v>12</v>
      </c>
      <c r="T697" s="340"/>
      <c r="U697" s="474" t="s">
        <v>21</v>
      </c>
      <c r="V697" s="633" t="s">
        <v>22</v>
      </c>
      <c r="W697" s="646" t="s">
        <v>23</v>
      </c>
      <c r="X697" s="1"/>
      <c r="Y697" s="1"/>
      <c r="Z697" s="1"/>
      <c r="AA697" s="1"/>
      <c r="AB697" s="246"/>
    </row>
    <row r="698" spans="2:28" ht="16.5" thickBot="1">
      <c r="B698" s="11"/>
      <c r="C698" s="285"/>
      <c r="D698" s="1"/>
      <c r="E698" s="451" t="s">
        <v>24</v>
      </c>
      <c r="F698" s="8" t="s">
        <v>25</v>
      </c>
      <c r="G698" s="473"/>
      <c r="H698" s="271"/>
      <c r="I698" s="12" t="s">
        <v>12</v>
      </c>
      <c r="J698" s="403"/>
      <c r="K698" s="15"/>
      <c r="L698" s="11"/>
      <c r="M698" s="316"/>
      <c r="N698" s="1"/>
      <c r="O698" s="461" t="s">
        <v>26</v>
      </c>
      <c r="P698" s="466" t="s">
        <v>19</v>
      </c>
      <c r="Q698" s="472">
        <v>0</v>
      </c>
      <c r="R698" s="270"/>
      <c r="S698" s="12" t="s">
        <v>12</v>
      </c>
      <c r="T698" s="340"/>
      <c r="U698" s="451" t="s">
        <v>27</v>
      </c>
      <c r="V698" s="633" t="s">
        <v>22</v>
      </c>
      <c r="W698" s="646" t="s">
        <v>178</v>
      </c>
      <c r="X698" s="1"/>
      <c r="Y698" s="1"/>
      <c r="Z698" s="1"/>
      <c r="AA698" s="1"/>
      <c r="AB698" s="246"/>
    </row>
    <row r="699" spans="2:28" ht="16.5" thickBot="1">
      <c r="B699" s="11"/>
      <c r="C699" s="369"/>
      <c r="D699" s="1">
        <f>IF(OR(G699&lt;0,G699&gt;1),1,0)</f>
        <v>0</v>
      </c>
      <c r="E699" s="453" t="s">
        <v>29</v>
      </c>
      <c r="F699" s="7" t="s">
        <v>19</v>
      </c>
      <c r="G699" s="472">
        <v>5.0000000000000001E-3</v>
      </c>
      <c r="H699" s="270"/>
      <c r="I699" s="12" t="s">
        <v>12</v>
      </c>
      <c r="J699" s="403"/>
      <c r="K699" s="15"/>
      <c r="L699" s="298"/>
      <c r="M699" s="15"/>
      <c r="N699" s="15"/>
      <c r="O699" s="15"/>
      <c r="P699" s="15"/>
      <c r="Q699" s="15"/>
      <c r="R699" s="15"/>
      <c r="S699" s="15"/>
      <c r="T699" s="15"/>
      <c r="U699" s="639"/>
      <c r="V699" s="636"/>
      <c r="W699" s="640"/>
      <c r="X699" s="123"/>
      <c r="Y699" s="123"/>
      <c r="Z699" s="123"/>
      <c r="AA699" s="1"/>
      <c r="AB699" s="246"/>
    </row>
    <row r="700" spans="2:28" ht="16.5" thickBot="1">
      <c r="B700" s="11"/>
      <c r="C700" s="371"/>
      <c r="D700" s="1">
        <f>IF(OR(G700&lt;1,G700&gt;30),1,0)</f>
        <v>0</v>
      </c>
      <c r="E700" s="455" t="s">
        <v>30</v>
      </c>
      <c r="F700" s="466" t="s">
        <v>14</v>
      </c>
      <c r="G700" s="581">
        <v>30</v>
      </c>
      <c r="H700" s="272"/>
      <c r="I700" s="12" t="s">
        <v>12</v>
      </c>
      <c r="J700" s="403"/>
      <c r="K700" s="15"/>
      <c r="L700" s="298"/>
      <c r="M700" s="1"/>
      <c r="N700" s="1"/>
      <c r="O700" s="2" t="s">
        <v>31</v>
      </c>
      <c r="P700" s="3"/>
      <c r="Q700" s="4"/>
      <c r="R700" s="15"/>
      <c r="S700" s="12" t="s">
        <v>12</v>
      </c>
      <c r="T700" s="123"/>
      <c r="U700" s="474" t="s">
        <v>32</v>
      </c>
      <c r="V700" s="634" t="s">
        <v>33</v>
      </c>
      <c r="W700" s="669">
        <v>20</v>
      </c>
      <c r="X700" s="178"/>
      <c r="Y700" s="178"/>
      <c r="Z700" s="178"/>
      <c r="AA700" s="1"/>
      <c r="AB700" s="246"/>
    </row>
    <row r="701" spans="2:28" ht="16.5" thickBot="1">
      <c r="B701" s="11"/>
      <c r="C701" s="1"/>
      <c r="D701" s="1"/>
      <c r="E701" s="1"/>
      <c r="F701" s="1"/>
      <c r="G701" s="17"/>
      <c r="H701" s="17"/>
      <c r="I701" s="13"/>
      <c r="J701" s="403"/>
      <c r="K701" s="15"/>
      <c r="L701" s="298"/>
      <c r="M701" s="369"/>
      <c r="N701" s="1"/>
      <c r="O701" s="500" t="s">
        <v>34</v>
      </c>
      <c r="P701" s="501"/>
      <c r="Q701" s="502" t="s">
        <v>35</v>
      </c>
      <c r="R701" s="1"/>
      <c r="S701" s="345" t="s">
        <v>12</v>
      </c>
      <c r="T701" s="346">
        <f>IF(Q696&lt;G700,1,0)</f>
        <v>1</v>
      </c>
      <c r="U701" s="641" t="s">
        <v>36</v>
      </c>
      <c r="V701" s="635" t="s">
        <v>19</v>
      </c>
      <c r="W701" s="670">
        <v>0.02</v>
      </c>
      <c r="X701" s="1"/>
      <c r="Y701" s="123"/>
      <c r="Z701" s="123"/>
      <c r="AA701" s="1"/>
      <c r="AB701" s="246"/>
    </row>
    <row r="702" spans="2:28" ht="16.5" thickBot="1">
      <c r="B702" s="11"/>
      <c r="C702" s="1"/>
      <c r="D702" s="1"/>
      <c r="E702" s="10" t="s">
        <v>37</v>
      </c>
      <c r="F702" s="347" t="s">
        <v>6</v>
      </c>
      <c r="G702" s="411" t="s">
        <v>7</v>
      </c>
      <c r="H702" s="283"/>
      <c r="I702" s="13"/>
      <c r="J702" s="403"/>
      <c r="K702" s="15"/>
      <c r="L702" s="298"/>
      <c r="M702" s="369"/>
      <c r="N702" s="1">
        <f>IF(OR(Q702&lt;=0,Q702=""),1,0)</f>
        <v>0</v>
      </c>
      <c r="O702" s="503" t="s">
        <v>38</v>
      </c>
      <c r="P702" s="343" t="s">
        <v>39</v>
      </c>
      <c r="Q702" s="504">
        <v>5</v>
      </c>
      <c r="R702" s="1"/>
      <c r="S702" s="345" t="s">
        <v>12</v>
      </c>
      <c r="T702" s="346">
        <f>IF(AND($Q$8&lt;$G$12,$Q$13="Year One"),1,0)</f>
        <v>0</v>
      </c>
      <c r="U702" s="642"/>
      <c r="V702" s="637"/>
      <c r="W702" s="643"/>
      <c r="X702" s="1"/>
      <c r="Y702" s="123"/>
      <c r="Z702" s="123"/>
      <c r="AA702" s="1"/>
      <c r="AB702" s="246"/>
    </row>
    <row r="703" spans="2:28" ht="16.5" thickBot="1">
      <c r="B703" s="11"/>
      <c r="C703" s="318"/>
      <c r="D703" s="1"/>
      <c r="E703" s="438" t="s">
        <v>40</v>
      </c>
      <c r="F703" s="439"/>
      <c r="G703" s="440" t="s">
        <v>41</v>
      </c>
      <c r="H703" s="281"/>
      <c r="I703" s="12" t="s">
        <v>12</v>
      </c>
      <c r="J703" s="403"/>
      <c r="K703" s="15"/>
      <c r="L703" s="298"/>
      <c r="M703" s="369"/>
      <c r="N703" s="1">
        <f>IF(OR(Q703&lt;=0,Q703=""),1,0)</f>
        <v>0</v>
      </c>
      <c r="O703" s="505" t="s">
        <v>42</v>
      </c>
      <c r="P703" s="344" t="s">
        <v>19</v>
      </c>
      <c r="Q703" s="506">
        <v>0.03</v>
      </c>
      <c r="R703" s="1"/>
      <c r="S703" s="368" t="s">
        <v>12</v>
      </c>
      <c r="T703" s="346">
        <f>IF(AND($Q$8&lt;$G$12,$Q$13="Year One"),1,0)</f>
        <v>0</v>
      </c>
      <c r="U703" s="451" t="s">
        <v>43</v>
      </c>
      <c r="V703" s="633" t="s">
        <v>19</v>
      </c>
      <c r="W703" s="581">
        <v>0</v>
      </c>
      <c r="X703" s="1"/>
      <c r="Y703" s="123"/>
      <c r="Z703" s="123"/>
      <c r="AA703" s="1"/>
      <c r="AB703" s="246"/>
    </row>
    <row r="704" spans="2:28" ht="16.5" thickBot="1">
      <c r="B704" s="11"/>
      <c r="C704" s="319"/>
      <c r="D704" s="1"/>
      <c r="E704" s="441" t="s">
        <v>44</v>
      </c>
      <c r="F704" s="442" t="s">
        <v>33</v>
      </c>
      <c r="G704" s="443">
        <v>2500</v>
      </c>
      <c r="H704" s="273"/>
      <c r="I704" s="366" t="s">
        <v>12</v>
      </c>
      <c r="J704" s="404"/>
      <c r="K704" s="15"/>
      <c r="L704" s="298"/>
      <c r="M704" s="1"/>
      <c r="N704" s="1"/>
      <c r="O704" s="507" t="str">
        <f>IF(OR($Q$13="Year One",$Q$8=$G$12),"","Click Here for Complex Input Worksheet")</f>
        <v>Click Here for Complex Input Worksheet</v>
      </c>
      <c r="P704" s="508"/>
      <c r="Q704" s="509"/>
      <c r="R704" s="1"/>
      <c r="S704" s="366" t="s">
        <v>12</v>
      </c>
      <c r="T704" s="346">
        <f>IF(AND($Q$8&lt;$G$12,$Q$13="Year-by-Year"),1,0)</f>
        <v>1</v>
      </c>
      <c r="U704" s="451" t="s">
        <v>45</v>
      </c>
      <c r="V704" s="633" t="s">
        <v>19</v>
      </c>
      <c r="W704" s="670">
        <v>0.02</v>
      </c>
      <c r="X704" s="123"/>
      <c r="Y704" s="123"/>
      <c r="Z704" s="123"/>
      <c r="AA704" s="1"/>
      <c r="AB704" s="246"/>
    </row>
    <row r="705" spans="2:28" ht="16.5" thickBot="1">
      <c r="B705" s="11"/>
      <c r="C705" s="320"/>
      <c r="D705" s="1"/>
      <c r="E705" s="444" t="s">
        <v>46</v>
      </c>
      <c r="F705" s="343" t="s">
        <v>47</v>
      </c>
      <c r="G705" s="718">
        <v>12752006.829041246</v>
      </c>
      <c r="H705" s="274"/>
      <c r="I705" s="366" t="s">
        <v>12</v>
      </c>
      <c r="J705" s="403"/>
      <c r="K705" s="15"/>
      <c r="L705" s="298"/>
      <c r="M705" s="1"/>
      <c r="N705" s="1"/>
      <c r="O705" s="1"/>
      <c r="P705" s="1"/>
      <c r="Q705" s="1"/>
      <c r="R705" s="1"/>
      <c r="S705" s="1"/>
      <c r="T705" s="179"/>
      <c r="U705" s="644"/>
      <c r="V705" s="638"/>
      <c r="W705" s="643"/>
      <c r="X705" s="123"/>
      <c r="Y705" s="123"/>
      <c r="Z705" s="123"/>
      <c r="AA705" s="1"/>
      <c r="AB705" s="246"/>
    </row>
    <row r="706" spans="2:28" ht="16.5" thickBot="1">
      <c r="B706" s="11"/>
      <c r="C706" s="376"/>
      <c r="D706" s="1"/>
      <c r="E706" s="444" t="s">
        <v>48</v>
      </c>
      <c r="F706" s="343" t="s">
        <v>47</v>
      </c>
      <c r="G706" s="718">
        <v>0</v>
      </c>
      <c r="H706" s="274"/>
      <c r="I706" s="366" t="s">
        <v>12</v>
      </c>
      <c r="J706" s="403"/>
      <c r="K706" s="15"/>
      <c r="L706" s="298"/>
      <c r="M706" s="1"/>
      <c r="N706" s="1"/>
      <c r="O706" s="5" t="s">
        <v>49</v>
      </c>
      <c r="P706" s="347" t="s">
        <v>6</v>
      </c>
      <c r="Q706" s="411" t="s">
        <v>7</v>
      </c>
      <c r="R706" s="120"/>
      <c r="S706" s="13"/>
      <c r="T706" s="179"/>
      <c r="U706" s="641" t="s">
        <v>50</v>
      </c>
      <c r="V706" s="257" t="s">
        <v>47</v>
      </c>
      <c r="W706" s="581">
        <v>0</v>
      </c>
      <c r="X706" s="123"/>
      <c r="Y706" s="1"/>
      <c r="Z706" s="1"/>
      <c r="AA706" s="1"/>
      <c r="AB706" s="246"/>
    </row>
    <row r="707" spans="2:28" ht="16.5" thickBot="1">
      <c r="B707" s="11"/>
      <c r="C707" s="376"/>
      <c r="D707" s="1"/>
      <c r="E707" s="444" t="s">
        <v>51</v>
      </c>
      <c r="F707" s="343" t="s">
        <v>47</v>
      </c>
      <c r="G707" s="718">
        <v>0</v>
      </c>
      <c r="H707" s="274"/>
      <c r="I707" s="366" t="s">
        <v>12</v>
      </c>
      <c r="J707" s="403"/>
      <c r="K707" s="15"/>
      <c r="L707" s="298"/>
      <c r="M707" s="374"/>
      <c r="N707" s="1"/>
      <c r="O707" s="518" t="s">
        <v>52</v>
      </c>
      <c r="P707" s="519"/>
      <c r="Q707" s="520" t="s">
        <v>53</v>
      </c>
      <c r="R707" s="1"/>
      <c r="S707" s="12" t="s">
        <v>12</v>
      </c>
      <c r="T707" s="1"/>
      <c r="U707" s="489" t="s">
        <v>54</v>
      </c>
      <c r="V707" s="719" t="s">
        <v>55</v>
      </c>
      <c r="W707" s="720">
        <v>22</v>
      </c>
      <c r="X707" s="1"/>
      <c r="Y707" s="1"/>
      <c r="Z707" s="1"/>
      <c r="AA707" s="1"/>
      <c r="AB707" s="246"/>
    </row>
    <row r="708" spans="2:28" ht="15.75">
      <c r="B708" s="11"/>
      <c r="C708" s="376"/>
      <c r="D708" s="1"/>
      <c r="E708" s="604" t="s">
        <v>56</v>
      </c>
      <c r="F708" s="343" t="s">
        <v>47</v>
      </c>
      <c r="G708" s="721">
        <v>0</v>
      </c>
      <c r="H708" s="274"/>
      <c r="I708" s="366" t="s">
        <v>12</v>
      </c>
      <c r="J708" s="403"/>
      <c r="K708" s="15"/>
      <c r="L708" s="298"/>
      <c r="M708" s="374"/>
      <c r="N708" s="1"/>
      <c r="O708" s="458" t="s">
        <v>57</v>
      </c>
      <c r="P708" s="450"/>
      <c r="Q708" s="496" t="s">
        <v>58</v>
      </c>
      <c r="R708" s="15"/>
      <c r="S708" s="12" t="s">
        <v>12</v>
      </c>
      <c r="T708" s="15"/>
      <c r="U708" s="1"/>
      <c r="V708" s="1"/>
      <c r="W708" s="1"/>
      <c r="X708" s="1"/>
      <c r="Y708" s="1"/>
      <c r="Z708" s="1"/>
      <c r="AA708" s="1"/>
      <c r="AB708" s="246"/>
    </row>
    <row r="709" spans="2:28" ht="15.75">
      <c r="B709" s="11"/>
      <c r="C709" s="321"/>
      <c r="D709" s="1"/>
      <c r="E709" s="444" t="s">
        <v>59</v>
      </c>
      <c r="F709" s="343" t="s">
        <v>47</v>
      </c>
      <c r="G709" s="445"/>
      <c r="H709" s="275"/>
      <c r="I709" s="366" t="s">
        <v>12</v>
      </c>
      <c r="J709" s="403"/>
      <c r="K709" s="15"/>
      <c r="L709" s="298"/>
      <c r="M709" s="374"/>
      <c r="N709" s="1">
        <f>IF(OR(Q709&lt;0,Q709&gt;1,Q709=""),1,0)</f>
        <v>0</v>
      </c>
      <c r="O709" s="468" t="s">
        <v>60</v>
      </c>
      <c r="P709" s="6" t="s">
        <v>19</v>
      </c>
      <c r="Q709" s="674">
        <v>0.3</v>
      </c>
      <c r="R709" s="15"/>
      <c r="S709" s="12" t="s">
        <v>12</v>
      </c>
      <c r="T709" s="15"/>
      <c r="U709" s="1"/>
      <c r="V709" s="1"/>
      <c r="W709" s="1"/>
      <c r="X709" s="1"/>
      <c r="Y709" s="1"/>
      <c r="Z709" s="1"/>
      <c r="AA709" s="1"/>
      <c r="AB709" s="246"/>
    </row>
    <row r="710" spans="2:28" ht="16.5" thickBot="1">
      <c r="B710" s="11"/>
      <c r="C710" s="321"/>
      <c r="D710" s="1"/>
      <c r="E710" s="446" t="s">
        <v>61</v>
      </c>
      <c r="F710" s="447" t="str">
        <f>IF($G$15="Complex","$","")</f>
        <v/>
      </c>
      <c r="G710" s="448"/>
      <c r="H710" s="276"/>
      <c r="I710" s="366" t="s">
        <v>12</v>
      </c>
      <c r="J710" s="403"/>
      <c r="K710" s="15"/>
      <c r="L710" s="298"/>
      <c r="M710" s="369"/>
      <c r="N710" s="1">
        <f>IF(OR(Q710&lt;0,Q710&gt;1,Q710=""),1,0)</f>
        <v>0</v>
      </c>
      <c r="O710" s="483" t="s">
        <v>63</v>
      </c>
      <c r="P710" s="24" t="s">
        <v>19</v>
      </c>
      <c r="Q710" s="674">
        <v>1</v>
      </c>
      <c r="R710" s="121"/>
      <c r="S710" s="12" t="s">
        <v>12</v>
      </c>
      <c r="T710" s="367">
        <f>IF(AND($Q$19="Cost-Based",$Q$20="ITC"),1,0)</f>
        <v>1</v>
      </c>
      <c r="U710" s="1"/>
      <c r="V710" s="1"/>
      <c r="W710" s="1"/>
      <c r="X710" s="1"/>
      <c r="Y710" s="1"/>
      <c r="Z710" s="1"/>
      <c r="AA710" s="1"/>
      <c r="AB710" s="246"/>
    </row>
    <row r="711" spans="2:28" ht="16.5" thickBot="1">
      <c r="B711" s="11"/>
      <c r="C711" s="323"/>
      <c r="D711" s="1"/>
      <c r="E711" s="449" t="s">
        <v>44</v>
      </c>
      <c r="F711" s="450" t="s">
        <v>47</v>
      </c>
      <c r="G711" s="675"/>
      <c r="H711" s="276"/>
      <c r="I711" s="12" t="s">
        <v>12</v>
      </c>
      <c r="J711" s="403"/>
      <c r="K711" s="15"/>
      <c r="L711" s="298"/>
      <c r="M711" s="1"/>
      <c r="N711" s="1"/>
      <c r="O711" s="455" t="s">
        <v>64</v>
      </c>
      <c r="P711" s="462" t="s">
        <v>47</v>
      </c>
      <c r="Q711" s="676"/>
      <c r="R711" s="121"/>
      <c r="S711" s="12" t="s">
        <v>12</v>
      </c>
      <c r="T711" s="15"/>
      <c r="U711" s="1"/>
      <c r="V711" s="1"/>
      <c r="W711" s="1"/>
      <c r="X711" s="1"/>
      <c r="Y711" s="1"/>
      <c r="Z711" s="1"/>
      <c r="AA711" s="1"/>
      <c r="AB711" s="246"/>
    </row>
    <row r="712" spans="2:28" ht="15.75">
      <c r="B712" s="11"/>
      <c r="C712" s="323"/>
      <c r="D712" s="1"/>
      <c r="E712" s="451" t="s">
        <v>44</v>
      </c>
      <c r="F712" s="8" t="str">
        <f>F704</f>
        <v>$/kW</v>
      </c>
      <c r="G712" s="452"/>
      <c r="H712" s="284"/>
      <c r="I712" s="12" t="s">
        <v>12</v>
      </c>
      <c r="J712" s="403"/>
      <c r="K712" s="15"/>
      <c r="L712" s="298"/>
      <c r="M712" s="374"/>
      <c r="N712" s="1"/>
      <c r="O712" s="449" t="s">
        <v>65</v>
      </c>
      <c r="P712" s="522"/>
      <c r="Q712" s="510" t="s">
        <v>66</v>
      </c>
      <c r="R712" s="1"/>
      <c r="S712" s="12" t="s">
        <v>12</v>
      </c>
      <c r="T712" s="1"/>
      <c r="U712" s="1"/>
      <c r="V712" s="1"/>
      <c r="W712" s="1"/>
      <c r="X712" s="1"/>
      <c r="Y712" s="1"/>
      <c r="Z712" s="1"/>
      <c r="AA712" s="1"/>
      <c r="AB712" s="246"/>
    </row>
    <row r="713" spans="2:28" ht="15.75">
      <c r="B713" s="11"/>
      <c r="C713" s="322"/>
      <c r="D713" s="1"/>
      <c r="E713" s="453" t="s">
        <v>67</v>
      </c>
      <c r="F713" s="7" t="s">
        <v>47</v>
      </c>
      <c r="G713" s="454"/>
      <c r="H713" s="277"/>
      <c r="I713" s="12" t="s">
        <v>12</v>
      </c>
      <c r="J713" s="403"/>
      <c r="K713" s="15"/>
      <c r="L713" s="298"/>
      <c r="M713" s="369"/>
      <c r="N713" s="1"/>
      <c r="O713" s="451" t="s">
        <v>68</v>
      </c>
      <c r="P713" s="8" t="s">
        <v>39</v>
      </c>
      <c r="Q713" s="512">
        <v>0</v>
      </c>
      <c r="R713" s="15"/>
      <c r="S713" s="12" t="s">
        <v>12</v>
      </c>
      <c r="T713" s="15"/>
      <c r="U713" s="1"/>
      <c r="V713" s="1"/>
      <c r="W713" s="1"/>
      <c r="X713" s="1"/>
      <c r="Y713" s="1"/>
      <c r="Z713" s="1"/>
      <c r="AA713" s="1"/>
      <c r="AB713" s="246"/>
    </row>
    <row r="714" spans="2:28" ht="15.75">
      <c r="B714" s="11"/>
      <c r="C714" s="322"/>
      <c r="D714" s="1"/>
      <c r="E714" s="453" t="s">
        <v>69</v>
      </c>
      <c r="F714" s="7" t="s">
        <v>47</v>
      </c>
      <c r="G714" s="452"/>
      <c r="H714" s="276"/>
      <c r="I714" s="12" t="s">
        <v>12</v>
      </c>
      <c r="J714" s="403"/>
      <c r="K714" s="15"/>
      <c r="L714" s="298"/>
      <c r="M714" s="369"/>
      <c r="N714" s="1">
        <f>IF(OR(Q714&lt;0,Q714&gt;G700),1,0)</f>
        <v>0</v>
      </c>
      <c r="O714" s="451" t="s">
        <v>70</v>
      </c>
      <c r="P714" s="8" t="s">
        <v>71</v>
      </c>
      <c r="Q714" s="464">
        <v>0</v>
      </c>
      <c r="R714" s="15"/>
      <c r="S714" s="12" t="s">
        <v>12</v>
      </c>
      <c r="T714" s="15"/>
      <c r="U714" s="1"/>
      <c r="V714" s="1"/>
      <c r="W714" s="1"/>
      <c r="X714" s="1"/>
      <c r="Y714" s="1"/>
      <c r="Z714" s="1"/>
      <c r="AA714" s="1"/>
      <c r="AB714" s="246"/>
    </row>
    <row r="715" spans="2:28" ht="16.5" thickBot="1">
      <c r="B715" s="11"/>
      <c r="C715" s="323"/>
      <c r="D715" s="1"/>
      <c r="E715" s="455" t="s">
        <v>69</v>
      </c>
      <c r="F715" s="456" t="str">
        <f>F704</f>
        <v>$/kW</v>
      </c>
      <c r="G715" s="457"/>
      <c r="H715" s="284"/>
      <c r="I715" s="12" t="s">
        <v>12</v>
      </c>
      <c r="J715" s="403"/>
      <c r="K715" s="15"/>
      <c r="L715" s="298"/>
      <c r="M715" s="369"/>
      <c r="N715" s="1"/>
      <c r="O715" s="451" t="s">
        <v>72</v>
      </c>
      <c r="P715" s="6" t="s">
        <v>19</v>
      </c>
      <c r="Q715" s="497">
        <v>0</v>
      </c>
      <c r="R715" s="15"/>
      <c r="S715" s="12" t="s">
        <v>12</v>
      </c>
      <c r="T715" s="15"/>
      <c r="U715" s="1"/>
      <c r="V715" s="1"/>
      <c r="W715" s="1"/>
      <c r="X715" s="1"/>
      <c r="Y715" s="1"/>
      <c r="Z715" s="1"/>
      <c r="AA715" s="1"/>
      <c r="AB715" s="246"/>
    </row>
    <row r="716" spans="2:28" ht="16.5" thickBot="1">
      <c r="B716" s="11"/>
      <c r="C716" s="324"/>
      <c r="D716" s="1"/>
      <c r="E716" s="18"/>
      <c r="F716" s="1"/>
      <c r="G716" s="1"/>
      <c r="H716" s="1"/>
      <c r="I716" s="17"/>
      <c r="J716" s="403"/>
      <c r="K716" s="15"/>
      <c r="L716" s="298"/>
      <c r="M716" s="369"/>
      <c r="N716" s="1">
        <f>IF(OR(Q716&lt;0,Q716&gt;1),1,0)</f>
        <v>0</v>
      </c>
      <c r="O716" s="455" t="s">
        <v>73</v>
      </c>
      <c r="P716" s="462" t="s">
        <v>19</v>
      </c>
      <c r="Q716" s="523">
        <v>0</v>
      </c>
      <c r="R716" s="15"/>
      <c r="S716" s="12" t="s">
        <v>12</v>
      </c>
      <c r="T716" s="15"/>
      <c r="U716" s="1"/>
      <c r="V716" s="1"/>
      <c r="W716" s="1"/>
      <c r="X716" s="1"/>
      <c r="Y716" s="1"/>
      <c r="Z716" s="1"/>
      <c r="AA716" s="1"/>
      <c r="AB716" s="246"/>
    </row>
    <row r="717" spans="2:28" ht="16.5" thickBot="1">
      <c r="B717" s="11"/>
      <c r="C717" s="1"/>
      <c r="D717" s="1"/>
      <c r="E717" s="5" t="s">
        <v>74</v>
      </c>
      <c r="F717" s="347" t="s">
        <v>6</v>
      </c>
      <c r="G717" s="411" t="s">
        <v>7</v>
      </c>
      <c r="H717" s="285"/>
      <c r="I717" s="17"/>
      <c r="J717" s="403"/>
      <c r="K717" s="15"/>
      <c r="L717" s="298"/>
      <c r="M717" s="1"/>
      <c r="N717" s="1"/>
      <c r="O717" s="296" t="s">
        <v>75</v>
      </c>
      <c r="P717" s="521"/>
      <c r="Q717" s="514" t="s">
        <v>76</v>
      </c>
      <c r="R717" s="121"/>
      <c r="S717" s="12" t="s">
        <v>12</v>
      </c>
      <c r="T717" s="15"/>
      <c r="U717" s="1"/>
      <c r="V717" s="1"/>
      <c r="W717" s="1"/>
      <c r="X717" s="1"/>
      <c r="Y717" s="1"/>
      <c r="Z717" s="1"/>
      <c r="AA717" s="1"/>
      <c r="AB717" s="246"/>
    </row>
    <row r="718" spans="2:28" ht="16.5" thickBot="1">
      <c r="B718" s="11"/>
      <c r="C718" s="318"/>
      <c r="D718" s="1"/>
      <c r="E718" s="553" t="s">
        <v>40</v>
      </c>
      <c r="F718" s="554"/>
      <c r="G718" s="555" t="s">
        <v>41</v>
      </c>
      <c r="H718" s="281"/>
      <c r="I718" s="12" t="s">
        <v>12</v>
      </c>
      <c r="J718" s="403"/>
      <c r="K718" s="15"/>
      <c r="L718" s="11"/>
      <c r="M718" s="1"/>
      <c r="N718" s="1"/>
      <c r="O718" s="415"/>
      <c r="P718" s="267"/>
      <c r="Q718" s="297"/>
      <c r="R718" s="1"/>
      <c r="S718" s="1"/>
      <c r="T718" s="1"/>
      <c r="U718" s="1"/>
      <c r="V718" s="1"/>
      <c r="W718" s="1"/>
      <c r="X718" s="1"/>
      <c r="Y718" s="1"/>
      <c r="Z718" s="1"/>
      <c r="AA718" s="1"/>
      <c r="AB718" s="246"/>
    </row>
    <row r="719" spans="2:28" ht="15.75">
      <c r="B719" s="11"/>
      <c r="C719" s="325"/>
      <c r="D719" s="1"/>
      <c r="E719" s="458" t="s">
        <v>77</v>
      </c>
      <c r="F719" s="459" t="s">
        <v>78</v>
      </c>
      <c r="G719" s="460">
        <v>33</v>
      </c>
      <c r="H719" s="286"/>
      <c r="I719" s="12" t="s">
        <v>12</v>
      </c>
      <c r="J719" s="403"/>
      <c r="K719" s="15"/>
      <c r="L719" s="298"/>
      <c r="M719" s="369"/>
      <c r="N719" s="1"/>
      <c r="O719" s="515" t="s">
        <v>79</v>
      </c>
      <c r="P719" s="459" t="s">
        <v>47</v>
      </c>
      <c r="Q719" s="516">
        <v>0</v>
      </c>
      <c r="R719" s="121"/>
      <c r="S719" s="12" t="s">
        <v>12</v>
      </c>
      <c r="T719" s="1"/>
      <c r="U719" s="1"/>
      <c r="V719" s="1"/>
      <c r="W719" s="1"/>
      <c r="X719" s="1"/>
      <c r="Y719" s="1"/>
      <c r="Z719" s="1"/>
      <c r="AA719" s="1"/>
      <c r="AB719" s="246"/>
    </row>
    <row r="720" spans="2:28" ht="16.5" thickBot="1">
      <c r="B720" s="11"/>
      <c r="C720" s="369"/>
      <c r="D720" s="1"/>
      <c r="E720" s="453" t="s">
        <v>80</v>
      </c>
      <c r="F720" s="7" t="s">
        <v>81</v>
      </c>
      <c r="G720" s="512">
        <v>0</v>
      </c>
      <c r="H720" s="287"/>
      <c r="I720" s="12" t="s">
        <v>12</v>
      </c>
      <c r="J720" s="403"/>
      <c r="K720" s="15"/>
      <c r="L720" s="298"/>
      <c r="M720" s="374"/>
      <c r="N720" s="1"/>
      <c r="O720" s="455" t="s">
        <v>82</v>
      </c>
      <c r="P720" s="466"/>
      <c r="Q720" s="517" t="s">
        <v>83</v>
      </c>
      <c r="R720" s="21"/>
      <c r="S720" s="12" t="s">
        <v>12</v>
      </c>
      <c r="T720" s="1"/>
      <c r="U720" s="1"/>
      <c r="V720" s="1"/>
      <c r="W720" s="1"/>
      <c r="X720" s="1"/>
      <c r="Y720" s="1"/>
      <c r="Z720" s="1"/>
      <c r="AA720" s="1"/>
      <c r="AB720" s="246"/>
    </row>
    <row r="721" spans="2:28" ht="16.5" thickBot="1">
      <c r="B721" s="11"/>
      <c r="C721" s="326"/>
      <c r="D721" s="15"/>
      <c r="E721" s="474" t="s">
        <v>84</v>
      </c>
      <c r="F721" s="7" t="s">
        <v>19</v>
      </c>
      <c r="G721" s="475">
        <v>0.03</v>
      </c>
      <c r="H721" s="270"/>
      <c r="I721" s="12" t="s">
        <v>12</v>
      </c>
      <c r="J721" s="404"/>
      <c r="K721" s="15"/>
      <c r="L721" s="298"/>
      <c r="M721" s="1"/>
      <c r="N721" s="1"/>
      <c r="O721" s="1"/>
      <c r="P721" s="1"/>
      <c r="Q721" s="1"/>
      <c r="R721" s="1"/>
      <c r="S721" s="1"/>
      <c r="T721" s="1"/>
      <c r="U721" s="1"/>
      <c r="V721" s="1"/>
      <c r="W721" s="1"/>
      <c r="X721" s="1"/>
      <c r="Y721" s="1"/>
      <c r="Z721" s="1"/>
      <c r="AA721" s="1"/>
      <c r="AB721" s="246"/>
    </row>
    <row r="722" spans="2:28" ht="16.5" thickBot="1">
      <c r="B722" s="11"/>
      <c r="C722" s="317"/>
      <c r="D722" s="1"/>
      <c r="E722" s="451" t="s">
        <v>85</v>
      </c>
      <c r="F722" s="7" t="s">
        <v>86</v>
      </c>
      <c r="G722" s="582">
        <v>10</v>
      </c>
      <c r="H722" s="272"/>
      <c r="I722" s="12" t="s">
        <v>12</v>
      </c>
      <c r="J722" s="404"/>
      <c r="K722" s="15"/>
      <c r="L722" s="298"/>
      <c r="M722" s="1"/>
      <c r="N722" s="1"/>
      <c r="O722" s="5" t="s">
        <v>87</v>
      </c>
      <c r="P722" s="347" t="s">
        <v>6</v>
      </c>
      <c r="Q722" s="411" t="s">
        <v>7</v>
      </c>
      <c r="R722" s="15"/>
      <c r="S722" s="1"/>
      <c r="T722" s="412"/>
      <c r="U722" s="677"/>
      <c r="V722" s="1"/>
      <c r="W722" s="1"/>
      <c r="X722" s="1"/>
      <c r="Y722" s="1"/>
      <c r="Z722" s="1"/>
      <c r="AA722" s="1"/>
      <c r="AB722" s="246"/>
    </row>
    <row r="723" spans="2:28" ht="16.5" thickBot="1">
      <c r="B723" s="11"/>
      <c r="C723" s="326"/>
      <c r="D723" s="15"/>
      <c r="E723" s="465" t="s">
        <v>88</v>
      </c>
      <c r="F723" s="466" t="s">
        <v>19</v>
      </c>
      <c r="G723" s="475">
        <v>0.03</v>
      </c>
      <c r="H723" s="278"/>
      <c r="I723" s="12" t="s">
        <v>12</v>
      </c>
      <c r="J723" s="403"/>
      <c r="K723" s="15"/>
      <c r="L723" s="298"/>
      <c r="M723" s="374"/>
      <c r="N723" s="1"/>
      <c r="O723" s="568" t="s">
        <v>89</v>
      </c>
      <c r="P723" s="569"/>
      <c r="Q723" s="570" t="s">
        <v>90</v>
      </c>
      <c r="R723" s="1"/>
      <c r="S723" s="12" t="s">
        <v>12</v>
      </c>
      <c r="T723" s="1"/>
      <c r="U723" s="1"/>
      <c r="V723" s="1"/>
      <c r="W723" s="1"/>
      <c r="X723" s="1"/>
      <c r="Y723" s="1"/>
      <c r="Z723" s="1"/>
      <c r="AA723" s="1"/>
      <c r="AB723" s="246"/>
    </row>
    <row r="724" spans="2:28" ht="15.75">
      <c r="B724" s="11"/>
      <c r="C724" s="369"/>
      <c r="D724" s="1"/>
      <c r="E724" s="483" t="s">
        <v>91</v>
      </c>
      <c r="F724" s="6" t="s">
        <v>19</v>
      </c>
      <c r="G724" s="470">
        <v>5.7150000000000005E-3</v>
      </c>
      <c r="H724" s="270"/>
      <c r="I724" s="366" t="s">
        <v>12</v>
      </c>
      <c r="J724" s="403"/>
      <c r="K724" s="15"/>
      <c r="L724" s="298"/>
      <c r="M724" s="369"/>
      <c r="N724" s="1">
        <f>IF(OR(Q724&lt;0,Q724&gt;1),1,0)</f>
        <v>0</v>
      </c>
      <c r="O724" s="458" t="s">
        <v>92</v>
      </c>
      <c r="P724" s="450" t="s">
        <v>19</v>
      </c>
      <c r="Q724" s="600">
        <v>0</v>
      </c>
      <c r="R724" s="15">
        <f>IF(OR($Q$35="Performance-Based",$Q$35="Neither"),1,0)</f>
        <v>1</v>
      </c>
      <c r="S724" s="12" t="s">
        <v>12</v>
      </c>
      <c r="T724" s="15"/>
      <c r="U724" s="1"/>
      <c r="V724" s="1"/>
      <c r="W724" s="1"/>
      <c r="X724" s="1"/>
      <c r="Y724" s="1"/>
      <c r="Z724" s="1"/>
      <c r="AA724" s="1"/>
      <c r="AB724" s="246"/>
    </row>
    <row r="725" spans="2:28" ht="15.75">
      <c r="B725" s="11"/>
      <c r="C725" s="1"/>
      <c r="D725" s="1"/>
      <c r="E725" s="451" t="s">
        <v>93</v>
      </c>
      <c r="F725" s="7" t="s">
        <v>47</v>
      </c>
      <c r="G725" s="467"/>
      <c r="H725" s="275"/>
      <c r="I725" s="366" t="s">
        <v>12</v>
      </c>
      <c r="J725" s="403"/>
      <c r="K725" s="15"/>
      <c r="L725" s="298"/>
      <c r="M725" s="369"/>
      <c r="N725" s="1">
        <f>IF(OR(Q725&lt;0,Q725&gt;1),1,0)</f>
        <v>0</v>
      </c>
      <c r="O725" s="453" t="s">
        <v>94</v>
      </c>
      <c r="P725" s="7" t="s">
        <v>19</v>
      </c>
      <c r="Q725" s="601">
        <v>0</v>
      </c>
      <c r="R725" s="15"/>
      <c r="S725" s="12" t="s">
        <v>12</v>
      </c>
      <c r="T725" s="15"/>
      <c r="U725" s="15"/>
      <c r="V725" s="1"/>
      <c r="W725" s="1"/>
      <c r="X725" s="1"/>
      <c r="Y725" s="1"/>
      <c r="Z725" s="1"/>
      <c r="AA725" s="1"/>
      <c r="AB725" s="246"/>
    </row>
    <row r="726" spans="2:28" ht="15.75">
      <c r="B726" s="11"/>
      <c r="C726" s="369"/>
      <c r="D726" s="1"/>
      <c r="E726" s="468" t="s">
        <v>95</v>
      </c>
      <c r="F726" s="6" t="s">
        <v>96</v>
      </c>
      <c r="G726" s="469">
        <v>20000</v>
      </c>
      <c r="H726" s="288"/>
      <c r="I726" s="366" t="s">
        <v>12</v>
      </c>
      <c r="J726" s="404"/>
      <c r="K726" s="15"/>
      <c r="L726" s="298"/>
      <c r="M726" s="369"/>
      <c r="N726" s="1">
        <f>IF(OR(Q726&lt;1,Q726&gt;G700),1,0)</f>
        <v>1</v>
      </c>
      <c r="O726" s="451" t="s">
        <v>97</v>
      </c>
      <c r="P726" s="8" t="s">
        <v>71</v>
      </c>
      <c r="Q726" s="602">
        <v>0</v>
      </c>
      <c r="R726" s="15"/>
      <c r="S726" s="12" t="s">
        <v>12</v>
      </c>
      <c r="T726" s="1"/>
      <c r="U726" s="678"/>
      <c r="V726" s="1"/>
      <c r="W726" s="1"/>
      <c r="X726" s="1"/>
      <c r="Y726" s="1"/>
      <c r="Z726" s="1"/>
      <c r="AA726" s="1"/>
      <c r="AB726" s="246"/>
    </row>
    <row r="727" spans="2:28" ht="16.5" thickBot="1">
      <c r="B727" s="11"/>
      <c r="C727" s="369"/>
      <c r="D727" s="1"/>
      <c r="E727" s="451" t="s">
        <v>98</v>
      </c>
      <c r="F727" s="6" t="s">
        <v>33</v>
      </c>
      <c r="G727" s="603">
        <v>5</v>
      </c>
      <c r="H727" s="288"/>
      <c r="I727" s="366" t="s">
        <v>12</v>
      </c>
      <c r="J727" s="403"/>
      <c r="K727" s="15"/>
      <c r="L727" s="11"/>
      <c r="M727" s="1"/>
      <c r="N727" s="1"/>
      <c r="O727" s="455" t="s">
        <v>50</v>
      </c>
      <c r="P727" s="456" t="s">
        <v>47</v>
      </c>
      <c r="Q727" s="572">
        <v>0</v>
      </c>
      <c r="R727" s="1"/>
      <c r="S727" s="12" t="s">
        <v>12</v>
      </c>
      <c r="T727" s="1"/>
      <c r="U727" s="1"/>
      <c r="V727" s="1"/>
      <c r="W727" s="1"/>
      <c r="X727" s="1"/>
      <c r="Y727" s="1"/>
      <c r="Z727" s="1"/>
      <c r="AA727" s="1"/>
      <c r="AB727" s="246"/>
    </row>
    <row r="728" spans="2:28" ht="15.75">
      <c r="B728" s="11"/>
      <c r="C728" s="369"/>
      <c r="D728" s="1"/>
      <c r="E728" s="451" t="s">
        <v>43</v>
      </c>
      <c r="F728" s="6" t="s">
        <v>19</v>
      </c>
      <c r="G728" s="583">
        <v>0</v>
      </c>
      <c r="H728" s="1"/>
      <c r="I728" s="366" t="s">
        <v>12</v>
      </c>
      <c r="J728" s="403"/>
      <c r="K728" s="15"/>
      <c r="L728" s="298"/>
      <c r="M728" s="374"/>
      <c r="N728" s="1"/>
      <c r="O728" s="483" t="s">
        <v>99</v>
      </c>
      <c r="P728" s="6"/>
      <c r="Q728" s="571" t="s">
        <v>66</v>
      </c>
      <c r="R728" s="15">
        <f>IF(OR($Q$35="Cost-Based",$Q$35="Neither"),1,0)</f>
        <v>1</v>
      </c>
      <c r="S728" s="12" t="s">
        <v>12</v>
      </c>
      <c r="T728" s="15"/>
      <c r="U728" s="21"/>
      <c r="V728" s="1"/>
      <c r="W728" s="1"/>
      <c r="X728" s="1"/>
      <c r="Y728" s="1"/>
      <c r="Z728" s="1"/>
      <c r="AA728" s="1"/>
      <c r="AB728" s="246"/>
    </row>
    <row r="729" spans="2:28" ht="15.75">
      <c r="B729" s="11"/>
      <c r="C729" s="369"/>
      <c r="D729" s="1"/>
      <c r="E729" s="451" t="s">
        <v>100</v>
      </c>
      <c r="F729" s="6" t="s">
        <v>96</v>
      </c>
      <c r="G729" s="469">
        <v>160701</v>
      </c>
      <c r="H729" s="288"/>
      <c r="I729" s="366" t="s">
        <v>12</v>
      </c>
      <c r="J729" s="403"/>
      <c r="K729" s="15"/>
      <c r="L729" s="298"/>
      <c r="M729" s="374"/>
      <c r="N729" s="1"/>
      <c r="O729" s="451" t="s">
        <v>101</v>
      </c>
      <c r="P729" s="8"/>
      <c r="Q729" s="511" t="s">
        <v>102</v>
      </c>
      <c r="R729" s="346">
        <f>IF(OR($Q$35="Cost-Based",$Q$35="Neither",$Q$40="Tax Credit"),1,0)</f>
        <v>1</v>
      </c>
      <c r="S729" s="12" t="s">
        <v>12</v>
      </c>
      <c r="T729" s="1"/>
      <c r="U729" s="21"/>
      <c r="V729" s="1"/>
      <c r="W729" s="1"/>
      <c r="X729" s="1"/>
      <c r="Y729" s="1"/>
      <c r="Z729" s="1"/>
      <c r="AA729" s="1"/>
      <c r="AB729" s="246"/>
    </row>
    <row r="730" spans="2:28" ht="15.75">
      <c r="B730" s="11"/>
      <c r="C730" s="369"/>
      <c r="D730" s="1"/>
      <c r="E730" s="453" t="s">
        <v>103</v>
      </c>
      <c r="F730" s="6" t="s">
        <v>19</v>
      </c>
      <c r="G730" s="470">
        <v>0.02</v>
      </c>
      <c r="H730" s="270"/>
      <c r="I730" s="366" t="s">
        <v>12</v>
      </c>
      <c r="J730" s="403"/>
      <c r="K730" s="15"/>
      <c r="L730" s="298"/>
      <c r="M730" s="369"/>
      <c r="N730" s="1"/>
      <c r="O730" s="451" t="s">
        <v>68</v>
      </c>
      <c r="P730" s="55" t="s">
        <v>39</v>
      </c>
      <c r="Q730" s="512">
        <v>1.5</v>
      </c>
      <c r="R730" s="21"/>
      <c r="S730" s="12" t="s">
        <v>12</v>
      </c>
      <c r="T730" s="346"/>
      <c r="U730" s="679"/>
      <c r="V730" s="1"/>
      <c r="W730" s="1"/>
      <c r="X730" s="1"/>
      <c r="Y730" s="1"/>
      <c r="Z730" s="1"/>
      <c r="AA730" s="1"/>
      <c r="AB730" s="246"/>
    </row>
    <row r="731" spans="2:28" ht="16.5" thickBot="1">
      <c r="B731" s="11"/>
      <c r="C731" s="1"/>
      <c r="D731" s="1"/>
      <c r="E731" s="455"/>
      <c r="F731" s="466"/>
      <c r="G731" s="471"/>
      <c r="H731" s="275"/>
      <c r="I731" s="366" t="s">
        <v>12</v>
      </c>
      <c r="J731" s="246"/>
      <c r="K731" s="15"/>
      <c r="L731" s="298"/>
      <c r="M731" s="369"/>
      <c r="N731" s="1">
        <f>IF(OR(Q731&lt;0,Q731&gt;G700),1,0)</f>
        <v>0</v>
      </c>
      <c r="O731" s="451" t="s">
        <v>70</v>
      </c>
      <c r="P731" s="8" t="s">
        <v>71</v>
      </c>
      <c r="Q731" s="464">
        <v>10</v>
      </c>
      <c r="R731" s="21"/>
      <c r="S731" s="12" t="s">
        <v>12</v>
      </c>
      <c r="T731" s="1"/>
      <c r="U731" s="21"/>
      <c r="V731" s="1"/>
      <c r="W731" s="1"/>
      <c r="X731" s="1"/>
      <c r="Y731" s="1"/>
      <c r="Z731" s="1"/>
      <c r="AA731" s="1"/>
      <c r="AB731" s="246"/>
    </row>
    <row r="732" spans="2:28" ht="16.5" thickBot="1">
      <c r="B732" s="11"/>
      <c r="C732" s="327"/>
      <c r="D732" s="1"/>
      <c r="E732" s="1"/>
      <c r="F732" s="1"/>
      <c r="G732" s="1"/>
      <c r="H732" s="1"/>
      <c r="I732" s="17"/>
      <c r="J732" s="403"/>
      <c r="K732" s="15"/>
      <c r="L732" s="298"/>
      <c r="M732" s="369"/>
      <c r="N732" s="1"/>
      <c r="O732" s="451" t="s">
        <v>72</v>
      </c>
      <c r="P732" s="6" t="s">
        <v>19</v>
      </c>
      <c r="Q732" s="497">
        <v>0.02</v>
      </c>
      <c r="R732" s="15"/>
      <c r="S732" s="12" t="s">
        <v>12</v>
      </c>
      <c r="T732" s="346"/>
      <c r="U732" s="21"/>
      <c r="V732" s="1"/>
      <c r="W732" s="1"/>
      <c r="X732" s="1"/>
      <c r="Y732" s="1"/>
      <c r="Z732" s="1"/>
      <c r="AA732" s="1"/>
      <c r="AB732" s="246"/>
    </row>
    <row r="733" spans="2:28" ht="16.5" thickBot="1">
      <c r="B733" s="11"/>
      <c r="C733" s="327"/>
      <c r="D733" s="1"/>
      <c r="E733" s="5" t="s">
        <v>104</v>
      </c>
      <c r="F733" s="347" t="s">
        <v>6</v>
      </c>
      <c r="G733" s="411" t="s">
        <v>7</v>
      </c>
      <c r="H733" s="289"/>
      <c r="I733" s="17"/>
      <c r="J733" s="403"/>
      <c r="K733" s="15"/>
      <c r="L733" s="298"/>
      <c r="M733" s="369"/>
      <c r="N733" s="1">
        <f>IF(OR(Q733&lt;0,Q733&gt;1),1,0)</f>
        <v>0</v>
      </c>
      <c r="O733" s="455" t="s">
        <v>105</v>
      </c>
      <c r="P733" s="462" t="s">
        <v>19</v>
      </c>
      <c r="Q733" s="523">
        <v>1</v>
      </c>
      <c r="R733" s="15"/>
      <c r="S733" s="12" t="s">
        <v>12</v>
      </c>
      <c r="T733" s="21"/>
      <c r="U733" s="15"/>
      <c r="V733" s="1"/>
      <c r="W733" s="1"/>
      <c r="X733" s="1"/>
      <c r="Y733" s="1"/>
      <c r="Z733" s="1"/>
      <c r="AA733" s="1"/>
      <c r="AB733" s="246"/>
    </row>
    <row r="734" spans="2:28" ht="16.5" thickBot="1">
      <c r="B734" s="11"/>
      <c r="C734" s="372"/>
      <c r="D734" s="1"/>
      <c r="E734" s="463" t="s">
        <v>106</v>
      </c>
      <c r="F734" s="450" t="s">
        <v>107</v>
      </c>
      <c r="G734" s="556">
        <v>0</v>
      </c>
      <c r="H734" s="289"/>
      <c r="I734" s="12" t="s">
        <v>12</v>
      </c>
      <c r="J734" s="403"/>
      <c r="K734" s="15"/>
      <c r="L734" s="298"/>
      <c r="M734" s="15"/>
      <c r="N734" s="15"/>
      <c r="O734" s="524" t="s">
        <v>108</v>
      </c>
      <c r="P734" s="525"/>
      <c r="Q734" s="526" t="s">
        <v>76</v>
      </c>
      <c r="R734" s="15">
        <f>IF($Q$35="Neither",1,0)</f>
        <v>1</v>
      </c>
      <c r="S734" s="12" t="s">
        <v>12</v>
      </c>
      <c r="T734" s="21"/>
      <c r="U734" s="15"/>
      <c r="V734" s="1"/>
      <c r="W734" s="1"/>
      <c r="X734" s="1"/>
      <c r="Y734" s="1"/>
      <c r="Z734" s="1"/>
      <c r="AA734" s="1"/>
      <c r="AB734" s="246"/>
    </row>
    <row r="735" spans="2:28" ht="16.5" thickBot="1">
      <c r="B735" s="11"/>
      <c r="C735" s="372"/>
      <c r="D735" s="1"/>
      <c r="E735" s="474" t="s">
        <v>109</v>
      </c>
      <c r="F735" s="7" t="s">
        <v>19</v>
      </c>
      <c r="G735" s="548">
        <v>0</v>
      </c>
      <c r="H735" s="289"/>
      <c r="I735" s="12" t="s">
        <v>12</v>
      </c>
      <c r="J735" s="403"/>
      <c r="K735" s="15"/>
      <c r="L735" s="11"/>
      <c r="M735" s="1"/>
      <c r="N735" s="1"/>
      <c r="O735" s="415"/>
      <c r="P735" s="267"/>
      <c r="Q735" s="297"/>
      <c r="R735" s="1"/>
      <c r="S735" s="1"/>
      <c r="T735" s="1"/>
      <c r="U735" s="15"/>
      <c r="V735" s="1"/>
      <c r="W735" s="1"/>
      <c r="X735" s="1"/>
      <c r="Y735" s="1"/>
      <c r="Z735" s="1"/>
      <c r="AA735" s="1"/>
      <c r="AB735" s="246"/>
    </row>
    <row r="736" spans="2:28" ht="16.5" thickBot="1">
      <c r="B736" s="11"/>
      <c r="C736" s="327"/>
      <c r="D736" s="1"/>
      <c r="E736" s="465" t="s">
        <v>110</v>
      </c>
      <c r="F736" s="456" t="s">
        <v>47</v>
      </c>
      <c r="G736" s="471">
        <v>0</v>
      </c>
      <c r="H736" s="289"/>
      <c r="I736" s="12" t="s">
        <v>12</v>
      </c>
      <c r="J736" s="403"/>
      <c r="K736" s="15"/>
      <c r="L736" s="298"/>
      <c r="M736" s="369"/>
      <c r="N736" s="15"/>
      <c r="O736" s="515" t="s">
        <v>111</v>
      </c>
      <c r="P736" s="450" t="s">
        <v>47</v>
      </c>
      <c r="Q736" s="516">
        <v>0</v>
      </c>
      <c r="R736" s="1"/>
      <c r="S736" s="12" t="s">
        <v>12</v>
      </c>
      <c r="T736" s="15"/>
      <c r="U736" s="15"/>
      <c r="V736" s="1"/>
      <c r="W736" s="1"/>
      <c r="X736" s="1"/>
      <c r="Y736" s="1"/>
      <c r="Z736" s="1"/>
      <c r="AA736" s="1"/>
      <c r="AB736" s="246"/>
    </row>
    <row r="737" spans="2:28" ht="16.5" thickBot="1">
      <c r="B737" s="11"/>
      <c r="C737" s="1"/>
      <c r="D737" s="1"/>
      <c r="E737" s="1"/>
      <c r="F737" s="1"/>
      <c r="G737" s="182"/>
      <c r="H737" s="182"/>
      <c r="I737" s="17"/>
      <c r="J737" s="403"/>
      <c r="K737" s="15"/>
      <c r="L737" s="298"/>
      <c r="M737" s="374"/>
      <c r="N737" s="1"/>
      <c r="O737" s="455" t="s">
        <v>112</v>
      </c>
      <c r="P737" s="466"/>
      <c r="Q737" s="517" t="s">
        <v>83</v>
      </c>
      <c r="R737" s="21"/>
      <c r="S737" s="12" t="s">
        <v>12</v>
      </c>
      <c r="T737" s="15"/>
      <c r="U737" s="15"/>
      <c r="V737" s="1"/>
      <c r="W737" s="1"/>
      <c r="X737" s="1"/>
      <c r="Y737" s="1"/>
      <c r="Z737" s="1"/>
      <c r="AA737" s="1"/>
      <c r="AB737" s="246"/>
    </row>
    <row r="738" spans="2:28" ht="16.5" thickBot="1">
      <c r="B738" s="11"/>
      <c r="C738" s="327"/>
      <c r="D738" s="1"/>
      <c r="E738" s="480" t="s">
        <v>113</v>
      </c>
      <c r="F738" s="481" t="s">
        <v>6</v>
      </c>
      <c r="G738" s="482" t="s">
        <v>7</v>
      </c>
      <c r="H738" s="289"/>
      <c r="I738" s="405"/>
      <c r="J738" s="403"/>
      <c r="K738" s="15"/>
      <c r="L738" s="298"/>
      <c r="M738" s="1"/>
      <c r="N738" s="1"/>
      <c r="O738" s="1"/>
      <c r="P738" s="1"/>
      <c r="Q738" s="1"/>
      <c r="R738" s="1"/>
      <c r="S738" s="1"/>
      <c r="T738" s="15"/>
      <c r="U738" s="300"/>
      <c r="V738" s="1"/>
      <c r="W738" s="1"/>
      <c r="X738" s="1"/>
      <c r="Y738" s="1"/>
      <c r="Z738" s="1"/>
      <c r="AA738" s="1"/>
      <c r="AB738" s="246"/>
    </row>
    <row r="739" spans="2:28" ht="16.5" thickBot="1">
      <c r="B739" s="11"/>
      <c r="C739" s="369"/>
      <c r="D739" s="1">
        <f>IF(OR(G739="",G739&lt;0,G739&gt;1),1,0)</f>
        <v>0</v>
      </c>
      <c r="E739" s="449" t="s">
        <v>114</v>
      </c>
      <c r="F739" s="450" t="s">
        <v>19</v>
      </c>
      <c r="G739" s="476">
        <v>0.44500000000000001</v>
      </c>
      <c r="H739" s="290"/>
      <c r="I739" s="12" t="s">
        <v>12</v>
      </c>
      <c r="J739" s="404"/>
      <c r="K739" s="15"/>
      <c r="L739" s="298"/>
      <c r="M739" s="15"/>
      <c r="N739" s="15"/>
      <c r="O739" s="5" t="s">
        <v>115</v>
      </c>
      <c r="P739" s="22"/>
      <c r="Q739" s="411"/>
      <c r="R739" s="15"/>
      <c r="S739" s="15"/>
      <c r="T739" s="15"/>
      <c r="U739" s="15"/>
      <c r="V739" s="1"/>
      <c r="W739" s="1"/>
      <c r="X739" s="1"/>
      <c r="Y739" s="1"/>
      <c r="Z739" s="1"/>
      <c r="AA739" s="1"/>
      <c r="AB739" s="246"/>
    </row>
    <row r="740" spans="2:28" ht="15.75">
      <c r="B740" s="11"/>
      <c r="C740" s="369"/>
      <c r="D740" s="1">
        <f>IF(OR(G740&lt;=0,G740&gt;G700),1,0)</f>
        <v>0</v>
      </c>
      <c r="E740" s="451" t="s">
        <v>116</v>
      </c>
      <c r="F740" s="7" t="s">
        <v>14</v>
      </c>
      <c r="G740" s="464">
        <v>15</v>
      </c>
      <c r="H740" s="272"/>
      <c r="I740" s="12" t="s">
        <v>12</v>
      </c>
      <c r="J740" s="404"/>
      <c r="K740" s="15"/>
      <c r="L740" s="298"/>
      <c r="M740" s="375"/>
      <c r="N740" s="15">
        <f>IF(OR(Q740&lt;1,Q740&gt;$G$12),1,0)</f>
        <v>0</v>
      </c>
      <c r="O740" s="463" t="s">
        <v>117</v>
      </c>
      <c r="P740" s="459" t="s">
        <v>86</v>
      </c>
      <c r="Q740" s="556">
        <v>12</v>
      </c>
      <c r="R740" s="15"/>
      <c r="S740" s="12" t="s">
        <v>12</v>
      </c>
      <c r="T740" s="15"/>
      <c r="U740" s="15"/>
      <c r="V740" s="1"/>
      <c r="W740" s="1"/>
      <c r="X740" s="1"/>
      <c r="Y740" s="1"/>
      <c r="Z740" s="1"/>
      <c r="AA740" s="1"/>
      <c r="AB740" s="246"/>
    </row>
    <row r="741" spans="2:28" ht="16.5" thickBot="1">
      <c r="B741" s="11"/>
      <c r="C741" s="372"/>
      <c r="D741" s="1">
        <f>IF(OR(G741&lt;0,G741=""),1,0)</f>
        <v>0</v>
      </c>
      <c r="E741" s="451" t="s">
        <v>118</v>
      </c>
      <c r="F741" s="7" t="s">
        <v>19</v>
      </c>
      <c r="G741" s="485">
        <v>7.6638765941485373E-2</v>
      </c>
      <c r="H741" s="291"/>
      <c r="I741" s="12" t="s">
        <v>12</v>
      </c>
      <c r="J741" s="404"/>
      <c r="K741" s="15"/>
      <c r="L741" s="298"/>
      <c r="M741" s="326"/>
      <c r="N741" s="15"/>
      <c r="O741" s="465" t="s">
        <v>119</v>
      </c>
      <c r="P741" s="456" t="str">
        <f>$F$16</f>
        <v>$/kW</v>
      </c>
      <c r="Q741" s="531">
        <v>21</v>
      </c>
      <c r="R741" s="15"/>
      <c r="S741" s="12" t="s">
        <v>12</v>
      </c>
      <c r="T741" s="15"/>
      <c r="U741" s="15"/>
      <c r="V741" s="1"/>
      <c r="W741" s="1"/>
      <c r="X741" s="1"/>
      <c r="Y741" s="1"/>
      <c r="Z741" s="1"/>
      <c r="AA741" s="1"/>
      <c r="AB741" s="246"/>
    </row>
    <row r="742" spans="2:28" ht="16.5" thickBot="1">
      <c r="B742" s="11"/>
      <c r="C742" s="369"/>
      <c r="D742" s="1">
        <f>IF(OR(G742&lt;0,G742=""),1,0)</f>
        <v>0</v>
      </c>
      <c r="E742" s="486" t="s">
        <v>120</v>
      </c>
      <c r="F742" s="466" t="s">
        <v>19</v>
      </c>
      <c r="G742" s="487">
        <v>0.02</v>
      </c>
      <c r="H742" s="270"/>
      <c r="I742" s="12" t="s">
        <v>12</v>
      </c>
      <c r="J742" s="403"/>
      <c r="K742" s="15"/>
      <c r="L742" s="298"/>
      <c r="M742" s="375"/>
      <c r="N742" s="15">
        <f>IF(OR(Q742&lt;Q740,Q742&gt;$G$12),1,0)</f>
        <v>0</v>
      </c>
      <c r="O742" s="529" t="s">
        <v>121</v>
      </c>
      <c r="P742" s="24" t="s">
        <v>86</v>
      </c>
      <c r="Q742" s="530">
        <v>12</v>
      </c>
      <c r="R742" s="15"/>
      <c r="S742" s="12" t="s">
        <v>12</v>
      </c>
      <c r="T742" s="15"/>
      <c r="U742" s="15"/>
      <c r="V742" s="1"/>
      <c r="W742" s="1"/>
      <c r="X742" s="1"/>
      <c r="Y742" s="1"/>
      <c r="Z742" s="1"/>
      <c r="AA742" s="1"/>
      <c r="AB742" s="246"/>
    </row>
    <row r="743" spans="2:28" ht="16.5" thickBot="1">
      <c r="B743" s="11"/>
      <c r="C743" s="369"/>
      <c r="D743" s="1"/>
      <c r="E743" s="483" t="s">
        <v>122</v>
      </c>
      <c r="F743" s="24"/>
      <c r="G743" s="484">
        <v>1</v>
      </c>
      <c r="H743" s="279"/>
      <c r="I743" s="12" t="s">
        <v>12</v>
      </c>
      <c r="J743" s="403"/>
      <c r="K743" s="15"/>
      <c r="L743" s="298"/>
      <c r="M743" s="326"/>
      <c r="N743" s="15"/>
      <c r="O743" s="465" t="s">
        <v>123</v>
      </c>
      <c r="P743" s="456" t="str">
        <f>$F$16</f>
        <v>$/kW</v>
      </c>
      <c r="Q743" s="531">
        <v>0</v>
      </c>
      <c r="R743" s="15"/>
      <c r="S743" s="12" t="s">
        <v>12</v>
      </c>
      <c r="T743" s="15"/>
      <c r="U743" s="15"/>
      <c r="V743" s="1"/>
      <c r="W743" s="1"/>
      <c r="X743" s="1"/>
      <c r="Y743" s="1"/>
      <c r="Z743" s="1"/>
      <c r="AA743" s="1"/>
      <c r="AB743" s="246"/>
    </row>
    <row r="744" spans="2:28" ht="15.75">
      <c r="B744" s="11"/>
      <c r="C744" s="1"/>
      <c r="D744" s="1"/>
      <c r="E744" s="451" t="s">
        <v>124</v>
      </c>
      <c r="F744" s="248">
        <f>MAX('[2]Cash Flow'!G733:AJ733)</f>
        <v>0</v>
      </c>
      <c r="G744" s="477"/>
      <c r="H744" s="280"/>
      <c r="I744" s="12" t="s">
        <v>12</v>
      </c>
      <c r="J744" s="403"/>
      <c r="K744" s="15"/>
      <c r="L744" s="298"/>
      <c r="M744" s="375"/>
      <c r="N744" s="15">
        <f>IF(OR(Q744&lt;Q742,Q744&gt;$G$12),1,0)</f>
        <v>0</v>
      </c>
      <c r="O744" s="474" t="s">
        <v>125</v>
      </c>
      <c r="P744" s="8" t="s">
        <v>86</v>
      </c>
      <c r="Q744" s="530">
        <v>12</v>
      </c>
      <c r="R744" s="15"/>
      <c r="S744" s="12" t="s">
        <v>12</v>
      </c>
      <c r="T744" s="15"/>
      <c r="U744" s="15"/>
      <c r="V744" s="1"/>
      <c r="W744" s="1"/>
      <c r="X744" s="1"/>
      <c r="Y744" s="1"/>
      <c r="Z744" s="1"/>
      <c r="AA744" s="1"/>
      <c r="AB744" s="246"/>
    </row>
    <row r="745" spans="2:28" ht="16.5" thickBot="1">
      <c r="B745" s="11"/>
      <c r="C745" s="369"/>
      <c r="D745" s="1"/>
      <c r="E745" s="451" t="s">
        <v>126</v>
      </c>
      <c r="F745" s="8" t="s">
        <v>127</v>
      </c>
      <c r="G745" s="478"/>
      <c r="H745" s="406"/>
      <c r="I745" s="12" t="s">
        <v>12</v>
      </c>
      <c r="J745" s="404"/>
      <c r="K745" s="15"/>
      <c r="L745" s="298"/>
      <c r="M745" s="326"/>
      <c r="N745" s="15"/>
      <c r="O745" s="465" t="s">
        <v>128</v>
      </c>
      <c r="P745" s="456" t="str">
        <f>$F$16</f>
        <v>$/kW</v>
      </c>
      <c r="Q745" s="531">
        <v>0</v>
      </c>
      <c r="R745" s="15"/>
      <c r="S745" s="12" t="s">
        <v>12</v>
      </c>
      <c r="T745" s="1"/>
      <c r="U745" s="1"/>
      <c r="V745" s="1"/>
      <c r="W745" s="1"/>
      <c r="X745" s="1"/>
      <c r="Y745" s="1"/>
      <c r="Z745" s="1"/>
      <c r="AA745" s="1"/>
      <c r="AB745" s="246"/>
    </row>
    <row r="746" spans="2:28" ht="15.75">
      <c r="B746" s="11"/>
      <c r="C746" s="369"/>
      <c r="D746" s="1"/>
      <c r="E746" s="451" t="s">
        <v>129</v>
      </c>
      <c r="F746" s="8"/>
      <c r="G746" s="680">
        <v>1.25</v>
      </c>
      <c r="H746" s="279"/>
      <c r="I746" s="12" t="s">
        <v>12</v>
      </c>
      <c r="J746" s="403"/>
      <c r="K746" s="15"/>
      <c r="L746" s="298"/>
      <c r="M746" s="375"/>
      <c r="N746" s="15">
        <f>IF(OR(Q746&lt;Q744,Q746&gt;$G$12),1,0)</f>
        <v>0</v>
      </c>
      <c r="O746" s="474" t="s">
        <v>130</v>
      </c>
      <c r="P746" s="8" t="s">
        <v>86</v>
      </c>
      <c r="Q746" s="530">
        <v>12</v>
      </c>
      <c r="R746" s="15"/>
      <c r="S746" s="12" t="s">
        <v>12</v>
      </c>
      <c r="T746" s="1"/>
      <c r="U746" s="1"/>
      <c r="V746" s="1"/>
      <c r="W746" s="1"/>
      <c r="X746" s="1"/>
      <c r="Y746" s="1"/>
      <c r="Z746" s="1"/>
      <c r="AA746" s="1"/>
      <c r="AB746" s="246"/>
    </row>
    <row r="747" spans="2:28" ht="16.5" thickBot="1">
      <c r="B747" s="11"/>
      <c r="C747" s="1"/>
      <c r="D747" s="1"/>
      <c r="E747" s="451" t="s">
        <v>131</v>
      </c>
      <c r="F747" s="248"/>
      <c r="G747" s="477"/>
      <c r="H747" s="280"/>
      <c r="I747" s="12" t="s">
        <v>12</v>
      </c>
      <c r="J747" s="403"/>
      <c r="K747" s="15"/>
      <c r="L747" s="298"/>
      <c r="M747" s="326"/>
      <c r="N747" s="15"/>
      <c r="O747" s="465" t="s">
        <v>132</v>
      </c>
      <c r="P747" s="456" t="str">
        <f>$F$16</f>
        <v>$/kW</v>
      </c>
      <c r="Q747" s="531">
        <v>0</v>
      </c>
      <c r="R747" s="15"/>
      <c r="S747" s="12" t="s">
        <v>12</v>
      </c>
      <c r="T747" s="1"/>
      <c r="U747" s="1"/>
      <c r="V747" s="1"/>
      <c r="W747" s="1"/>
      <c r="X747" s="1"/>
      <c r="Y747" s="1"/>
      <c r="Z747" s="1"/>
      <c r="AA747" s="1"/>
      <c r="AB747" s="246"/>
    </row>
    <row r="748" spans="2:28" ht="16.5" thickBot="1">
      <c r="B748" s="11"/>
      <c r="C748" s="369"/>
      <c r="D748" s="1"/>
      <c r="E748" s="455" t="s">
        <v>133</v>
      </c>
      <c r="F748" s="456" t="s">
        <v>127</v>
      </c>
      <c r="G748" s="479"/>
      <c r="H748" s="406"/>
      <c r="I748" s="12" t="s">
        <v>12</v>
      </c>
      <c r="J748" s="403"/>
      <c r="K748" s="15"/>
      <c r="L748" s="298"/>
      <c r="M748" s="1"/>
      <c r="N748" s="1"/>
      <c r="O748" s="1"/>
      <c r="P748" s="1"/>
      <c r="Q748" s="1"/>
      <c r="R748" s="1"/>
      <c r="S748" s="1"/>
      <c r="T748" s="1"/>
      <c r="U748" s="1"/>
      <c r="V748" s="1"/>
      <c r="W748" s="1"/>
      <c r="X748" s="1"/>
      <c r="Y748" s="1"/>
      <c r="Z748" s="1"/>
      <c r="AA748" s="1"/>
      <c r="AB748" s="246"/>
    </row>
    <row r="749" spans="2:28" ht="16.5" thickBot="1">
      <c r="B749" s="11"/>
      <c r="C749" s="1"/>
      <c r="D749" s="1"/>
      <c r="E749" s="449" t="s">
        <v>134</v>
      </c>
      <c r="F749" s="450" t="s">
        <v>19</v>
      </c>
      <c r="G749" s="488"/>
      <c r="H749" s="292"/>
      <c r="I749" s="12" t="s">
        <v>12</v>
      </c>
      <c r="J749" s="403"/>
      <c r="K749" s="15"/>
      <c r="L749" s="298"/>
      <c r="M749" s="15"/>
      <c r="N749" s="15"/>
      <c r="O749" s="5" t="s">
        <v>135</v>
      </c>
      <c r="P749" s="347" t="s">
        <v>6</v>
      </c>
      <c r="Q749" s="411" t="s">
        <v>7</v>
      </c>
      <c r="R749" s="15"/>
      <c r="S749" s="15"/>
      <c r="T749" s="15"/>
      <c r="U749" s="15"/>
      <c r="V749" s="1"/>
      <c r="W749" s="1"/>
      <c r="X749" s="1"/>
      <c r="Y749" s="1"/>
      <c r="Z749" s="1"/>
      <c r="AA749" s="1"/>
      <c r="AB749" s="246"/>
    </row>
    <row r="750" spans="2:28" ht="16.5" thickBot="1">
      <c r="B750" s="11"/>
      <c r="C750" s="369"/>
      <c r="D750" s="1">
        <f>IF(OR(G750&lt;0,G750=""),1,0)</f>
        <v>0</v>
      </c>
      <c r="E750" s="489" t="s">
        <v>136</v>
      </c>
      <c r="F750" s="466" t="s">
        <v>19</v>
      </c>
      <c r="G750" s="722">
        <v>0.10025000000000001</v>
      </c>
      <c r="H750" s="291"/>
      <c r="I750" s="12" t="s">
        <v>12</v>
      </c>
      <c r="J750" s="403"/>
      <c r="K750" s="15"/>
      <c r="L750" s="298"/>
      <c r="M750" s="15"/>
      <c r="N750" s="15"/>
      <c r="O750" s="532" t="s">
        <v>137</v>
      </c>
      <c r="P750" s="533"/>
      <c r="Q750" s="534"/>
      <c r="R750" s="15"/>
      <c r="S750" s="15"/>
      <c r="T750" s="15"/>
      <c r="U750" s="1"/>
      <c r="V750" s="1"/>
      <c r="W750" s="1"/>
      <c r="X750" s="1"/>
      <c r="Y750" s="1"/>
      <c r="Z750" s="1"/>
      <c r="AA750" s="1"/>
      <c r="AB750" s="246"/>
    </row>
    <row r="751" spans="2:28" ht="15.75">
      <c r="B751" s="11"/>
      <c r="C751" s="1"/>
      <c r="D751" s="1"/>
      <c r="E751" s="449" t="s">
        <v>138</v>
      </c>
      <c r="F751" s="450" t="s">
        <v>19</v>
      </c>
      <c r="G751" s="681"/>
      <c r="H751" s="1"/>
      <c r="I751" s="12" t="s">
        <v>12</v>
      </c>
      <c r="J751" s="246"/>
      <c r="K751" s="15"/>
      <c r="L751" s="298"/>
      <c r="M751" s="374"/>
      <c r="N751" s="15"/>
      <c r="O751" s="535" t="s">
        <v>139</v>
      </c>
      <c r="P751" s="23"/>
      <c r="Q751" s="511" t="s">
        <v>140</v>
      </c>
      <c r="R751" s="15"/>
      <c r="S751" s="12" t="s">
        <v>12</v>
      </c>
      <c r="T751" s="15"/>
      <c r="U751" s="15"/>
      <c r="V751" s="1"/>
      <c r="W751" s="1"/>
      <c r="X751" s="1"/>
      <c r="Y751" s="1"/>
      <c r="Z751" s="1"/>
      <c r="AA751" s="1"/>
      <c r="AB751" s="246"/>
    </row>
    <row r="752" spans="2:28" ht="16.5" thickBot="1">
      <c r="B752" s="11"/>
      <c r="C752" s="369"/>
      <c r="D752" s="1"/>
      <c r="E752" s="486" t="s">
        <v>141</v>
      </c>
      <c r="F752" s="466" t="s">
        <v>47</v>
      </c>
      <c r="G752" s="490">
        <v>0</v>
      </c>
      <c r="H752" s="288"/>
      <c r="I752" s="12" t="s">
        <v>12</v>
      </c>
      <c r="J752" s="246"/>
      <c r="K752" s="15"/>
      <c r="L752" s="298"/>
      <c r="M752" s="375"/>
      <c r="N752" s="15"/>
      <c r="O752" s="465" t="s">
        <v>142</v>
      </c>
      <c r="P752" s="456" t="s">
        <v>47</v>
      </c>
      <c r="Q752" s="588">
        <v>0</v>
      </c>
      <c r="R752" s="15"/>
      <c r="S752" s="12" t="s">
        <v>12</v>
      </c>
      <c r="T752" s="15"/>
      <c r="U752" s="385"/>
      <c r="V752" s="1"/>
      <c r="W752" s="1"/>
      <c r="X752" s="1"/>
      <c r="Y752" s="1"/>
      <c r="Z752" s="1"/>
      <c r="AA752" s="1"/>
      <c r="AB752" s="246"/>
    </row>
    <row r="753" spans="2:28" ht="16.5" thickBot="1">
      <c r="B753" s="11"/>
      <c r="C753" s="1"/>
      <c r="D753" s="1"/>
      <c r="E753" s="1"/>
      <c r="F753" s="1"/>
      <c r="G753" s="1"/>
      <c r="H753" s="1"/>
      <c r="I753" s="1"/>
      <c r="J753" s="246"/>
      <c r="K753" s="15"/>
      <c r="L753" s="298"/>
      <c r="M753" s="1"/>
      <c r="N753" s="1"/>
      <c r="O753" s="1"/>
      <c r="P753" s="1"/>
      <c r="Q753" s="1"/>
      <c r="R753" s="1"/>
      <c r="S753" s="1"/>
      <c r="T753" s="1"/>
      <c r="U753" s="385"/>
      <c r="V753" s="1"/>
      <c r="W753" s="1"/>
      <c r="X753" s="1"/>
      <c r="Y753" s="1"/>
      <c r="Z753" s="1"/>
      <c r="AA753" s="1"/>
      <c r="AB753" s="246"/>
    </row>
    <row r="754" spans="2:28" ht="16.5" thickBot="1">
      <c r="B754" s="298"/>
      <c r="C754" s="1"/>
      <c r="D754" s="1"/>
      <c r="E754" s="314" t="s">
        <v>143</v>
      </c>
      <c r="F754" s="22"/>
      <c r="G754" s="315"/>
      <c r="H754" s="1"/>
      <c r="I754" s="1"/>
      <c r="J754" s="246"/>
      <c r="K754" s="1"/>
      <c r="L754" s="298"/>
      <c r="M754" s="15"/>
      <c r="N754" s="15"/>
      <c r="O754" s="5" t="s">
        <v>144</v>
      </c>
      <c r="P754" s="347" t="s">
        <v>6</v>
      </c>
      <c r="Q754" s="411" t="s">
        <v>7</v>
      </c>
      <c r="R754" s="15"/>
      <c r="S754" s="15"/>
      <c r="T754" s="15"/>
      <c r="U754" s="378"/>
      <c r="V754" s="1"/>
      <c r="W754" s="1"/>
      <c r="X754" s="1"/>
      <c r="Y754" s="1"/>
      <c r="Z754" s="1"/>
      <c r="AA754" s="1"/>
      <c r="AB754" s="246"/>
    </row>
    <row r="755" spans="2:28" ht="15.75">
      <c r="B755" s="298"/>
      <c r="C755" s="1"/>
      <c r="D755" s="1"/>
      <c r="E755" s="449" t="s">
        <v>145</v>
      </c>
      <c r="F755" s="574"/>
      <c r="G755" s="491"/>
      <c r="H755" s="1"/>
      <c r="I755" s="12" t="s">
        <v>12</v>
      </c>
      <c r="J755" s="246"/>
      <c r="K755" s="15"/>
      <c r="L755" s="298"/>
      <c r="M755" s="15"/>
      <c r="N755" s="15"/>
      <c r="O755" s="536" t="s">
        <v>146</v>
      </c>
      <c r="P755" s="527"/>
      <c r="Q755" s="528"/>
      <c r="R755" s="15"/>
      <c r="S755" s="15"/>
      <c r="T755" s="15"/>
      <c r="U755" s="15"/>
      <c r="V755" s="1"/>
      <c r="W755" s="1"/>
      <c r="X755" s="1"/>
      <c r="Y755" s="1"/>
      <c r="Z755" s="1"/>
      <c r="AA755" s="1"/>
      <c r="AB755" s="246"/>
    </row>
    <row r="756" spans="2:28" ht="15.75">
      <c r="B756" s="298"/>
      <c r="C756" s="1"/>
      <c r="D756" s="1"/>
      <c r="E756" s="451" t="s">
        <v>147</v>
      </c>
      <c r="F756" s="573"/>
      <c r="G756" s="467"/>
      <c r="H756" s="1"/>
      <c r="I756" s="12" t="s">
        <v>12</v>
      </c>
      <c r="J756" s="246"/>
      <c r="K756" s="1"/>
      <c r="L756" s="298"/>
      <c r="M756" s="375"/>
      <c r="N756" s="15"/>
      <c r="O756" s="451" t="s">
        <v>148</v>
      </c>
      <c r="P756" s="7" t="s">
        <v>107</v>
      </c>
      <c r="Q756" s="584">
        <v>0</v>
      </c>
      <c r="R756" s="15"/>
      <c r="S756" s="12" t="s">
        <v>12</v>
      </c>
      <c r="T756" s="15"/>
      <c r="U756" s="15"/>
      <c r="V756" s="1"/>
      <c r="W756" s="1"/>
      <c r="X756" s="1"/>
      <c r="Y756" s="1"/>
      <c r="Z756" s="1"/>
      <c r="AA756" s="1"/>
      <c r="AB756" s="246"/>
    </row>
    <row r="757" spans="2:28" ht="16.5" thickBot="1">
      <c r="B757" s="11"/>
      <c r="C757" s="1"/>
      <c r="D757" s="1"/>
      <c r="E757" s="492" t="s">
        <v>149</v>
      </c>
      <c r="F757" s="575"/>
      <c r="G757" s="493"/>
      <c r="H757" s="1"/>
      <c r="I757" s="12" t="s">
        <v>12</v>
      </c>
      <c r="J757" s="246"/>
      <c r="K757" s="1"/>
      <c r="L757" s="298"/>
      <c r="M757" s="15"/>
      <c r="N757" s="15"/>
      <c r="O757" s="455" t="s">
        <v>150</v>
      </c>
      <c r="P757" s="466" t="s">
        <v>47</v>
      </c>
      <c r="Q757" s="537"/>
      <c r="R757" s="15"/>
      <c r="S757" s="12" t="s">
        <v>12</v>
      </c>
      <c r="T757" s="15"/>
      <c r="U757" s="15"/>
      <c r="V757" s="1"/>
      <c r="W757" s="1"/>
      <c r="X757" s="1"/>
      <c r="Y757" s="1"/>
      <c r="Z757" s="1"/>
      <c r="AA757" s="1"/>
      <c r="AB757" s="246"/>
    </row>
    <row r="758" spans="2:28" ht="17.25" thickTop="1" thickBot="1">
      <c r="B758" s="298"/>
      <c r="C758" s="1"/>
      <c r="D758" s="1"/>
      <c r="E758" s="494" t="s">
        <v>44</v>
      </c>
      <c r="F758" s="462" t="s">
        <v>47</v>
      </c>
      <c r="G758" s="495"/>
      <c r="H758" s="1"/>
      <c r="I758" s="12" t="s">
        <v>12</v>
      </c>
      <c r="J758" s="246"/>
      <c r="K758" s="1"/>
      <c r="L758" s="298"/>
      <c r="M758" s="15"/>
      <c r="N758" s="15"/>
      <c r="O758" s="536" t="s">
        <v>151</v>
      </c>
      <c r="P758" s="527"/>
      <c r="Q758" s="538"/>
      <c r="R758" s="15"/>
      <c r="S758" s="15"/>
      <c r="T758" s="15"/>
      <c r="U758" s="15"/>
      <c r="V758" s="1"/>
      <c r="W758" s="1"/>
      <c r="X758" s="1"/>
      <c r="Y758" s="1"/>
      <c r="Z758" s="1"/>
      <c r="AA758" s="1"/>
      <c r="AB758" s="246"/>
    </row>
    <row r="759" spans="2:28" ht="16.5" thickBot="1">
      <c r="B759" s="11"/>
      <c r="C759" s="1"/>
      <c r="D759" s="1"/>
      <c r="E759" s="1"/>
      <c r="F759" s="1"/>
      <c r="G759" s="1"/>
      <c r="H759" s="1"/>
      <c r="I759" s="1"/>
      <c r="J759" s="246"/>
      <c r="K759" s="1"/>
      <c r="L759" s="298"/>
      <c r="M759" s="375"/>
      <c r="N759" s="15"/>
      <c r="O759" s="474" t="s">
        <v>152</v>
      </c>
      <c r="P759" s="7" t="s">
        <v>107</v>
      </c>
      <c r="Q759" s="584">
        <v>0</v>
      </c>
      <c r="R759" s="15"/>
      <c r="S759" s="12" t="s">
        <v>12</v>
      </c>
      <c r="T759" s="15"/>
      <c r="U759" s="1"/>
      <c r="V759" s="1"/>
      <c r="W759" s="1"/>
      <c r="X759" s="1"/>
      <c r="Y759" s="1"/>
      <c r="Z759" s="1"/>
      <c r="AA759" s="1"/>
      <c r="AB759" s="246"/>
    </row>
    <row r="760" spans="2:28" ht="16.5" thickBot="1">
      <c r="B760" s="11"/>
      <c r="C760" s="1"/>
      <c r="D760" s="1"/>
      <c r="E760" s="5" t="s">
        <v>153</v>
      </c>
      <c r="F760" s="347" t="s">
        <v>6</v>
      </c>
      <c r="G760" s="411"/>
      <c r="H760" s="293"/>
      <c r="I760" s="17"/>
      <c r="J760" s="246"/>
      <c r="K760" s="1"/>
      <c r="L760" s="298"/>
      <c r="M760" s="15"/>
      <c r="N760" s="15"/>
      <c r="O760" s="465" t="s">
        <v>154</v>
      </c>
      <c r="P760" s="466" t="s">
        <v>47</v>
      </c>
      <c r="Q760" s="537"/>
      <c r="R760" s="15"/>
      <c r="S760" s="12" t="s">
        <v>12</v>
      </c>
      <c r="T760" s="15"/>
      <c r="U760" s="15"/>
      <c r="V760" s="1"/>
      <c r="W760" s="1"/>
      <c r="X760" s="1"/>
      <c r="Y760" s="1"/>
      <c r="Z760" s="1"/>
      <c r="AA760" s="1"/>
      <c r="AB760" s="246"/>
    </row>
    <row r="761" spans="2:28" ht="16.5" thickBot="1">
      <c r="B761" s="11"/>
      <c r="C761" s="373"/>
      <c r="D761" s="1"/>
      <c r="E761" s="438" t="s">
        <v>155</v>
      </c>
      <c r="F761" s="525"/>
      <c r="G761" s="547" t="s">
        <v>83</v>
      </c>
      <c r="H761" s="282"/>
      <c r="I761" s="12" t="s">
        <v>12</v>
      </c>
      <c r="J761" s="246"/>
      <c r="K761" s="1"/>
      <c r="L761" s="298"/>
      <c r="M761" s="375"/>
      <c r="N761" s="15"/>
      <c r="O761" s="540" t="s">
        <v>156</v>
      </c>
      <c r="P761" s="439" t="s">
        <v>19</v>
      </c>
      <c r="Q761" s="539">
        <v>0.02</v>
      </c>
      <c r="R761" s="15"/>
      <c r="S761" s="12" t="s">
        <v>12</v>
      </c>
      <c r="T761" s="15"/>
      <c r="U761" s="1"/>
      <c r="V761" s="1"/>
      <c r="W761" s="1"/>
      <c r="X761" s="1"/>
      <c r="Y761" s="1"/>
      <c r="Z761" s="1"/>
      <c r="AA761" s="1"/>
      <c r="AB761" s="246"/>
    </row>
    <row r="762" spans="2:28" ht="16.5" thickBot="1">
      <c r="B762" s="11"/>
      <c r="C762" s="369"/>
      <c r="D762" s="1">
        <f>IF(OR(G762&lt;0,G762=""),1,0)</f>
        <v>0</v>
      </c>
      <c r="E762" s="458" t="s">
        <v>157</v>
      </c>
      <c r="F762" s="450" t="s">
        <v>19</v>
      </c>
      <c r="G762" s="548">
        <v>0.21</v>
      </c>
      <c r="H762" s="270"/>
      <c r="I762" s="12" t="s">
        <v>12</v>
      </c>
      <c r="J762" s="403"/>
      <c r="K762" s="1"/>
      <c r="L762" s="11"/>
      <c r="M762" s="1"/>
      <c r="N762" s="1"/>
      <c r="O762" s="1"/>
      <c r="P762" s="1"/>
      <c r="Q762" s="1"/>
      <c r="R762" s="1"/>
      <c r="S762" s="1"/>
      <c r="T762" s="1"/>
      <c r="U762" s="1"/>
      <c r="V762" s="1"/>
      <c r="W762" s="1"/>
      <c r="X762" s="1"/>
      <c r="Y762" s="1"/>
      <c r="Z762" s="1"/>
      <c r="AA762" s="1"/>
      <c r="AB762" s="246"/>
    </row>
    <row r="763" spans="2:28" ht="16.5" thickBot="1">
      <c r="B763" s="11"/>
      <c r="C763" s="373"/>
      <c r="D763" s="1"/>
      <c r="E763" s="513" t="s">
        <v>75</v>
      </c>
      <c r="F763" s="549"/>
      <c r="G763" s="517" t="s">
        <v>76</v>
      </c>
      <c r="H763" s="282"/>
      <c r="I763" s="12" t="s">
        <v>12</v>
      </c>
      <c r="J763" s="246"/>
      <c r="K763" s="1"/>
      <c r="L763" s="11"/>
      <c r="M763" s="15"/>
      <c r="N763" s="15"/>
      <c r="O763" s="348" t="s">
        <v>158</v>
      </c>
      <c r="P763" s="432" t="s">
        <v>159</v>
      </c>
      <c r="Q763" s="432"/>
      <c r="R763" s="432"/>
      <c r="S763" s="432"/>
      <c r="T763" s="432"/>
      <c r="U763" s="432"/>
      <c r="V763" s="432"/>
      <c r="W763" s="432"/>
      <c r="X763" s="432"/>
      <c r="Y763" s="432"/>
      <c r="Z763" s="315"/>
      <c r="AA763" s="1"/>
      <c r="AB763" s="246"/>
    </row>
    <row r="764" spans="2:28" ht="15.75">
      <c r="B764" s="11"/>
      <c r="C764" s="369"/>
      <c r="D764" s="1">
        <f>IF(OR(G764&lt;0,G764=""),1,0)</f>
        <v>0</v>
      </c>
      <c r="E764" s="458" t="s">
        <v>160</v>
      </c>
      <c r="F764" s="450" t="s">
        <v>19</v>
      </c>
      <c r="G764" s="682">
        <v>0.09</v>
      </c>
      <c r="H764" s="270"/>
      <c r="I764" s="12" t="s">
        <v>12</v>
      </c>
      <c r="J764" s="403"/>
      <c r="K764" s="1"/>
      <c r="L764" s="11"/>
      <c r="M764" s="373"/>
      <c r="N764" s="15"/>
      <c r="O764" s="515" t="s">
        <v>161</v>
      </c>
      <c r="P764" s="496" t="str">
        <f>[2]Input_Dashboard!$D$141</f>
        <v>No</v>
      </c>
      <c r="Q764" s="1"/>
      <c r="R764" s="1"/>
      <c r="S764" s="419" t="s">
        <v>12</v>
      </c>
      <c r="T764" s="1"/>
      <c r="U764" s="1"/>
      <c r="V764" s="1"/>
      <c r="W764" s="1"/>
      <c r="X764" s="1"/>
      <c r="Y764" s="1"/>
      <c r="Z764" s="246"/>
      <c r="AA764" s="1"/>
      <c r="AB764" s="246"/>
    </row>
    <row r="765" spans="2:28" ht="16.5" thickBot="1">
      <c r="B765" s="11"/>
      <c r="C765" s="373"/>
      <c r="D765" s="1"/>
      <c r="E765" s="513" t="s">
        <v>162</v>
      </c>
      <c r="F765" s="549"/>
      <c r="G765" s="517" t="s">
        <v>76</v>
      </c>
      <c r="H765" s="282"/>
      <c r="I765" s="12" t="s">
        <v>12</v>
      </c>
      <c r="J765" s="403"/>
      <c r="K765" s="1"/>
      <c r="L765" s="11"/>
      <c r="M765" s="375"/>
      <c r="N765" s="1"/>
      <c r="O765" s="455" t="s">
        <v>163</v>
      </c>
      <c r="P765" s="683">
        <f>[2]Input_Dashboard!D830</f>
        <v>0</v>
      </c>
      <c r="Q765" s="1"/>
      <c r="R765" s="1"/>
      <c r="S765" s="12" t="s">
        <v>12</v>
      </c>
      <c r="T765" s="1"/>
      <c r="U765" s="1"/>
      <c r="V765" s="1"/>
      <c r="W765" s="1"/>
      <c r="X765" s="1"/>
      <c r="Y765" s="1"/>
      <c r="Z765" s="246"/>
      <c r="AA765" s="1"/>
      <c r="AB765" s="246"/>
    </row>
    <row r="766" spans="2:28" ht="16.5" thickBot="1">
      <c r="B766" s="11"/>
      <c r="C766" s="1"/>
      <c r="D766" s="1"/>
      <c r="E766" s="550" t="s">
        <v>164</v>
      </c>
      <c r="F766" s="551" t="s">
        <v>19</v>
      </c>
      <c r="G766" s="552"/>
      <c r="H766" s="295"/>
      <c r="I766" s="12" t="s">
        <v>12</v>
      </c>
      <c r="J766" s="403"/>
      <c r="K766" s="1"/>
      <c r="L766" s="11"/>
      <c r="M766" s="1"/>
      <c r="N766" s="1"/>
      <c r="O766" s="296"/>
      <c r="P766" s="40"/>
      <c r="Q766" s="40"/>
      <c r="R766" s="40"/>
      <c r="S766" s="40"/>
      <c r="T766" s="40"/>
      <c r="U766" s="40"/>
      <c r="V766" s="40"/>
      <c r="W766" s="40"/>
      <c r="X766" s="40"/>
      <c r="Y766" s="40"/>
      <c r="Z766" s="305"/>
      <c r="AA766" s="1"/>
      <c r="AB766" s="246"/>
    </row>
    <row r="767" spans="2:28" ht="16.5" thickBot="1">
      <c r="B767" s="11"/>
      <c r="C767" s="1"/>
      <c r="D767" s="1"/>
      <c r="E767" s="455" t="s">
        <v>158</v>
      </c>
      <c r="F767" s="498"/>
      <c r="G767" s="499" t="s">
        <v>165</v>
      </c>
      <c r="H767" s="55"/>
      <c r="I767" s="12" t="s">
        <v>12</v>
      </c>
      <c r="J767" s="246"/>
      <c r="K767" s="1"/>
      <c r="L767" s="11"/>
      <c r="M767" s="15"/>
      <c r="N767" s="15"/>
      <c r="O767" s="542" t="s">
        <v>166</v>
      </c>
      <c r="P767" s="543" t="s">
        <v>167</v>
      </c>
      <c r="Q767" s="648" t="s">
        <v>168</v>
      </c>
      <c r="R767" s="775" t="s">
        <v>169</v>
      </c>
      <c r="S767" s="776"/>
      <c r="T767" s="777"/>
      <c r="U767" s="543" t="s">
        <v>170</v>
      </c>
      <c r="V767" s="543" t="s">
        <v>171</v>
      </c>
      <c r="W767" s="543" t="s">
        <v>172</v>
      </c>
      <c r="X767" s="543" t="s">
        <v>173</v>
      </c>
      <c r="Y767" s="543" t="s">
        <v>174</v>
      </c>
      <c r="Z767" s="544" t="s">
        <v>175</v>
      </c>
      <c r="AA767" s="1"/>
      <c r="AB767" s="246"/>
    </row>
    <row r="768" spans="2:28" ht="16.5" thickBot="1">
      <c r="B768" s="11"/>
      <c r="C768" s="1"/>
      <c r="D768" s="1"/>
      <c r="E768" s="1"/>
      <c r="F768" s="1"/>
      <c r="G768" s="1"/>
      <c r="H768" s="1"/>
      <c r="I768" s="1"/>
      <c r="J768" s="246"/>
      <c r="K768" s="1"/>
      <c r="L768" s="11">
        <f>IF(AND($G$73="Yes",$G$15="Simple"),1,0)</f>
        <v>0</v>
      </c>
      <c r="M768" s="15"/>
      <c r="N768" s="230">
        <f>IF(AND($G$15="Simple",SUM(P768:Z768)=1),1,IF(AND($G$15="Simple",SUM(P768:Z768)&lt;&gt;1),2,0))</f>
        <v>0</v>
      </c>
      <c r="O768" s="545" t="str">
        <f t="shared" ref="O768:O773" si="8">E704</f>
        <v>Total Installed Cost</v>
      </c>
      <c r="P768" s="590">
        <v>0.94</v>
      </c>
      <c r="Q768" s="649">
        <v>0</v>
      </c>
      <c r="R768" s="778">
        <v>1.4999999999999999E-2</v>
      </c>
      <c r="S768" s="779"/>
      <c r="T768" s="780"/>
      <c r="U768" s="590">
        <v>0.01</v>
      </c>
      <c r="V768" s="590">
        <v>0</v>
      </c>
      <c r="W768" s="590">
        <v>0</v>
      </c>
      <c r="X768" s="590">
        <v>0.01</v>
      </c>
      <c r="Y768" s="590">
        <v>0</v>
      </c>
      <c r="Z768" s="593">
        <v>2.5000000000000001E-2</v>
      </c>
      <c r="AA768" s="1"/>
      <c r="AB768" s="294" t="s">
        <v>12</v>
      </c>
    </row>
    <row r="769" spans="2:28" ht="16.5" thickBot="1">
      <c r="B769" s="296"/>
      <c r="C769" s="40"/>
      <c r="D769" s="40"/>
      <c r="E769" s="40"/>
      <c r="F769" s="40"/>
      <c r="G769" s="40"/>
      <c r="H769" s="40"/>
      <c r="I769" s="40"/>
      <c r="J769" s="305"/>
      <c r="K769" s="1"/>
      <c r="L769" s="11">
        <f>IF(AND($G$73="Yes",$G$15="Intermediate"),1,0)</f>
        <v>1</v>
      </c>
      <c r="M769" s="15"/>
      <c r="N769" s="230">
        <f>IF(AND($G$15="Intermediate",SUM(P769:Z769)=1),1,IF(AND($G$15="Intermediate",SUM(P769:Z769)&lt;&gt;1),2,0))</f>
        <v>1</v>
      </c>
      <c r="O769" s="595" t="str">
        <f t="shared" si="8"/>
        <v>Generation Equipment</v>
      </c>
      <c r="P769" s="723">
        <v>0.96</v>
      </c>
      <c r="Q769" s="724">
        <v>0</v>
      </c>
      <c r="R769" s="781">
        <v>0.02</v>
      </c>
      <c r="S769" s="782"/>
      <c r="T769" s="783"/>
      <c r="U769" s="725">
        <v>0</v>
      </c>
      <c r="V769" s="725">
        <v>0</v>
      </c>
      <c r="W769" s="725">
        <v>0</v>
      </c>
      <c r="X769" s="725">
        <v>0.02</v>
      </c>
      <c r="Y769" s="725">
        <v>0</v>
      </c>
      <c r="Z769" s="726">
        <v>0</v>
      </c>
      <c r="AA769" s="1"/>
      <c r="AB769" s="294" t="s">
        <v>12</v>
      </c>
    </row>
    <row r="770" spans="2:28" ht="15.75">
      <c r="B770" s="1"/>
      <c r="C770" s="1"/>
      <c r="D770" s="1"/>
      <c r="E770" s="1"/>
      <c r="F770" s="1"/>
      <c r="G770" s="1"/>
      <c r="H770" s="1"/>
      <c r="I770" s="1"/>
      <c r="J770" s="1"/>
      <c r="K770" s="1"/>
      <c r="L770" s="11">
        <f>IF(AND($G$73="Yes",$G$15="Intermediate"),1,0)</f>
        <v>1</v>
      </c>
      <c r="M770" s="15"/>
      <c r="N770" s="230">
        <f>IF(AND($G$15="Intermediate",SUM(P770:Z770)=1),1,IF(AND($G$15="Intermediate",SUM(P770:Z770)&lt;&gt;1),2,0))</f>
        <v>1</v>
      </c>
      <c r="O770" s="596" t="str">
        <f t="shared" si="8"/>
        <v>Balance of Plant</v>
      </c>
      <c r="P770" s="723">
        <v>0.5</v>
      </c>
      <c r="Q770" s="724">
        <v>0</v>
      </c>
      <c r="R770" s="784">
        <v>0</v>
      </c>
      <c r="S770" s="785"/>
      <c r="T770" s="786"/>
      <c r="U770" s="724">
        <v>0</v>
      </c>
      <c r="V770" s="724">
        <v>0</v>
      </c>
      <c r="W770" s="724">
        <v>0.5</v>
      </c>
      <c r="X770" s="724">
        <v>0</v>
      </c>
      <c r="Y770" s="724">
        <v>0</v>
      </c>
      <c r="Z770" s="727">
        <v>0</v>
      </c>
      <c r="AA770" s="1"/>
      <c r="AB770" s="294" t="s">
        <v>12</v>
      </c>
    </row>
    <row r="771" spans="2:28" ht="15.75">
      <c r="B771" s="1"/>
      <c r="C771" s="1"/>
      <c r="D771" s="1"/>
      <c r="E771" s="1"/>
      <c r="F771" s="1"/>
      <c r="G771" s="1"/>
      <c r="H771" s="1"/>
      <c r="I771" s="1"/>
      <c r="J771" s="1"/>
      <c r="K771" s="1"/>
      <c r="L771" s="11">
        <f>IF(AND($G$73="Yes",$G$15="Intermediate"),1,0)</f>
        <v>1</v>
      </c>
      <c r="M771" s="15"/>
      <c r="N771" s="230">
        <f>IF(AND($G$15="Intermediate",SUM(P771:Z771)=1),1,IF(AND($G$15="Intermediate",SUM(P771:Z771)&lt;&gt;1),2,0))</f>
        <v>1</v>
      </c>
      <c r="O771" s="596" t="str">
        <f t="shared" si="8"/>
        <v>Interconnection</v>
      </c>
      <c r="P771" s="723">
        <v>0</v>
      </c>
      <c r="Q771" s="724">
        <v>0</v>
      </c>
      <c r="R771" s="784">
        <v>0</v>
      </c>
      <c r="S771" s="785"/>
      <c r="T771" s="786"/>
      <c r="U771" s="724">
        <v>0</v>
      </c>
      <c r="V771" s="724">
        <v>0</v>
      </c>
      <c r="W771" s="724">
        <v>1</v>
      </c>
      <c r="X771" s="724">
        <v>0</v>
      </c>
      <c r="Y771" s="724">
        <v>0</v>
      </c>
      <c r="Z771" s="727">
        <v>0</v>
      </c>
      <c r="AA771" s="1"/>
      <c r="AB771" s="294" t="s">
        <v>12</v>
      </c>
    </row>
    <row r="772" spans="2:28" ht="15.75">
      <c r="B772" s="1"/>
      <c r="C772" s="1"/>
      <c r="D772" s="1"/>
      <c r="E772" s="1"/>
      <c r="F772" s="1"/>
      <c r="G772" s="1"/>
      <c r="H772" s="1"/>
      <c r="I772" s="1"/>
      <c r="J772" s="1"/>
      <c r="K772" s="1"/>
      <c r="L772" s="11">
        <f>IF(AND($G$73="Yes",$G$15="Intermediate"),1,0)</f>
        <v>1</v>
      </c>
      <c r="M772" s="15"/>
      <c r="N772" s="230">
        <f>IF(AND($G$15="Intermediate",SUM(P772:Z772)=1),1,IF(AND($G$15="Intermediate",SUM(P772:Z772)&lt;&gt;1),2,0))</f>
        <v>1</v>
      </c>
      <c r="O772" s="596" t="str">
        <f t="shared" si="8"/>
        <v>Development Costs &amp; Fee</v>
      </c>
      <c r="P772" s="723">
        <v>0.8</v>
      </c>
      <c r="Q772" s="724">
        <v>0</v>
      </c>
      <c r="R772" s="784">
        <v>0</v>
      </c>
      <c r="S772" s="785"/>
      <c r="T772" s="786"/>
      <c r="U772" s="724">
        <v>0</v>
      </c>
      <c r="V772" s="724">
        <v>0</v>
      </c>
      <c r="W772" s="724">
        <v>0.05</v>
      </c>
      <c r="X772" s="724">
        <v>0.05</v>
      </c>
      <c r="Y772" s="724">
        <v>0</v>
      </c>
      <c r="Z772" s="727">
        <v>0.1</v>
      </c>
      <c r="AA772" s="1"/>
      <c r="AB772" s="294" t="s">
        <v>12</v>
      </c>
    </row>
    <row r="773" spans="2:28" ht="16.5" thickBot="1">
      <c r="B773" s="1"/>
      <c r="C773" s="1"/>
      <c r="D773" s="1"/>
      <c r="E773" s="1"/>
      <c r="F773" s="1"/>
      <c r="G773" s="1"/>
      <c r="H773" s="1"/>
      <c r="I773" s="1"/>
      <c r="J773" s="1"/>
      <c r="K773" s="1"/>
      <c r="L773" s="11">
        <f>IF(AND($G$73="Yes",$G$15="Intermediate"),1,0)</f>
        <v>1</v>
      </c>
      <c r="M773" s="15"/>
      <c r="N773" s="230">
        <f>IF(AND($G$15="Intermediate",SUM(P773:Z773)=1),1,IF(AND($G$15="Intermediate",SUM(P773:Z773)&lt;&gt;1),2,0))</f>
        <v>1</v>
      </c>
      <c r="O773" s="597" t="str">
        <f t="shared" si="8"/>
        <v>Reserves &amp; Financing Costs</v>
      </c>
      <c r="P773" s="728">
        <v>0</v>
      </c>
      <c r="Q773" s="729">
        <v>0</v>
      </c>
      <c r="R773" s="766">
        <v>0</v>
      </c>
      <c r="S773" s="767"/>
      <c r="T773" s="768"/>
      <c r="U773" s="729">
        <v>0</v>
      </c>
      <c r="V773" s="729">
        <v>0</v>
      </c>
      <c r="W773" s="729">
        <v>0</v>
      </c>
      <c r="X773" s="729">
        <v>0.5</v>
      </c>
      <c r="Y773" s="729">
        <v>0</v>
      </c>
      <c r="Z773" s="730">
        <v>0.5</v>
      </c>
      <c r="AA773" s="1"/>
      <c r="AB773" s="294" t="s">
        <v>12</v>
      </c>
    </row>
    <row r="774" spans="2:28" ht="16.5" thickBot="1">
      <c r="B774" s="1"/>
      <c r="C774" s="1"/>
      <c r="D774" s="1"/>
      <c r="E774" s="1"/>
      <c r="F774" s="1"/>
      <c r="G774" s="1"/>
      <c r="H774" s="1"/>
      <c r="I774" s="1"/>
      <c r="J774" s="1"/>
      <c r="K774" s="1"/>
      <c r="L774" s="296">
        <f>IF(AND($G$73="Yes",$G$15="Complex"),1,0)</f>
        <v>0</v>
      </c>
      <c r="M774" s="647"/>
      <c r="N774" s="647"/>
      <c r="O774" s="546" t="s">
        <v>176</v>
      </c>
      <c r="P774" s="591"/>
      <c r="Q774" s="592"/>
      <c r="R774" s="769"/>
      <c r="S774" s="770"/>
      <c r="T774" s="771"/>
      <c r="U774" s="591"/>
      <c r="V774" s="591"/>
      <c r="W774" s="591"/>
      <c r="X774" s="591"/>
      <c r="Y774" s="591"/>
      <c r="Z774" s="594"/>
      <c r="AA774" s="40"/>
      <c r="AB774" s="421" t="s">
        <v>12</v>
      </c>
    </row>
    <row r="776" spans="2:28" ht="36.75" thickBot="1">
      <c r="E776" s="731" t="s">
        <v>186</v>
      </c>
    </row>
    <row r="777" spans="2:28" ht="18.75" thickBot="1">
      <c r="B777" s="413"/>
      <c r="C777" s="772" t="s">
        <v>1</v>
      </c>
      <c r="D777" s="772"/>
      <c r="E777" s="772"/>
      <c r="F777" s="772"/>
      <c r="G777" s="772"/>
      <c r="H777" s="772"/>
      <c r="I777" s="772"/>
      <c r="J777" s="772"/>
      <c r="K777" s="772"/>
      <c r="L777" s="773"/>
      <c r="M777" s="773"/>
      <c r="N777" s="773"/>
      <c r="O777" s="773"/>
      <c r="P777" s="773"/>
      <c r="Q777" s="773"/>
      <c r="R777" s="773"/>
      <c r="S777" s="773"/>
      <c r="T777" s="773"/>
      <c r="U777" s="328"/>
      <c r="V777" s="329"/>
      <c r="W777" s="329"/>
      <c r="X777" s="329"/>
      <c r="Y777" s="329"/>
      <c r="Z777" s="329"/>
      <c r="AA777" s="329"/>
      <c r="AB777" s="330"/>
    </row>
    <row r="778" spans="2:28" ht="18">
      <c r="B778" s="11"/>
      <c r="C778" s="266"/>
      <c r="D778" s="266"/>
      <c r="E778" s="266"/>
      <c r="F778" s="266"/>
      <c r="G778" s="266"/>
      <c r="H778" s="266"/>
      <c r="I778" s="266"/>
      <c r="J778" s="266"/>
      <c r="K778" s="341"/>
      <c r="L778" s="265"/>
      <c r="M778" s="266"/>
      <c r="N778" s="266"/>
      <c r="O778" s="266"/>
      <c r="P778" s="266"/>
      <c r="Q778" s="266"/>
      <c r="R778" s="266"/>
      <c r="S778" s="266"/>
      <c r="T778" s="266"/>
      <c r="U778" s="266"/>
      <c r="V778" s="267"/>
      <c r="W778" s="267"/>
      <c r="X778" s="267"/>
      <c r="Y778" s="267"/>
      <c r="Z778" s="267"/>
      <c r="AA778" s="267"/>
      <c r="AB778" s="297"/>
    </row>
    <row r="779" spans="2:28" ht="18.75" thickBot="1">
      <c r="B779" s="11"/>
      <c r="C779" s="401" t="s">
        <v>2</v>
      </c>
      <c r="D779" s="14"/>
      <c r="E779" s="1"/>
      <c r="F779" s="15"/>
      <c r="G779" s="1"/>
      <c r="H779" s="392"/>
      <c r="I779" s="414" t="s">
        <v>3</v>
      </c>
      <c r="J779" s="1"/>
      <c r="K779" s="342"/>
      <c r="L779" s="298"/>
      <c r="M779" s="401" t="s">
        <v>2</v>
      </c>
      <c r="N779" s="15"/>
      <c r="O779" s="774" t="s">
        <v>4</v>
      </c>
      <c r="P779" s="774"/>
      <c r="Q779" s="420"/>
      <c r="R779" s="15"/>
      <c r="S779" s="401" t="s">
        <v>3</v>
      </c>
      <c r="T779" s="393"/>
      <c r="U779" s="14"/>
      <c r="V779" s="1"/>
      <c r="W779" s="1"/>
      <c r="X779" s="1"/>
      <c r="Y779" s="1"/>
      <c r="Z779" s="1"/>
      <c r="AA779" s="1"/>
      <c r="AB779" s="246"/>
    </row>
    <row r="780" spans="2:28" ht="18.75" thickBot="1">
      <c r="B780" s="415"/>
      <c r="C780" s="267"/>
      <c r="D780" s="267"/>
      <c r="E780" s="20"/>
      <c r="F780" s="16"/>
      <c r="G780" s="19"/>
      <c r="H780" s="416"/>
      <c r="I780" s="417"/>
      <c r="J780" s="418"/>
      <c r="K780" s="15"/>
      <c r="L780" s="415"/>
      <c r="M780" s="267"/>
      <c r="N780" s="267"/>
      <c r="O780" s="267"/>
      <c r="P780" s="267"/>
      <c r="Q780" s="267"/>
      <c r="R780" s="267"/>
      <c r="S780" s="267"/>
      <c r="T780" s="267"/>
      <c r="U780" s="267"/>
      <c r="V780" s="267"/>
      <c r="W780" s="267"/>
      <c r="X780" s="267"/>
      <c r="Y780" s="267"/>
      <c r="Z780" s="267"/>
      <c r="AA780" s="267"/>
      <c r="AB780" s="297"/>
    </row>
    <row r="781" spans="2:28" ht="21" thickBot="1">
      <c r="B781" s="11"/>
      <c r="C781" s="1"/>
      <c r="D781" s="1"/>
      <c r="E781" s="2" t="s">
        <v>5</v>
      </c>
      <c r="F781" s="347" t="s">
        <v>6</v>
      </c>
      <c r="G781" s="411" t="s">
        <v>7</v>
      </c>
      <c r="H781" s="57"/>
      <c r="I781" s="17"/>
      <c r="J781" s="402"/>
      <c r="K781" s="15"/>
      <c r="L781" s="11"/>
      <c r="M781" s="1"/>
      <c r="N781" s="1"/>
      <c r="O781" s="2" t="s">
        <v>8</v>
      </c>
      <c r="P781" s="347" t="s">
        <v>6</v>
      </c>
      <c r="Q781" s="411" t="s">
        <v>7</v>
      </c>
      <c r="R781" s="1"/>
      <c r="S781" s="1"/>
      <c r="T781" s="1"/>
      <c r="U781" s="645" t="s">
        <v>9</v>
      </c>
      <c r="V781" s="1"/>
      <c r="W781" s="1"/>
      <c r="X781" s="1"/>
      <c r="Y781" s="1"/>
      <c r="Z781" s="1"/>
      <c r="AA781" s="1"/>
      <c r="AB781" s="246"/>
    </row>
    <row r="782" spans="2:28" ht="15.75">
      <c r="B782" s="11"/>
      <c r="C782" s="317"/>
      <c r="D782" s="1"/>
      <c r="E782" s="458" t="s">
        <v>10</v>
      </c>
      <c r="F782" s="450" t="s">
        <v>11</v>
      </c>
      <c r="G782" s="717">
        <v>9999</v>
      </c>
      <c r="H782" s="269"/>
      <c r="I782" s="12" t="s">
        <v>12</v>
      </c>
      <c r="J782" s="403"/>
      <c r="K782" s="15"/>
      <c r="L782" s="11"/>
      <c r="M782" s="371"/>
      <c r="N782" s="1">
        <f>IF(OR(Q782&lt;=0,Q782&gt;G786),1,0)</f>
        <v>0</v>
      </c>
      <c r="O782" s="458" t="s">
        <v>13</v>
      </c>
      <c r="P782" s="450" t="s">
        <v>14</v>
      </c>
      <c r="Q782" s="667">
        <v>20</v>
      </c>
      <c r="R782" s="272"/>
      <c r="S782" s="12" t="s">
        <v>12</v>
      </c>
      <c r="T782" s="340"/>
      <c r="U782" s="656" t="s">
        <v>15</v>
      </c>
      <c r="V782" s="657" t="s">
        <v>16</v>
      </c>
      <c r="W782" s="658" t="s">
        <v>17</v>
      </c>
      <c r="X782" s="1"/>
      <c r="Y782" s="1"/>
      <c r="Z782" s="1"/>
      <c r="AA782" s="1"/>
      <c r="AB782" s="246"/>
    </row>
    <row r="783" spans="2:28" ht="15.75">
      <c r="B783" s="11"/>
      <c r="C783" s="370"/>
      <c r="D783" s="1">
        <f>IF(OR(G783&lt;=0,G783&gt;1),1,0)</f>
        <v>0</v>
      </c>
      <c r="E783" s="451" t="s">
        <v>18</v>
      </c>
      <c r="F783" s="7" t="s">
        <v>19</v>
      </c>
      <c r="G783" s="472">
        <v>0.151</v>
      </c>
      <c r="H783" s="270"/>
      <c r="I783" s="12" t="s">
        <v>12</v>
      </c>
      <c r="J783" s="403"/>
      <c r="K783" s="15"/>
      <c r="L783" s="11"/>
      <c r="M783" s="317"/>
      <c r="N783" s="1"/>
      <c r="O783" s="451" t="s">
        <v>20</v>
      </c>
      <c r="P783" s="7" t="s">
        <v>19</v>
      </c>
      <c r="Q783" s="472">
        <v>0</v>
      </c>
      <c r="R783" s="270">
        <v>0</v>
      </c>
      <c r="S783" s="12" t="s">
        <v>12</v>
      </c>
      <c r="T783" s="340"/>
      <c r="U783" s="474" t="s">
        <v>21</v>
      </c>
      <c r="V783" s="633" t="s">
        <v>22</v>
      </c>
      <c r="W783" s="646" t="s">
        <v>23</v>
      </c>
      <c r="X783" s="1"/>
      <c r="Y783" s="1"/>
      <c r="Z783" s="1"/>
      <c r="AA783" s="1"/>
      <c r="AB783" s="246"/>
    </row>
    <row r="784" spans="2:28" ht="16.5" thickBot="1">
      <c r="B784" s="11"/>
      <c r="C784" s="285"/>
      <c r="D784" s="1"/>
      <c r="E784" s="451" t="s">
        <v>24</v>
      </c>
      <c r="F784" s="8" t="s">
        <v>25</v>
      </c>
      <c r="G784" s="473"/>
      <c r="H784" s="271"/>
      <c r="I784" s="12" t="s">
        <v>12</v>
      </c>
      <c r="J784" s="403"/>
      <c r="K784" s="15"/>
      <c r="L784" s="11"/>
      <c r="M784" s="316"/>
      <c r="N784" s="1"/>
      <c r="O784" s="461" t="s">
        <v>26</v>
      </c>
      <c r="P784" s="466" t="s">
        <v>19</v>
      </c>
      <c r="Q784" s="472">
        <v>0</v>
      </c>
      <c r="R784" s="270"/>
      <c r="S784" s="12" t="s">
        <v>12</v>
      </c>
      <c r="T784" s="340"/>
      <c r="U784" s="451" t="s">
        <v>27</v>
      </c>
      <c r="V784" s="633" t="s">
        <v>22</v>
      </c>
      <c r="W784" s="646" t="s">
        <v>178</v>
      </c>
      <c r="X784" s="1"/>
      <c r="Y784" s="1"/>
      <c r="Z784" s="1"/>
      <c r="AA784" s="1"/>
      <c r="AB784" s="246"/>
    </row>
    <row r="785" spans="2:28" ht="16.5" thickBot="1">
      <c r="B785" s="11"/>
      <c r="C785" s="369"/>
      <c r="D785" s="1">
        <f>IF(OR(G785&lt;0,G785&gt;1),1,0)</f>
        <v>0</v>
      </c>
      <c r="E785" s="453" t="s">
        <v>29</v>
      </c>
      <c r="F785" s="7" t="s">
        <v>19</v>
      </c>
      <c r="G785" s="472">
        <v>5.0000000000000001E-3</v>
      </c>
      <c r="H785" s="270"/>
      <c r="I785" s="12" t="s">
        <v>12</v>
      </c>
      <c r="J785" s="403"/>
      <c r="K785" s="15"/>
      <c r="L785" s="298"/>
      <c r="M785" s="15"/>
      <c r="N785" s="15"/>
      <c r="O785" s="15"/>
      <c r="P785" s="15"/>
      <c r="Q785" s="15"/>
      <c r="R785" s="15"/>
      <c r="S785" s="15"/>
      <c r="T785" s="15"/>
      <c r="U785" s="639"/>
      <c r="V785" s="636"/>
      <c r="W785" s="640"/>
      <c r="X785" s="123"/>
      <c r="Y785" s="123"/>
      <c r="Z785" s="123"/>
      <c r="AA785" s="1"/>
      <c r="AB785" s="246"/>
    </row>
    <row r="786" spans="2:28" ht="16.5" thickBot="1">
      <c r="B786" s="11"/>
      <c r="C786" s="371"/>
      <c r="D786" s="1">
        <f>IF(OR(G786&lt;1,G786&gt;30),1,0)</f>
        <v>0</v>
      </c>
      <c r="E786" s="455" t="s">
        <v>30</v>
      </c>
      <c r="F786" s="466" t="s">
        <v>14</v>
      </c>
      <c r="G786" s="581">
        <v>30</v>
      </c>
      <c r="H786" s="272"/>
      <c r="I786" s="12" t="s">
        <v>12</v>
      </c>
      <c r="J786" s="403"/>
      <c r="K786" s="15"/>
      <c r="L786" s="298"/>
      <c r="M786" s="1"/>
      <c r="N786" s="1"/>
      <c r="O786" s="2" t="s">
        <v>31</v>
      </c>
      <c r="P786" s="3"/>
      <c r="Q786" s="4"/>
      <c r="R786" s="15"/>
      <c r="S786" s="12" t="s">
        <v>12</v>
      </c>
      <c r="T786" s="123"/>
      <c r="U786" s="474" t="s">
        <v>32</v>
      </c>
      <c r="V786" s="634" t="s">
        <v>33</v>
      </c>
      <c r="W786" s="669">
        <v>20</v>
      </c>
      <c r="X786" s="178"/>
      <c r="Y786" s="178"/>
      <c r="Z786" s="178"/>
      <c r="AA786" s="1"/>
      <c r="AB786" s="246"/>
    </row>
    <row r="787" spans="2:28" ht="16.5" thickBot="1">
      <c r="B787" s="11"/>
      <c r="C787" s="1"/>
      <c r="D787" s="1"/>
      <c r="E787" s="1"/>
      <c r="F787" s="1"/>
      <c r="G787" s="17"/>
      <c r="H787" s="17"/>
      <c r="I787" s="13"/>
      <c r="J787" s="403"/>
      <c r="K787" s="15"/>
      <c r="L787" s="298"/>
      <c r="M787" s="369"/>
      <c r="N787" s="1"/>
      <c r="O787" s="500" t="s">
        <v>34</v>
      </c>
      <c r="P787" s="501"/>
      <c r="Q787" s="502" t="s">
        <v>35</v>
      </c>
      <c r="R787" s="1"/>
      <c r="S787" s="345" t="s">
        <v>12</v>
      </c>
      <c r="T787" s="346">
        <f>IF(Q782&lt;G786,1,0)</f>
        <v>1</v>
      </c>
      <c r="U787" s="641" t="s">
        <v>36</v>
      </c>
      <c r="V787" s="635" t="s">
        <v>19</v>
      </c>
      <c r="W787" s="670">
        <v>0.02</v>
      </c>
      <c r="X787" s="1"/>
      <c r="Y787" s="123"/>
      <c r="Z787" s="123"/>
      <c r="AA787" s="1"/>
      <c r="AB787" s="246"/>
    </row>
    <row r="788" spans="2:28" ht="16.5" thickBot="1">
      <c r="B788" s="11"/>
      <c r="C788" s="1"/>
      <c r="D788" s="1"/>
      <c r="E788" s="10" t="s">
        <v>37</v>
      </c>
      <c r="F788" s="347" t="s">
        <v>6</v>
      </c>
      <c r="G788" s="411" t="s">
        <v>7</v>
      </c>
      <c r="H788" s="283"/>
      <c r="I788" s="13"/>
      <c r="J788" s="403"/>
      <c r="K788" s="15"/>
      <c r="L788" s="298"/>
      <c r="M788" s="369"/>
      <c r="N788" s="1">
        <f>IF(OR(Q788&lt;=0,Q788=""),1,0)</f>
        <v>0</v>
      </c>
      <c r="O788" s="503" t="s">
        <v>38</v>
      </c>
      <c r="P788" s="343" t="s">
        <v>39</v>
      </c>
      <c r="Q788" s="504">
        <v>5</v>
      </c>
      <c r="R788" s="1"/>
      <c r="S788" s="345" t="s">
        <v>12</v>
      </c>
      <c r="T788" s="346">
        <f>IF(AND($Q$8&lt;$G$12,$Q$13="Year One"),1,0)</f>
        <v>0</v>
      </c>
      <c r="U788" s="642"/>
      <c r="V788" s="637"/>
      <c r="W788" s="643"/>
      <c r="X788" s="1"/>
      <c r="Y788" s="123"/>
      <c r="Z788" s="123"/>
      <c r="AA788" s="1"/>
      <c r="AB788" s="246"/>
    </row>
    <row r="789" spans="2:28" ht="16.5" thickBot="1">
      <c r="B789" s="11"/>
      <c r="C789" s="318"/>
      <c r="D789" s="1"/>
      <c r="E789" s="438" t="s">
        <v>40</v>
      </c>
      <c r="F789" s="439"/>
      <c r="G789" s="440" t="s">
        <v>41</v>
      </c>
      <c r="H789" s="281"/>
      <c r="I789" s="12" t="s">
        <v>12</v>
      </c>
      <c r="J789" s="403"/>
      <c r="K789" s="15"/>
      <c r="L789" s="298"/>
      <c r="M789" s="369"/>
      <c r="N789" s="1">
        <f>IF(OR(Q789&lt;=0,Q789=""),1,0)</f>
        <v>0</v>
      </c>
      <c r="O789" s="505" t="s">
        <v>42</v>
      </c>
      <c r="P789" s="344" t="s">
        <v>19</v>
      </c>
      <c r="Q789" s="506">
        <v>0.03</v>
      </c>
      <c r="R789" s="1"/>
      <c r="S789" s="368" t="s">
        <v>12</v>
      </c>
      <c r="T789" s="346">
        <f>IF(AND($Q$8&lt;$G$12,$Q$13="Year One"),1,0)</f>
        <v>0</v>
      </c>
      <c r="U789" s="451" t="s">
        <v>43</v>
      </c>
      <c r="V789" s="633" t="s">
        <v>19</v>
      </c>
      <c r="W789" s="581">
        <v>0</v>
      </c>
      <c r="X789" s="1"/>
      <c r="Y789" s="123"/>
      <c r="Z789" s="123"/>
      <c r="AA789" s="1"/>
      <c r="AB789" s="246"/>
    </row>
    <row r="790" spans="2:28" ht="16.5" thickBot="1">
      <c r="B790" s="11"/>
      <c r="C790" s="319"/>
      <c r="D790" s="1"/>
      <c r="E790" s="441" t="s">
        <v>44</v>
      </c>
      <c r="F790" s="442" t="s">
        <v>33</v>
      </c>
      <c r="G790" s="443">
        <v>2500</v>
      </c>
      <c r="H790" s="273"/>
      <c r="I790" s="366" t="s">
        <v>12</v>
      </c>
      <c r="J790" s="404"/>
      <c r="K790" s="15"/>
      <c r="L790" s="298"/>
      <c r="M790" s="1"/>
      <c r="N790" s="1"/>
      <c r="O790" s="507" t="str">
        <f>IF(OR($Q$13="Year One",$Q$8=$G$12),"","Click Here for Complex Input Worksheet")</f>
        <v>Click Here for Complex Input Worksheet</v>
      </c>
      <c r="P790" s="508"/>
      <c r="Q790" s="509"/>
      <c r="R790" s="1"/>
      <c r="S790" s="366" t="s">
        <v>12</v>
      </c>
      <c r="T790" s="346">
        <f>IF(AND($Q$8&lt;$G$12,$Q$13="Year-by-Year"),1,0)</f>
        <v>1</v>
      </c>
      <c r="U790" s="451" t="s">
        <v>45</v>
      </c>
      <c r="V790" s="633" t="s">
        <v>19</v>
      </c>
      <c r="W790" s="670">
        <v>0.02</v>
      </c>
      <c r="X790" s="123"/>
      <c r="Y790" s="123"/>
      <c r="Z790" s="123"/>
      <c r="AA790" s="1"/>
      <c r="AB790" s="246"/>
    </row>
    <row r="791" spans="2:28" ht="16.5" thickBot="1">
      <c r="B791" s="11"/>
      <c r="C791" s="320"/>
      <c r="D791" s="1"/>
      <c r="E791" s="444" t="s">
        <v>46</v>
      </c>
      <c r="F791" s="343" t="s">
        <v>47</v>
      </c>
      <c r="G791" s="718">
        <v>21754555.096153848</v>
      </c>
      <c r="H791" s="274"/>
      <c r="I791" s="366" t="s">
        <v>12</v>
      </c>
      <c r="J791" s="403"/>
      <c r="K791" s="15"/>
      <c r="L791" s="298"/>
      <c r="M791" s="1"/>
      <c r="N791" s="1"/>
      <c r="O791" s="1"/>
      <c r="P791" s="1"/>
      <c r="Q791" s="1"/>
      <c r="R791" s="1"/>
      <c r="S791" s="1"/>
      <c r="T791" s="179"/>
      <c r="U791" s="644"/>
      <c r="V791" s="638"/>
      <c r="W791" s="643"/>
      <c r="X791" s="123"/>
      <c r="Y791" s="123"/>
      <c r="Z791" s="123"/>
      <c r="AA791" s="1"/>
      <c r="AB791" s="246"/>
    </row>
    <row r="792" spans="2:28" ht="16.5" thickBot="1">
      <c r="B792" s="11"/>
      <c r="C792" s="376"/>
      <c r="D792" s="1"/>
      <c r="E792" s="444" t="s">
        <v>48</v>
      </c>
      <c r="F792" s="343" t="s">
        <v>47</v>
      </c>
      <c r="G792" s="718">
        <v>0</v>
      </c>
      <c r="H792" s="274"/>
      <c r="I792" s="366" t="s">
        <v>12</v>
      </c>
      <c r="J792" s="403"/>
      <c r="K792" s="15"/>
      <c r="L792" s="298"/>
      <c r="M792" s="1"/>
      <c r="N792" s="1"/>
      <c r="O792" s="5" t="s">
        <v>49</v>
      </c>
      <c r="P792" s="347" t="s">
        <v>6</v>
      </c>
      <c r="Q792" s="411" t="s">
        <v>7</v>
      </c>
      <c r="R792" s="120"/>
      <c r="S792" s="13"/>
      <c r="T792" s="179"/>
      <c r="U792" s="641" t="s">
        <v>50</v>
      </c>
      <c r="V792" s="257" t="s">
        <v>47</v>
      </c>
      <c r="W792" s="581">
        <v>0</v>
      </c>
      <c r="X792" s="123"/>
      <c r="Y792" s="1"/>
      <c r="Z792" s="1"/>
      <c r="AA792" s="1"/>
      <c r="AB792" s="246"/>
    </row>
    <row r="793" spans="2:28" ht="16.5" thickBot="1">
      <c r="B793" s="11"/>
      <c r="C793" s="376"/>
      <c r="D793" s="1"/>
      <c r="E793" s="444" t="s">
        <v>51</v>
      </c>
      <c r="F793" s="343" t="s">
        <v>47</v>
      </c>
      <c r="G793" s="718">
        <v>0</v>
      </c>
      <c r="H793" s="274"/>
      <c r="I793" s="366" t="s">
        <v>12</v>
      </c>
      <c r="J793" s="403"/>
      <c r="K793" s="15"/>
      <c r="L793" s="298"/>
      <c r="M793" s="374"/>
      <c r="N793" s="1"/>
      <c r="O793" s="518" t="s">
        <v>52</v>
      </c>
      <c r="P793" s="519"/>
      <c r="Q793" s="520" t="s">
        <v>53</v>
      </c>
      <c r="R793" s="1"/>
      <c r="S793" s="12" t="s">
        <v>12</v>
      </c>
      <c r="T793" s="1"/>
      <c r="U793" s="489" t="s">
        <v>54</v>
      </c>
      <c r="V793" s="719" t="s">
        <v>55</v>
      </c>
      <c r="W793" s="720">
        <v>0</v>
      </c>
      <c r="X793" s="1"/>
      <c r="Y793" s="1"/>
      <c r="Z793" s="1"/>
      <c r="AA793" s="1"/>
      <c r="AB793" s="246"/>
    </row>
    <row r="794" spans="2:28" ht="15.75">
      <c r="B794" s="11"/>
      <c r="C794" s="376"/>
      <c r="D794" s="1"/>
      <c r="E794" s="604" t="s">
        <v>56</v>
      </c>
      <c r="F794" s="343" t="s">
        <v>47</v>
      </c>
      <c r="G794" s="721">
        <v>0</v>
      </c>
      <c r="H794" s="274"/>
      <c r="I794" s="366" t="s">
        <v>12</v>
      </c>
      <c r="J794" s="403"/>
      <c r="K794" s="15"/>
      <c r="L794" s="298"/>
      <c r="M794" s="374"/>
      <c r="N794" s="1"/>
      <c r="O794" s="458" t="s">
        <v>57</v>
      </c>
      <c r="P794" s="450"/>
      <c r="Q794" s="496" t="s">
        <v>58</v>
      </c>
      <c r="R794" s="15"/>
      <c r="S794" s="12" t="s">
        <v>12</v>
      </c>
      <c r="T794" s="15"/>
      <c r="U794" s="1"/>
      <c r="V794" s="1"/>
      <c r="W794" s="1"/>
      <c r="X794" s="1"/>
      <c r="Y794" s="1"/>
      <c r="Z794" s="1"/>
      <c r="AA794" s="1"/>
      <c r="AB794" s="246"/>
    </row>
    <row r="795" spans="2:28" ht="15.75">
      <c r="B795" s="11"/>
      <c r="C795" s="321"/>
      <c r="D795" s="1"/>
      <c r="E795" s="444" t="s">
        <v>59</v>
      </c>
      <c r="F795" s="343" t="s">
        <v>47</v>
      </c>
      <c r="G795" s="445"/>
      <c r="H795" s="275"/>
      <c r="I795" s="366" t="s">
        <v>12</v>
      </c>
      <c r="J795" s="403"/>
      <c r="K795" s="15"/>
      <c r="L795" s="298"/>
      <c r="M795" s="374"/>
      <c r="N795" s="1">
        <f>IF(OR(Q795&lt;0,Q795&gt;1,Q795=""),1,0)</f>
        <v>0</v>
      </c>
      <c r="O795" s="468" t="s">
        <v>60</v>
      </c>
      <c r="P795" s="6" t="s">
        <v>19</v>
      </c>
      <c r="Q795" s="674">
        <v>0.3</v>
      </c>
      <c r="R795" s="15"/>
      <c r="S795" s="12" t="s">
        <v>12</v>
      </c>
      <c r="T795" s="15"/>
      <c r="U795" s="1"/>
      <c r="V795" s="1"/>
      <c r="W795" s="1"/>
      <c r="X795" s="1"/>
      <c r="Y795" s="1"/>
      <c r="Z795" s="1"/>
      <c r="AA795" s="1"/>
      <c r="AB795" s="246"/>
    </row>
    <row r="796" spans="2:28" ht="16.5" thickBot="1">
      <c r="B796" s="11"/>
      <c r="C796" s="321"/>
      <c r="D796" s="1"/>
      <c r="E796" s="446" t="s">
        <v>61</v>
      </c>
      <c r="F796" s="447" t="str">
        <f>IF($G$15="Complex","$","")</f>
        <v/>
      </c>
      <c r="G796" s="448" t="s">
        <v>62</v>
      </c>
      <c r="H796" s="276"/>
      <c r="I796" s="366" t="s">
        <v>12</v>
      </c>
      <c r="J796" s="403"/>
      <c r="K796" s="15"/>
      <c r="L796" s="298"/>
      <c r="M796" s="369"/>
      <c r="N796" s="1">
        <f>IF(OR(Q796&lt;0,Q796&gt;1,Q796=""),1,0)</f>
        <v>0</v>
      </c>
      <c r="O796" s="483" t="s">
        <v>63</v>
      </c>
      <c r="P796" s="24" t="s">
        <v>19</v>
      </c>
      <c r="Q796" s="674">
        <v>1</v>
      </c>
      <c r="R796" s="121"/>
      <c r="S796" s="12" t="s">
        <v>12</v>
      </c>
      <c r="T796" s="367">
        <f>IF(AND($Q$19="Cost-Based",$Q$20="ITC"),1,0)</f>
        <v>1</v>
      </c>
      <c r="U796" s="1"/>
      <c r="V796" s="1"/>
      <c r="W796" s="1"/>
      <c r="X796" s="1"/>
      <c r="Y796" s="1"/>
      <c r="Z796" s="1"/>
      <c r="AA796" s="1"/>
      <c r="AB796" s="246"/>
    </row>
    <row r="797" spans="2:28" ht="16.5" thickBot="1">
      <c r="B797" s="11"/>
      <c r="C797" s="323"/>
      <c r="D797" s="1"/>
      <c r="E797" s="449" t="s">
        <v>44</v>
      </c>
      <c r="F797" s="450" t="s">
        <v>47</v>
      </c>
      <c r="G797" s="675"/>
      <c r="H797" s="276"/>
      <c r="I797" s="12" t="s">
        <v>12</v>
      </c>
      <c r="J797" s="403"/>
      <c r="K797" s="15"/>
      <c r="L797" s="298"/>
      <c r="M797" s="1"/>
      <c r="N797" s="1"/>
      <c r="O797" s="455" t="s">
        <v>64</v>
      </c>
      <c r="P797" s="462" t="s">
        <v>47</v>
      </c>
      <c r="Q797" s="676"/>
      <c r="R797" s="121"/>
      <c r="S797" s="12" t="s">
        <v>12</v>
      </c>
      <c r="T797" s="15"/>
      <c r="U797" s="1"/>
      <c r="V797" s="1"/>
      <c r="W797" s="1"/>
      <c r="X797" s="1"/>
      <c r="Y797" s="1"/>
      <c r="Z797" s="1"/>
      <c r="AA797" s="1"/>
      <c r="AB797" s="246"/>
    </row>
    <row r="798" spans="2:28" ht="15.75">
      <c r="B798" s="11"/>
      <c r="C798" s="323"/>
      <c r="D798" s="1"/>
      <c r="E798" s="451" t="s">
        <v>44</v>
      </c>
      <c r="F798" s="8" t="str">
        <f>F790</f>
        <v>$/kW</v>
      </c>
      <c r="G798" s="452"/>
      <c r="H798" s="284"/>
      <c r="I798" s="12" t="s">
        <v>12</v>
      </c>
      <c r="J798" s="403"/>
      <c r="K798" s="15"/>
      <c r="L798" s="298"/>
      <c r="M798" s="374"/>
      <c r="N798" s="1"/>
      <c r="O798" s="449" t="s">
        <v>65</v>
      </c>
      <c r="P798" s="522"/>
      <c r="Q798" s="510" t="s">
        <v>66</v>
      </c>
      <c r="R798" s="1"/>
      <c r="S798" s="12" t="s">
        <v>12</v>
      </c>
      <c r="T798" s="1"/>
      <c r="U798" s="1"/>
      <c r="V798" s="1"/>
      <c r="W798" s="1"/>
      <c r="X798" s="1"/>
      <c r="Y798" s="1"/>
      <c r="Z798" s="1"/>
      <c r="AA798" s="1"/>
      <c r="AB798" s="246"/>
    </row>
    <row r="799" spans="2:28" ht="15.75">
      <c r="B799" s="11"/>
      <c r="C799" s="322"/>
      <c r="D799" s="1"/>
      <c r="E799" s="453" t="s">
        <v>67</v>
      </c>
      <c r="F799" s="7" t="s">
        <v>47</v>
      </c>
      <c r="G799" s="454"/>
      <c r="H799" s="277"/>
      <c r="I799" s="12" t="s">
        <v>12</v>
      </c>
      <c r="J799" s="403"/>
      <c r="K799" s="15"/>
      <c r="L799" s="298"/>
      <c r="M799" s="369"/>
      <c r="N799" s="1"/>
      <c r="O799" s="451" t="s">
        <v>68</v>
      </c>
      <c r="P799" s="8" t="s">
        <v>39</v>
      </c>
      <c r="Q799" s="512">
        <v>0</v>
      </c>
      <c r="R799" s="15"/>
      <c r="S799" s="12" t="s">
        <v>12</v>
      </c>
      <c r="T799" s="15"/>
      <c r="U799" s="1"/>
      <c r="V799" s="1"/>
      <c r="W799" s="1"/>
      <c r="X799" s="1"/>
      <c r="Y799" s="1"/>
      <c r="Z799" s="1"/>
      <c r="AA799" s="1"/>
      <c r="AB799" s="246"/>
    </row>
    <row r="800" spans="2:28" ht="15.75">
      <c r="B800" s="11"/>
      <c r="C800" s="322"/>
      <c r="D800" s="1"/>
      <c r="E800" s="453" t="s">
        <v>69</v>
      </c>
      <c r="F800" s="7" t="s">
        <v>47</v>
      </c>
      <c r="G800" s="452"/>
      <c r="H800" s="276"/>
      <c r="I800" s="12" t="s">
        <v>12</v>
      </c>
      <c r="J800" s="403"/>
      <c r="K800" s="15"/>
      <c r="L800" s="298"/>
      <c r="M800" s="369"/>
      <c r="N800" s="1">
        <f>IF(OR(Q800&lt;0,Q800&gt;G786),1,0)</f>
        <v>0</v>
      </c>
      <c r="O800" s="451" t="s">
        <v>70</v>
      </c>
      <c r="P800" s="8" t="s">
        <v>71</v>
      </c>
      <c r="Q800" s="464">
        <v>0</v>
      </c>
      <c r="R800" s="15"/>
      <c r="S800" s="12" t="s">
        <v>12</v>
      </c>
      <c r="T800" s="15"/>
      <c r="U800" s="1"/>
      <c r="V800" s="1"/>
      <c r="W800" s="1"/>
      <c r="X800" s="1"/>
      <c r="Y800" s="1"/>
      <c r="Z800" s="1"/>
      <c r="AA800" s="1"/>
      <c r="AB800" s="246"/>
    </row>
    <row r="801" spans="2:28" ht="16.5" thickBot="1">
      <c r="B801" s="11"/>
      <c r="C801" s="323"/>
      <c r="D801" s="1"/>
      <c r="E801" s="455" t="s">
        <v>69</v>
      </c>
      <c r="F801" s="456" t="str">
        <f>F790</f>
        <v>$/kW</v>
      </c>
      <c r="G801" s="457"/>
      <c r="H801" s="284"/>
      <c r="I801" s="12" t="s">
        <v>12</v>
      </c>
      <c r="J801" s="403"/>
      <c r="K801" s="15"/>
      <c r="L801" s="298"/>
      <c r="M801" s="369"/>
      <c r="N801" s="1"/>
      <c r="O801" s="451" t="s">
        <v>72</v>
      </c>
      <c r="P801" s="6" t="s">
        <v>19</v>
      </c>
      <c r="Q801" s="497">
        <v>0</v>
      </c>
      <c r="R801" s="15"/>
      <c r="S801" s="12" t="s">
        <v>12</v>
      </c>
      <c r="T801" s="15"/>
      <c r="U801" s="1"/>
      <c r="V801" s="1"/>
      <c r="W801" s="1"/>
      <c r="X801" s="1"/>
      <c r="Y801" s="1"/>
      <c r="Z801" s="1"/>
      <c r="AA801" s="1"/>
      <c r="AB801" s="246"/>
    </row>
    <row r="802" spans="2:28" ht="16.5" thickBot="1">
      <c r="B802" s="11"/>
      <c r="C802" s="324"/>
      <c r="D802" s="1"/>
      <c r="E802" s="18"/>
      <c r="F802" s="1"/>
      <c r="G802" s="1"/>
      <c r="H802" s="1"/>
      <c r="I802" s="17"/>
      <c r="J802" s="403"/>
      <c r="K802" s="15"/>
      <c r="L802" s="298"/>
      <c r="M802" s="369"/>
      <c r="N802" s="1">
        <f>IF(OR(Q802&lt;0,Q802&gt;1),1,0)</f>
        <v>0</v>
      </c>
      <c r="O802" s="455" t="s">
        <v>73</v>
      </c>
      <c r="P802" s="462" t="s">
        <v>19</v>
      </c>
      <c r="Q802" s="523">
        <v>0</v>
      </c>
      <c r="R802" s="15"/>
      <c r="S802" s="12" t="s">
        <v>12</v>
      </c>
      <c r="T802" s="15"/>
      <c r="U802" s="1"/>
      <c r="V802" s="1"/>
      <c r="W802" s="1"/>
      <c r="X802" s="1"/>
      <c r="Y802" s="1"/>
      <c r="Z802" s="1"/>
      <c r="AA802" s="1"/>
      <c r="AB802" s="246"/>
    </row>
    <row r="803" spans="2:28" ht="16.5" thickBot="1">
      <c r="B803" s="11"/>
      <c r="C803" s="1"/>
      <c r="D803" s="1"/>
      <c r="E803" s="5" t="s">
        <v>74</v>
      </c>
      <c r="F803" s="347" t="s">
        <v>6</v>
      </c>
      <c r="G803" s="411" t="s">
        <v>7</v>
      </c>
      <c r="H803" s="285"/>
      <c r="I803" s="17"/>
      <c r="J803" s="403"/>
      <c r="K803" s="15"/>
      <c r="L803" s="298"/>
      <c r="M803" s="1"/>
      <c r="N803" s="1"/>
      <c r="O803" s="296" t="s">
        <v>75</v>
      </c>
      <c r="P803" s="521"/>
      <c r="Q803" s="514" t="s">
        <v>76</v>
      </c>
      <c r="R803" s="121"/>
      <c r="S803" s="12" t="s">
        <v>12</v>
      </c>
      <c r="T803" s="15"/>
      <c r="U803" s="1"/>
      <c r="V803" s="1"/>
      <c r="W803" s="1"/>
      <c r="X803" s="1"/>
      <c r="Y803" s="1"/>
      <c r="Z803" s="1"/>
      <c r="AA803" s="1"/>
      <c r="AB803" s="246"/>
    </row>
    <row r="804" spans="2:28" ht="16.5" thickBot="1">
      <c r="B804" s="11"/>
      <c r="C804" s="318"/>
      <c r="D804" s="1"/>
      <c r="E804" s="553" t="s">
        <v>40</v>
      </c>
      <c r="F804" s="554"/>
      <c r="G804" s="555" t="s">
        <v>41</v>
      </c>
      <c r="H804" s="281"/>
      <c r="I804" s="12" t="s">
        <v>12</v>
      </c>
      <c r="J804" s="403"/>
      <c r="K804" s="15"/>
      <c r="L804" s="11"/>
      <c r="M804" s="1"/>
      <c r="N804" s="1"/>
      <c r="O804" s="415"/>
      <c r="P804" s="267"/>
      <c r="Q804" s="297"/>
      <c r="R804" s="1"/>
      <c r="S804" s="1"/>
      <c r="T804" s="1"/>
      <c r="U804" s="1"/>
      <c r="V804" s="1"/>
      <c r="W804" s="1"/>
      <c r="X804" s="1"/>
      <c r="Y804" s="1"/>
      <c r="Z804" s="1"/>
      <c r="AA804" s="1"/>
      <c r="AB804" s="246"/>
    </row>
    <row r="805" spans="2:28" ht="15.75">
      <c r="B805" s="11"/>
      <c r="C805" s="325"/>
      <c r="D805" s="1"/>
      <c r="E805" s="458" t="s">
        <v>77</v>
      </c>
      <c r="F805" s="459" t="s">
        <v>78</v>
      </c>
      <c r="G805" s="460">
        <v>9</v>
      </c>
      <c r="H805" s="286"/>
      <c r="I805" s="12" t="s">
        <v>12</v>
      </c>
      <c r="J805" s="403"/>
      <c r="K805" s="15"/>
      <c r="L805" s="298"/>
      <c r="M805" s="369"/>
      <c r="N805" s="1"/>
      <c r="O805" s="515" t="s">
        <v>79</v>
      </c>
      <c r="P805" s="459" t="s">
        <v>47</v>
      </c>
      <c r="Q805" s="516">
        <v>0</v>
      </c>
      <c r="R805" s="121"/>
      <c r="S805" s="12" t="s">
        <v>12</v>
      </c>
      <c r="T805" s="1"/>
      <c r="U805" s="1"/>
      <c r="V805" s="1"/>
      <c r="W805" s="1"/>
      <c r="X805" s="1"/>
      <c r="Y805" s="1"/>
      <c r="Z805" s="1"/>
      <c r="AA805" s="1"/>
      <c r="AB805" s="246"/>
    </row>
    <row r="806" spans="2:28" ht="16.5" thickBot="1">
      <c r="B806" s="11"/>
      <c r="C806" s="369"/>
      <c r="D806" s="1"/>
      <c r="E806" s="453" t="s">
        <v>80</v>
      </c>
      <c r="F806" s="7" t="s">
        <v>81</v>
      </c>
      <c r="G806" s="512">
        <v>0</v>
      </c>
      <c r="H806" s="287"/>
      <c r="I806" s="12" t="s">
        <v>12</v>
      </c>
      <c r="J806" s="403"/>
      <c r="K806" s="15"/>
      <c r="L806" s="298"/>
      <c r="M806" s="374"/>
      <c r="N806" s="1"/>
      <c r="O806" s="455" t="s">
        <v>82</v>
      </c>
      <c r="P806" s="466"/>
      <c r="Q806" s="517" t="s">
        <v>83</v>
      </c>
      <c r="R806" s="21"/>
      <c r="S806" s="12" t="s">
        <v>12</v>
      </c>
      <c r="T806" s="1"/>
      <c r="U806" s="1"/>
      <c r="V806" s="1"/>
      <c r="W806" s="1"/>
      <c r="X806" s="1"/>
      <c r="Y806" s="1"/>
      <c r="Z806" s="1"/>
      <c r="AA806" s="1"/>
      <c r="AB806" s="246"/>
    </row>
    <row r="807" spans="2:28" ht="16.5" thickBot="1">
      <c r="B807" s="11"/>
      <c r="C807" s="326"/>
      <c r="D807" s="15"/>
      <c r="E807" s="474" t="s">
        <v>84</v>
      </c>
      <c r="F807" s="7" t="s">
        <v>19</v>
      </c>
      <c r="G807" s="475">
        <v>0.03</v>
      </c>
      <c r="H807" s="270"/>
      <c r="I807" s="12" t="s">
        <v>12</v>
      </c>
      <c r="J807" s="404"/>
      <c r="K807" s="15"/>
      <c r="L807" s="298"/>
      <c r="M807" s="1"/>
      <c r="N807" s="1"/>
      <c r="O807" s="1"/>
      <c r="P807" s="1"/>
      <c r="Q807" s="1"/>
      <c r="R807" s="1"/>
      <c r="S807" s="1"/>
      <c r="T807" s="1"/>
      <c r="U807" s="1"/>
      <c r="V807" s="1"/>
      <c r="W807" s="1"/>
      <c r="X807" s="1"/>
      <c r="Y807" s="1"/>
      <c r="Z807" s="1"/>
      <c r="AA807" s="1"/>
      <c r="AB807" s="246"/>
    </row>
    <row r="808" spans="2:28" ht="16.5" thickBot="1">
      <c r="B808" s="11"/>
      <c r="C808" s="317"/>
      <c r="D808" s="1"/>
      <c r="E808" s="451" t="s">
        <v>85</v>
      </c>
      <c r="F808" s="7" t="s">
        <v>86</v>
      </c>
      <c r="G808" s="582">
        <v>10</v>
      </c>
      <c r="H808" s="272"/>
      <c r="I808" s="12" t="s">
        <v>12</v>
      </c>
      <c r="J808" s="404"/>
      <c r="K808" s="15"/>
      <c r="L808" s="298"/>
      <c r="M808" s="1"/>
      <c r="N808" s="1"/>
      <c r="O808" s="5" t="s">
        <v>87</v>
      </c>
      <c r="P808" s="347" t="s">
        <v>6</v>
      </c>
      <c r="Q808" s="411" t="s">
        <v>7</v>
      </c>
      <c r="R808" s="15"/>
      <c r="S808" s="1"/>
      <c r="T808" s="412"/>
      <c r="U808" s="677"/>
      <c r="V808" s="1"/>
      <c r="W808" s="1"/>
      <c r="X808" s="1"/>
      <c r="Y808" s="1"/>
      <c r="Z808" s="1"/>
      <c r="AA808" s="1"/>
      <c r="AB808" s="246"/>
    </row>
    <row r="809" spans="2:28" ht="16.5" thickBot="1">
      <c r="B809" s="11"/>
      <c r="C809" s="326"/>
      <c r="D809" s="15"/>
      <c r="E809" s="465" t="s">
        <v>88</v>
      </c>
      <c r="F809" s="466" t="s">
        <v>19</v>
      </c>
      <c r="G809" s="475">
        <v>0.03</v>
      </c>
      <c r="H809" s="278"/>
      <c r="I809" s="12" t="s">
        <v>12</v>
      </c>
      <c r="J809" s="403"/>
      <c r="K809" s="15"/>
      <c r="L809" s="298"/>
      <c r="M809" s="374"/>
      <c r="N809" s="1"/>
      <c r="O809" s="568" t="s">
        <v>89</v>
      </c>
      <c r="P809" s="569"/>
      <c r="Q809" s="570" t="s">
        <v>90</v>
      </c>
      <c r="R809" s="1"/>
      <c r="S809" s="12" t="s">
        <v>12</v>
      </c>
      <c r="T809" s="1"/>
      <c r="U809" s="1"/>
      <c r="V809" s="1"/>
      <c r="W809" s="1"/>
      <c r="X809" s="1"/>
      <c r="Y809" s="1"/>
      <c r="Z809" s="1"/>
      <c r="AA809" s="1"/>
      <c r="AB809" s="246"/>
    </row>
    <row r="810" spans="2:28" ht="15.75">
      <c r="B810" s="11"/>
      <c r="C810" s="369"/>
      <c r="D810" s="1"/>
      <c r="E810" s="483" t="s">
        <v>91</v>
      </c>
      <c r="F810" s="6" t="s">
        <v>19</v>
      </c>
      <c r="G810" s="470">
        <v>5.7150000000000005E-3</v>
      </c>
      <c r="H810" s="270"/>
      <c r="I810" s="366" t="s">
        <v>12</v>
      </c>
      <c r="J810" s="403"/>
      <c r="K810" s="15"/>
      <c r="L810" s="298"/>
      <c r="M810" s="369"/>
      <c r="N810" s="1">
        <f>IF(OR(Q810&lt;0,Q810&gt;1),1,0)</f>
        <v>0</v>
      </c>
      <c r="O810" s="458" t="s">
        <v>92</v>
      </c>
      <c r="P810" s="450" t="s">
        <v>19</v>
      </c>
      <c r="Q810" s="600">
        <v>0</v>
      </c>
      <c r="R810" s="15">
        <f>IF(OR($Q$35="Performance-Based",$Q$35="Neither"),1,0)</f>
        <v>1</v>
      </c>
      <c r="S810" s="12" t="s">
        <v>12</v>
      </c>
      <c r="T810" s="15"/>
      <c r="U810" s="1"/>
      <c r="V810" s="1"/>
      <c r="W810" s="1"/>
      <c r="X810" s="1"/>
      <c r="Y810" s="1"/>
      <c r="Z810" s="1"/>
      <c r="AA810" s="1"/>
      <c r="AB810" s="246"/>
    </row>
    <row r="811" spans="2:28" ht="15.75">
      <c r="B811" s="11"/>
      <c r="C811" s="1"/>
      <c r="D811" s="1"/>
      <c r="E811" s="451" t="s">
        <v>93</v>
      </c>
      <c r="F811" s="7" t="s">
        <v>47</v>
      </c>
      <c r="G811" s="467"/>
      <c r="H811" s="275"/>
      <c r="I811" s="366" t="s">
        <v>12</v>
      </c>
      <c r="J811" s="403"/>
      <c r="K811" s="15"/>
      <c r="L811" s="298"/>
      <c r="M811" s="369"/>
      <c r="N811" s="1">
        <f>IF(OR(Q811&lt;0,Q811&gt;1),1,0)</f>
        <v>0</v>
      </c>
      <c r="O811" s="453" t="s">
        <v>94</v>
      </c>
      <c r="P811" s="7" t="s">
        <v>19</v>
      </c>
      <c r="Q811" s="601">
        <v>0</v>
      </c>
      <c r="R811" s="15"/>
      <c r="S811" s="12" t="s">
        <v>12</v>
      </c>
      <c r="T811" s="15"/>
      <c r="U811" s="15"/>
      <c r="V811" s="1"/>
      <c r="W811" s="1"/>
      <c r="X811" s="1"/>
      <c r="Y811" s="1"/>
      <c r="Z811" s="1"/>
      <c r="AA811" s="1"/>
      <c r="AB811" s="246"/>
    </row>
    <row r="812" spans="2:28" ht="15.75">
      <c r="B812" s="11"/>
      <c r="C812" s="369"/>
      <c r="D812" s="1"/>
      <c r="E812" s="468" t="s">
        <v>95</v>
      </c>
      <c r="F812" s="6" t="s">
        <v>96</v>
      </c>
      <c r="G812" s="469">
        <v>20000</v>
      </c>
      <c r="H812" s="288"/>
      <c r="I812" s="366" t="s">
        <v>12</v>
      </c>
      <c r="J812" s="404"/>
      <c r="K812" s="15"/>
      <c r="L812" s="298"/>
      <c r="M812" s="369"/>
      <c r="N812" s="1">
        <f>IF(OR(Q812&lt;1,Q812&gt;G786),1,0)</f>
        <v>1</v>
      </c>
      <c r="O812" s="451" t="s">
        <v>97</v>
      </c>
      <c r="P812" s="8" t="s">
        <v>71</v>
      </c>
      <c r="Q812" s="602">
        <v>0</v>
      </c>
      <c r="R812" s="15"/>
      <c r="S812" s="12" t="s">
        <v>12</v>
      </c>
      <c r="T812" s="1"/>
      <c r="U812" s="678"/>
      <c r="V812" s="1"/>
      <c r="W812" s="1"/>
      <c r="X812" s="1"/>
      <c r="Y812" s="1"/>
      <c r="Z812" s="1"/>
      <c r="AA812" s="1"/>
      <c r="AB812" s="246"/>
    </row>
    <row r="813" spans="2:28" ht="16.5" thickBot="1">
      <c r="B813" s="11"/>
      <c r="C813" s="369"/>
      <c r="D813" s="1"/>
      <c r="E813" s="451" t="s">
        <v>98</v>
      </c>
      <c r="F813" s="6" t="s">
        <v>33</v>
      </c>
      <c r="G813" s="603">
        <v>5</v>
      </c>
      <c r="H813" s="288"/>
      <c r="I813" s="366" t="s">
        <v>12</v>
      </c>
      <c r="J813" s="403"/>
      <c r="K813" s="15"/>
      <c r="L813" s="11"/>
      <c r="M813" s="1"/>
      <c r="N813" s="1"/>
      <c r="O813" s="455" t="s">
        <v>50</v>
      </c>
      <c r="P813" s="456" t="s">
        <v>47</v>
      </c>
      <c r="Q813" s="572">
        <v>0</v>
      </c>
      <c r="R813" s="1"/>
      <c r="S813" s="12" t="s">
        <v>12</v>
      </c>
      <c r="T813" s="1"/>
      <c r="U813" s="1"/>
      <c r="V813" s="1"/>
      <c r="W813" s="1"/>
      <c r="X813" s="1"/>
      <c r="Y813" s="1"/>
      <c r="Z813" s="1"/>
      <c r="AA813" s="1"/>
      <c r="AB813" s="246"/>
    </row>
    <row r="814" spans="2:28" ht="15.75">
      <c r="B814" s="11"/>
      <c r="C814" s="369"/>
      <c r="D814" s="1"/>
      <c r="E814" s="451" t="s">
        <v>43</v>
      </c>
      <c r="F814" s="6" t="s">
        <v>19</v>
      </c>
      <c r="G814" s="583">
        <v>0</v>
      </c>
      <c r="H814" s="1"/>
      <c r="I814" s="366" t="s">
        <v>12</v>
      </c>
      <c r="J814" s="403"/>
      <c r="K814" s="15"/>
      <c r="L814" s="298"/>
      <c r="M814" s="374"/>
      <c r="N814" s="1"/>
      <c r="O814" s="483" t="s">
        <v>99</v>
      </c>
      <c r="P814" s="6"/>
      <c r="Q814" s="571" t="s">
        <v>66</v>
      </c>
      <c r="R814" s="15">
        <f>IF(OR($Q$35="Cost-Based",$Q$35="Neither"),1,0)</f>
        <v>1</v>
      </c>
      <c r="S814" s="12" t="s">
        <v>12</v>
      </c>
      <c r="T814" s="15"/>
      <c r="U814" s="21"/>
      <c r="V814" s="1"/>
      <c r="W814" s="1"/>
      <c r="X814" s="1"/>
      <c r="Y814" s="1"/>
      <c r="Z814" s="1"/>
      <c r="AA814" s="1"/>
      <c r="AB814" s="246"/>
    </row>
    <row r="815" spans="2:28" ht="15.75">
      <c r="B815" s="11"/>
      <c r="C815" s="369"/>
      <c r="D815" s="1"/>
      <c r="E815" s="451" t="s">
        <v>100</v>
      </c>
      <c r="F815" s="6" t="s">
        <v>96</v>
      </c>
      <c r="G815" s="469">
        <v>321369.85979999998</v>
      </c>
      <c r="H815" s="288"/>
      <c r="I815" s="366" t="s">
        <v>12</v>
      </c>
      <c r="J815" s="403"/>
      <c r="K815" s="15"/>
      <c r="L815" s="298"/>
      <c r="M815" s="374"/>
      <c r="N815" s="1"/>
      <c r="O815" s="451" t="s">
        <v>101</v>
      </c>
      <c r="P815" s="8"/>
      <c r="Q815" s="511" t="s">
        <v>102</v>
      </c>
      <c r="R815" s="346">
        <f>IF(OR($Q$35="Cost-Based",$Q$35="Neither",$Q$40="Tax Credit"),1,0)</f>
        <v>1</v>
      </c>
      <c r="S815" s="12" t="s">
        <v>12</v>
      </c>
      <c r="T815" s="1"/>
      <c r="U815" s="21"/>
      <c r="V815" s="1"/>
      <c r="W815" s="1"/>
      <c r="X815" s="1"/>
      <c r="Y815" s="1"/>
      <c r="Z815" s="1"/>
      <c r="AA815" s="1"/>
      <c r="AB815" s="246"/>
    </row>
    <row r="816" spans="2:28" ht="15.75">
      <c r="B816" s="11"/>
      <c r="C816" s="369"/>
      <c r="D816" s="1"/>
      <c r="E816" s="453" t="s">
        <v>103</v>
      </c>
      <c r="F816" s="6" t="s">
        <v>19</v>
      </c>
      <c r="G816" s="470">
        <v>0.02</v>
      </c>
      <c r="H816" s="270"/>
      <c r="I816" s="366" t="s">
        <v>12</v>
      </c>
      <c r="J816" s="403"/>
      <c r="K816" s="15"/>
      <c r="L816" s="298"/>
      <c r="M816" s="369"/>
      <c r="N816" s="1"/>
      <c r="O816" s="451" t="s">
        <v>68</v>
      </c>
      <c r="P816" s="55" t="s">
        <v>39</v>
      </c>
      <c r="Q816" s="512">
        <v>1.5</v>
      </c>
      <c r="R816" s="21"/>
      <c r="S816" s="12" t="s">
        <v>12</v>
      </c>
      <c r="T816" s="346"/>
      <c r="U816" s="679"/>
      <c r="V816" s="1"/>
      <c r="W816" s="1"/>
      <c r="X816" s="1"/>
      <c r="Y816" s="1"/>
      <c r="Z816" s="1"/>
      <c r="AA816" s="1"/>
      <c r="AB816" s="246"/>
    </row>
    <row r="817" spans="2:28" ht="16.5" thickBot="1">
      <c r="B817" s="11"/>
      <c r="C817" s="1"/>
      <c r="D817" s="1"/>
      <c r="E817" s="455"/>
      <c r="F817" s="466"/>
      <c r="G817" s="471"/>
      <c r="H817" s="275"/>
      <c r="I817" s="366" t="s">
        <v>12</v>
      </c>
      <c r="J817" s="246"/>
      <c r="K817" s="15"/>
      <c r="L817" s="298"/>
      <c r="M817" s="369"/>
      <c r="N817" s="1">
        <f>IF(OR(Q817&lt;0,Q817&gt;G786),1,0)</f>
        <v>0</v>
      </c>
      <c r="O817" s="451" t="s">
        <v>70</v>
      </c>
      <c r="P817" s="8" t="s">
        <v>71</v>
      </c>
      <c r="Q817" s="464">
        <v>10</v>
      </c>
      <c r="R817" s="21"/>
      <c r="S817" s="12" t="s">
        <v>12</v>
      </c>
      <c r="T817" s="1"/>
      <c r="U817" s="21"/>
      <c r="V817" s="1"/>
      <c r="W817" s="1"/>
      <c r="X817" s="1"/>
      <c r="Y817" s="1"/>
      <c r="Z817" s="1"/>
      <c r="AA817" s="1"/>
      <c r="AB817" s="246"/>
    </row>
    <row r="818" spans="2:28" ht="16.5" thickBot="1">
      <c r="B818" s="11"/>
      <c r="C818" s="327"/>
      <c r="D818" s="1"/>
      <c r="E818" s="1"/>
      <c r="F818" s="1"/>
      <c r="G818" s="1"/>
      <c r="H818" s="1"/>
      <c r="I818" s="17"/>
      <c r="J818" s="403"/>
      <c r="K818" s="15"/>
      <c r="L818" s="298"/>
      <c r="M818" s="369"/>
      <c r="N818" s="1"/>
      <c r="O818" s="451" t="s">
        <v>72</v>
      </c>
      <c r="P818" s="6" t="s">
        <v>19</v>
      </c>
      <c r="Q818" s="497">
        <v>0.02</v>
      </c>
      <c r="R818" s="15"/>
      <c r="S818" s="12" t="s">
        <v>12</v>
      </c>
      <c r="T818" s="346"/>
      <c r="U818" s="21"/>
      <c r="V818" s="1"/>
      <c r="W818" s="1"/>
      <c r="X818" s="1"/>
      <c r="Y818" s="1"/>
      <c r="Z818" s="1"/>
      <c r="AA818" s="1"/>
      <c r="AB818" s="246"/>
    </row>
    <row r="819" spans="2:28" ht="16.5" thickBot="1">
      <c r="B819" s="11"/>
      <c r="C819" s="327"/>
      <c r="D819" s="1"/>
      <c r="E819" s="5" t="s">
        <v>104</v>
      </c>
      <c r="F819" s="347" t="s">
        <v>6</v>
      </c>
      <c r="G819" s="411" t="s">
        <v>7</v>
      </c>
      <c r="H819" s="289"/>
      <c r="I819" s="17"/>
      <c r="J819" s="403"/>
      <c r="K819" s="15"/>
      <c r="L819" s="298"/>
      <c r="M819" s="369"/>
      <c r="N819" s="1">
        <f>IF(OR(Q819&lt;0,Q819&gt;1),1,0)</f>
        <v>0</v>
      </c>
      <c r="O819" s="455" t="s">
        <v>105</v>
      </c>
      <c r="P819" s="462" t="s">
        <v>19</v>
      </c>
      <c r="Q819" s="523">
        <v>1</v>
      </c>
      <c r="R819" s="15"/>
      <c r="S819" s="12" t="s">
        <v>12</v>
      </c>
      <c r="T819" s="21"/>
      <c r="U819" s="15"/>
      <c r="V819" s="1"/>
      <c r="W819" s="1"/>
      <c r="X819" s="1"/>
      <c r="Y819" s="1"/>
      <c r="Z819" s="1"/>
      <c r="AA819" s="1"/>
      <c r="AB819" s="246"/>
    </row>
    <row r="820" spans="2:28" ht="16.5" thickBot="1">
      <c r="B820" s="11"/>
      <c r="C820" s="372"/>
      <c r="D820" s="1"/>
      <c r="E820" s="463" t="s">
        <v>106</v>
      </c>
      <c r="F820" s="450" t="s">
        <v>107</v>
      </c>
      <c r="G820" s="556">
        <v>0</v>
      </c>
      <c r="H820" s="289"/>
      <c r="I820" s="12" t="s">
        <v>12</v>
      </c>
      <c r="J820" s="403"/>
      <c r="K820" s="15"/>
      <c r="L820" s="298"/>
      <c r="M820" s="15"/>
      <c r="N820" s="15"/>
      <c r="O820" s="524" t="s">
        <v>108</v>
      </c>
      <c r="P820" s="525"/>
      <c r="Q820" s="526" t="s">
        <v>76</v>
      </c>
      <c r="R820" s="15">
        <f>IF($Q$35="Neither",1,0)</f>
        <v>1</v>
      </c>
      <c r="S820" s="12" t="s">
        <v>12</v>
      </c>
      <c r="T820" s="21"/>
      <c r="U820" s="15"/>
      <c r="V820" s="1"/>
      <c r="W820" s="1"/>
      <c r="X820" s="1"/>
      <c r="Y820" s="1"/>
      <c r="Z820" s="1"/>
      <c r="AA820" s="1"/>
      <c r="AB820" s="246"/>
    </row>
    <row r="821" spans="2:28" ht="16.5" thickBot="1">
      <c r="B821" s="11"/>
      <c r="C821" s="372"/>
      <c r="D821" s="1"/>
      <c r="E821" s="474" t="s">
        <v>109</v>
      </c>
      <c r="F821" s="7" t="s">
        <v>19</v>
      </c>
      <c r="G821" s="548">
        <v>0</v>
      </c>
      <c r="H821" s="289"/>
      <c r="I821" s="12" t="s">
        <v>12</v>
      </c>
      <c r="J821" s="403"/>
      <c r="K821" s="15"/>
      <c r="L821" s="11"/>
      <c r="M821" s="1"/>
      <c r="N821" s="1"/>
      <c r="O821" s="415"/>
      <c r="P821" s="267"/>
      <c r="Q821" s="297"/>
      <c r="R821" s="1"/>
      <c r="S821" s="1"/>
      <c r="T821" s="1"/>
      <c r="U821" s="15"/>
      <c r="V821" s="1"/>
      <c r="W821" s="1"/>
      <c r="X821" s="1"/>
      <c r="Y821" s="1"/>
      <c r="Z821" s="1"/>
      <c r="AA821" s="1"/>
      <c r="AB821" s="246"/>
    </row>
    <row r="822" spans="2:28" ht="16.5" thickBot="1">
      <c r="B822" s="11"/>
      <c r="C822" s="327"/>
      <c r="D822" s="1"/>
      <c r="E822" s="465" t="s">
        <v>110</v>
      </c>
      <c r="F822" s="456" t="s">
        <v>47</v>
      </c>
      <c r="G822" s="471"/>
      <c r="H822" s="289"/>
      <c r="I822" s="12" t="s">
        <v>12</v>
      </c>
      <c r="J822" s="403"/>
      <c r="K822" s="15"/>
      <c r="L822" s="298"/>
      <c r="M822" s="369"/>
      <c r="N822" s="15"/>
      <c r="O822" s="515" t="s">
        <v>111</v>
      </c>
      <c r="P822" s="450" t="s">
        <v>47</v>
      </c>
      <c r="Q822" s="516">
        <v>0</v>
      </c>
      <c r="R822" s="1"/>
      <c r="S822" s="12" t="s">
        <v>12</v>
      </c>
      <c r="T822" s="15"/>
      <c r="U822" s="15"/>
      <c r="V822" s="1"/>
      <c r="W822" s="1"/>
      <c r="X822" s="1"/>
      <c r="Y822" s="1"/>
      <c r="Z822" s="1"/>
      <c r="AA822" s="1"/>
      <c r="AB822" s="246"/>
    </row>
    <row r="823" spans="2:28" ht="16.5" thickBot="1">
      <c r="B823" s="11"/>
      <c r="C823" s="1"/>
      <c r="D823" s="1"/>
      <c r="E823" s="1"/>
      <c r="F823" s="1"/>
      <c r="G823" s="182"/>
      <c r="H823" s="182"/>
      <c r="I823" s="17"/>
      <c r="J823" s="403"/>
      <c r="K823" s="15"/>
      <c r="L823" s="298"/>
      <c r="M823" s="374"/>
      <c r="N823" s="1"/>
      <c r="O823" s="455" t="s">
        <v>112</v>
      </c>
      <c r="P823" s="466"/>
      <c r="Q823" s="517" t="s">
        <v>83</v>
      </c>
      <c r="R823" s="21"/>
      <c r="S823" s="12" t="s">
        <v>12</v>
      </c>
      <c r="T823" s="15"/>
      <c r="U823" s="15"/>
      <c r="V823" s="1"/>
      <c r="W823" s="1"/>
      <c r="X823" s="1"/>
      <c r="Y823" s="1"/>
      <c r="Z823" s="1"/>
      <c r="AA823" s="1"/>
      <c r="AB823" s="246"/>
    </row>
    <row r="824" spans="2:28" ht="16.5" thickBot="1">
      <c r="B824" s="11"/>
      <c r="C824" s="327"/>
      <c r="D824" s="1"/>
      <c r="E824" s="480" t="s">
        <v>113</v>
      </c>
      <c r="F824" s="481" t="s">
        <v>6</v>
      </c>
      <c r="G824" s="482" t="s">
        <v>7</v>
      </c>
      <c r="H824" s="289"/>
      <c r="I824" s="405"/>
      <c r="J824" s="403"/>
      <c r="K824" s="15"/>
      <c r="L824" s="298"/>
      <c r="M824" s="1"/>
      <c r="N824" s="1"/>
      <c r="O824" s="1"/>
      <c r="P824" s="1"/>
      <c r="Q824" s="1"/>
      <c r="R824" s="1"/>
      <c r="S824" s="1"/>
      <c r="T824" s="15"/>
      <c r="U824" s="300"/>
      <c r="V824" s="1"/>
      <c r="W824" s="1"/>
      <c r="X824" s="1"/>
      <c r="Y824" s="1"/>
      <c r="Z824" s="1"/>
      <c r="AA824" s="1"/>
      <c r="AB824" s="246"/>
    </row>
    <row r="825" spans="2:28" ht="16.5" thickBot="1">
      <c r="B825" s="11"/>
      <c r="C825" s="369"/>
      <c r="D825" s="1">
        <f>IF(OR(G825="",G825&lt;0,G825&gt;1),1,0)</f>
        <v>0</v>
      </c>
      <c r="E825" s="449" t="s">
        <v>114</v>
      </c>
      <c r="F825" s="450" t="s">
        <v>19</v>
      </c>
      <c r="G825" s="476">
        <v>0.505</v>
      </c>
      <c r="H825" s="290"/>
      <c r="I825" s="12" t="s">
        <v>12</v>
      </c>
      <c r="J825" s="404"/>
      <c r="K825" s="15"/>
      <c r="L825" s="298"/>
      <c r="M825" s="15"/>
      <c r="N825" s="15"/>
      <c r="O825" s="5" t="s">
        <v>115</v>
      </c>
      <c r="P825" s="22"/>
      <c r="Q825" s="411"/>
      <c r="R825" s="15"/>
      <c r="S825" s="15"/>
      <c r="T825" s="15"/>
      <c r="U825" s="15"/>
      <c r="V825" s="1"/>
      <c r="W825" s="1"/>
      <c r="X825" s="1"/>
      <c r="Y825" s="1"/>
      <c r="Z825" s="1"/>
      <c r="AA825" s="1"/>
      <c r="AB825" s="246"/>
    </row>
    <row r="826" spans="2:28" ht="15.75">
      <c r="B826" s="11"/>
      <c r="C826" s="369"/>
      <c r="D826" s="1">
        <f>IF(OR(G826&lt;=0,G826&gt;G786),1,0)</f>
        <v>0</v>
      </c>
      <c r="E826" s="451" t="s">
        <v>116</v>
      </c>
      <c r="F826" s="7" t="s">
        <v>14</v>
      </c>
      <c r="G826" s="464">
        <v>15</v>
      </c>
      <c r="H826" s="272"/>
      <c r="I826" s="12" t="s">
        <v>12</v>
      </c>
      <c r="J826" s="404"/>
      <c r="K826" s="15"/>
      <c r="L826" s="298"/>
      <c r="M826" s="375"/>
      <c r="N826" s="15">
        <f>IF(OR(Q826&lt;1,Q826&gt;$G$12),1,0)</f>
        <v>0</v>
      </c>
      <c r="O826" s="463" t="s">
        <v>117</v>
      </c>
      <c r="P826" s="459" t="s">
        <v>86</v>
      </c>
      <c r="Q826" s="556">
        <v>12</v>
      </c>
      <c r="R826" s="15"/>
      <c r="S826" s="12" t="s">
        <v>12</v>
      </c>
      <c r="T826" s="15"/>
      <c r="U826" s="15"/>
      <c r="V826" s="1"/>
      <c r="W826" s="1"/>
      <c r="X826" s="1"/>
      <c r="Y826" s="1"/>
      <c r="Z826" s="1"/>
      <c r="AA826" s="1"/>
      <c r="AB826" s="246"/>
    </row>
    <row r="827" spans="2:28" ht="16.5" thickBot="1">
      <c r="B827" s="11"/>
      <c r="C827" s="372"/>
      <c r="D827" s="1">
        <f>IF(OR(G827&lt;0,G827=""),1,0)</f>
        <v>0</v>
      </c>
      <c r="E827" s="451" t="s">
        <v>118</v>
      </c>
      <c r="F827" s="7" t="s">
        <v>19</v>
      </c>
      <c r="G827" s="485">
        <v>7.6638765941485373E-2</v>
      </c>
      <c r="H827" s="291"/>
      <c r="I827" s="12" t="s">
        <v>12</v>
      </c>
      <c r="J827" s="404"/>
      <c r="K827" s="15"/>
      <c r="L827" s="298"/>
      <c r="M827" s="326"/>
      <c r="N827" s="15"/>
      <c r="O827" s="465" t="s">
        <v>119</v>
      </c>
      <c r="P827" s="456" t="str">
        <f>$F$16</f>
        <v>$/kW</v>
      </c>
      <c r="Q827" s="531">
        <v>21</v>
      </c>
      <c r="R827" s="15"/>
      <c r="S827" s="12" t="s">
        <v>12</v>
      </c>
      <c r="T827" s="15"/>
      <c r="U827" s="15"/>
      <c r="V827" s="1"/>
      <c r="W827" s="1"/>
      <c r="X827" s="1"/>
      <c r="Y827" s="1"/>
      <c r="Z827" s="1"/>
      <c r="AA827" s="1"/>
      <c r="AB827" s="246"/>
    </row>
    <row r="828" spans="2:28" ht="16.5" thickBot="1">
      <c r="B828" s="11"/>
      <c r="C828" s="369"/>
      <c r="D828" s="1">
        <f>IF(OR(G828&lt;0,G828=""),1,0)</f>
        <v>0</v>
      </c>
      <c r="E828" s="486" t="s">
        <v>120</v>
      </c>
      <c r="F828" s="466" t="s">
        <v>19</v>
      </c>
      <c r="G828" s="487">
        <v>0.02</v>
      </c>
      <c r="H828" s="270"/>
      <c r="I828" s="12" t="s">
        <v>12</v>
      </c>
      <c r="J828" s="403"/>
      <c r="K828" s="15"/>
      <c r="L828" s="298"/>
      <c r="M828" s="375"/>
      <c r="N828" s="15">
        <f>IF(OR(Q828&lt;Q826,Q828&gt;$G$12),1,0)</f>
        <v>0</v>
      </c>
      <c r="O828" s="529" t="s">
        <v>121</v>
      </c>
      <c r="P828" s="24" t="s">
        <v>86</v>
      </c>
      <c r="Q828" s="530">
        <v>12</v>
      </c>
      <c r="R828" s="15"/>
      <c r="S828" s="12" t="s">
        <v>12</v>
      </c>
      <c r="T828" s="15"/>
      <c r="U828" s="15"/>
      <c r="V828" s="1"/>
      <c r="W828" s="1"/>
      <c r="X828" s="1"/>
      <c r="Y828" s="1"/>
      <c r="Z828" s="1"/>
      <c r="AA828" s="1"/>
      <c r="AB828" s="246"/>
    </row>
    <row r="829" spans="2:28" ht="16.5" thickBot="1">
      <c r="B829" s="11"/>
      <c r="C829" s="369"/>
      <c r="D829" s="1"/>
      <c r="E829" s="483" t="s">
        <v>122</v>
      </c>
      <c r="F829" s="24"/>
      <c r="G829" s="484">
        <v>1</v>
      </c>
      <c r="H829" s="279"/>
      <c r="I829" s="12" t="s">
        <v>12</v>
      </c>
      <c r="J829" s="403"/>
      <c r="K829" s="15"/>
      <c r="L829" s="298"/>
      <c r="M829" s="326"/>
      <c r="N829" s="15"/>
      <c r="O829" s="465" t="s">
        <v>123</v>
      </c>
      <c r="P829" s="456" t="str">
        <f>$F$16</f>
        <v>$/kW</v>
      </c>
      <c r="Q829" s="531">
        <v>0</v>
      </c>
      <c r="R829" s="15"/>
      <c r="S829" s="12" t="s">
        <v>12</v>
      </c>
      <c r="T829" s="15"/>
      <c r="U829" s="15"/>
      <c r="V829" s="1"/>
      <c r="W829" s="1"/>
      <c r="X829" s="1"/>
      <c r="Y829" s="1"/>
      <c r="Z829" s="1"/>
      <c r="AA829" s="1"/>
      <c r="AB829" s="246"/>
    </row>
    <row r="830" spans="2:28" ht="15.75">
      <c r="B830" s="11"/>
      <c r="C830" s="1"/>
      <c r="D830" s="1"/>
      <c r="E830" s="451" t="s">
        <v>124</v>
      </c>
      <c r="F830" s="248">
        <f>MAX('[2]Cash Flow'!G819:AJ819)</f>
        <v>0</v>
      </c>
      <c r="G830" s="477"/>
      <c r="H830" s="280"/>
      <c r="I830" s="12" t="s">
        <v>12</v>
      </c>
      <c r="J830" s="403"/>
      <c r="K830" s="15"/>
      <c r="L830" s="298"/>
      <c r="M830" s="375"/>
      <c r="N830" s="15">
        <f>IF(OR(Q830&lt;Q828,Q830&gt;$G$12),1,0)</f>
        <v>0</v>
      </c>
      <c r="O830" s="474" t="s">
        <v>125</v>
      </c>
      <c r="P830" s="8" t="s">
        <v>86</v>
      </c>
      <c r="Q830" s="530">
        <v>12</v>
      </c>
      <c r="R830" s="15"/>
      <c r="S830" s="12" t="s">
        <v>12</v>
      </c>
      <c r="T830" s="15"/>
      <c r="U830" s="15"/>
      <c r="V830" s="1"/>
      <c r="W830" s="1"/>
      <c r="X830" s="1"/>
      <c r="Y830" s="1"/>
      <c r="Z830" s="1"/>
      <c r="AA830" s="1"/>
      <c r="AB830" s="246"/>
    </row>
    <row r="831" spans="2:28" ht="16.5" thickBot="1">
      <c r="B831" s="11"/>
      <c r="C831" s="369"/>
      <c r="D831" s="1"/>
      <c r="E831" s="451" t="s">
        <v>126</v>
      </c>
      <c r="F831" s="8" t="s">
        <v>127</v>
      </c>
      <c r="G831" s="478"/>
      <c r="H831" s="406"/>
      <c r="I831" s="12" t="s">
        <v>12</v>
      </c>
      <c r="J831" s="404"/>
      <c r="K831" s="15"/>
      <c r="L831" s="298"/>
      <c r="M831" s="326"/>
      <c r="N831" s="15"/>
      <c r="O831" s="465" t="s">
        <v>128</v>
      </c>
      <c r="P831" s="456" t="str">
        <f>$F$16</f>
        <v>$/kW</v>
      </c>
      <c r="Q831" s="531">
        <v>0</v>
      </c>
      <c r="R831" s="15"/>
      <c r="S831" s="12" t="s">
        <v>12</v>
      </c>
      <c r="T831" s="1"/>
      <c r="U831" s="1"/>
      <c r="V831" s="1"/>
      <c r="W831" s="1"/>
      <c r="X831" s="1"/>
      <c r="Y831" s="1"/>
      <c r="Z831" s="1"/>
      <c r="AA831" s="1"/>
      <c r="AB831" s="246"/>
    </row>
    <row r="832" spans="2:28" ht="15.75">
      <c r="B832" s="11"/>
      <c r="C832" s="369"/>
      <c r="D832" s="1"/>
      <c r="E832" s="451" t="s">
        <v>129</v>
      </c>
      <c r="F832" s="8"/>
      <c r="G832" s="680">
        <v>1.25</v>
      </c>
      <c r="H832" s="279"/>
      <c r="I832" s="12" t="s">
        <v>12</v>
      </c>
      <c r="J832" s="403"/>
      <c r="K832" s="15"/>
      <c r="L832" s="298"/>
      <c r="M832" s="375"/>
      <c r="N832" s="15">
        <f>IF(OR(Q832&lt;Q830,Q832&gt;$G$12),1,0)</f>
        <v>0</v>
      </c>
      <c r="O832" s="474" t="s">
        <v>130</v>
      </c>
      <c r="P832" s="8" t="s">
        <v>86</v>
      </c>
      <c r="Q832" s="530">
        <v>12</v>
      </c>
      <c r="R832" s="15"/>
      <c r="S832" s="12" t="s">
        <v>12</v>
      </c>
      <c r="T832" s="1"/>
      <c r="U832" s="1"/>
      <c r="V832" s="1"/>
      <c r="W832" s="1"/>
      <c r="X832" s="1"/>
      <c r="Y832" s="1"/>
      <c r="Z832" s="1"/>
      <c r="AA832" s="1"/>
      <c r="AB832" s="246"/>
    </row>
    <row r="833" spans="2:28" ht="16.5" thickBot="1">
      <c r="B833" s="11"/>
      <c r="C833" s="1"/>
      <c r="D833" s="1"/>
      <c r="E833" s="451" t="s">
        <v>131</v>
      </c>
      <c r="F833" s="248"/>
      <c r="G833" s="477"/>
      <c r="H833" s="280"/>
      <c r="I833" s="12" t="s">
        <v>12</v>
      </c>
      <c r="J833" s="403"/>
      <c r="K833" s="15"/>
      <c r="L833" s="298"/>
      <c r="M833" s="326"/>
      <c r="N833" s="15"/>
      <c r="O833" s="465" t="s">
        <v>132</v>
      </c>
      <c r="P833" s="456" t="str">
        <f>$F$16</f>
        <v>$/kW</v>
      </c>
      <c r="Q833" s="531">
        <v>0</v>
      </c>
      <c r="R833" s="15"/>
      <c r="S833" s="12" t="s">
        <v>12</v>
      </c>
      <c r="T833" s="1"/>
      <c r="U833" s="1"/>
      <c r="V833" s="1"/>
      <c r="W833" s="1"/>
      <c r="X833" s="1"/>
      <c r="Y833" s="1"/>
      <c r="Z833" s="1"/>
      <c r="AA833" s="1"/>
      <c r="AB833" s="246"/>
    </row>
    <row r="834" spans="2:28" ht="16.5" thickBot="1">
      <c r="B834" s="11"/>
      <c r="C834" s="369"/>
      <c r="D834" s="1"/>
      <c r="E834" s="455" t="s">
        <v>133</v>
      </c>
      <c r="F834" s="456" t="s">
        <v>127</v>
      </c>
      <c r="G834" s="479"/>
      <c r="H834" s="406"/>
      <c r="I834" s="12" t="s">
        <v>12</v>
      </c>
      <c r="J834" s="403"/>
      <c r="K834" s="15"/>
      <c r="L834" s="298"/>
      <c r="M834" s="1"/>
      <c r="N834" s="1"/>
      <c r="O834" s="1"/>
      <c r="P834" s="1"/>
      <c r="Q834" s="1"/>
      <c r="R834" s="1"/>
      <c r="S834" s="1"/>
      <c r="T834" s="1"/>
      <c r="U834" s="1"/>
      <c r="V834" s="1"/>
      <c r="W834" s="1"/>
      <c r="X834" s="1"/>
      <c r="Y834" s="1"/>
      <c r="Z834" s="1"/>
      <c r="AA834" s="1"/>
      <c r="AB834" s="246"/>
    </row>
    <row r="835" spans="2:28" ht="16.5" thickBot="1">
      <c r="B835" s="11"/>
      <c r="C835" s="1"/>
      <c r="D835" s="1"/>
      <c r="E835" s="449" t="s">
        <v>134</v>
      </c>
      <c r="F835" s="450" t="s">
        <v>19</v>
      </c>
      <c r="G835" s="488"/>
      <c r="H835" s="292"/>
      <c r="I835" s="12" t="s">
        <v>12</v>
      </c>
      <c r="J835" s="403"/>
      <c r="K835" s="15"/>
      <c r="L835" s="298"/>
      <c r="M835" s="15"/>
      <c r="N835" s="15"/>
      <c r="O835" s="5" t="s">
        <v>135</v>
      </c>
      <c r="P835" s="347" t="s">
        <v>6</v>
      </c>
      <c r="Q835" s="411" t="s">
        <v>7</v>
      </c>
      <c r="R835" s="15"/>
      <c r="S835" s="15"/>
      <c r="T835" s="15"/>
      <c r="U835" s="15"/>
      <c r="V835" s="1"/>
      <c r="W835" s="1"/>
      <c r="X835" s="1"/>
      <c r="Y835" s="1"/>
      <c r="Z835" s="1"/>
      <c r="AA835" s="1"/>
      <c r="AB835" s="246"/>
    </row>
    <row r="836" spans="2:28" ht="16.5" thickBot="1">
      <c r="B836" s="11"/>
      <c r="C836" s="369"/>
      <c r="D836" s="1">
        <f>IF(OR(G836&lt;0,G836=""),1,0)</f>
        <v>0</v>
      </c>
      <c r="E836" s="489" t="s">
        <v>136</v>
      </c>
      <c r="F836" s="466" t="s">
        <v>19</v>
      </c>
      <c r="G836" s="722">
        <v>0.10025000000000001</v>
      </c>
      <c r="H836" s="291"/>
      <c r="I836" s="12" t="s">
        <v>12</v>
      </c>
      <c r="J836" s="403"/>
      <c r="K836" s="15"/>
      <c r="L836" s="298"/>
      <c r="M836" s="15"/>
      <c r="N836" s="15"/>
      <c r="O836" s="532" t="s">
        <v>137</v>
      </c>
      <c r="P836" s="533"/>
      <c r="Q836" s="534"/>
      <c r="R836" s="15"/>
      <c r="S836" s="15"/>
      <c r="T836" s="15"/>
      <c r="U836" s="1"/>
      <c r="V836" s="1"/>
      <c r="W836" s="1"/>
      <c r="X836" s="1"/>
      <c r="Y836" s="1"/>
      <c r="Z836" s="1"/>
      <c r="AA836" s="1"/>
      <c r="AB836" s="246"/>
    </row>
    <row r="837" spans="2:28" ht="15.75">
      <c r="B837" s="11"/>
      <c r="C837" s="1"/>
      <c r="D837" s="1"/>
      <c r="E837" s="449" t="s">
        <v>138</v>
      </c>
      <c r="F837" s="450" t="s">
        <v>19</v>
      </c>
      <c r="G837" s="681"/>
      <c r="H837" s="1"/>
      <c r="I837" s="12" t="s">
        <v>12</v>
      </c>
      <c r="J837" s="246"/>
      <c r="K837" s="15"/>
      <c r="L837" s="298"/>
      <c r="M837" s="374"/>
      <c r="N837" s="15"/>
      <c r="O837" s="535" t="s">
        <v>139</v>
      </c>
      <c r="P837" s="23"/>
      <c r="Q837" s="511" t="s">
        <v>140</v>
      </c>
      <c r="R837" s="15"/>
      <c r="S837" s="12" t="s">
        <v>12</v>
      </c>
      <c r="T837" s="15"/>
      <c r="U837" s="15"/>
      <c r="V837" s="1"/>
      <c r="W837" s="1"/>
      <c r="X837" s="1"/>
      <c r="Y837" s="1"/>
      <c r="Z837" s="1"/>
      <c r="AA837" s="1"/>
      <c r="AB837" s="246"/>
    </row>
    <row r="838" spans="2:28" ht="16.5" thickBot="1">
      <c r="B838" s="11"/>
      <c r="C838" s="369"/>
      <c r="D838" s="1"/>
      <c r="E838" s="486" t="s">
        <v>141</v>
      </c>
      <c r="F838" s="466" t="s">
        <v>47</v>
      </c>
      <c r="G838" s="490">
        <v>0</v>
      </c>
      <c r="H838" s="288"/>
      <c r="I838" s="12" t="s">
        <v>12</v>
      </c>
      <c r="J838" s="246"/>
      <c r="K838" s="15"/>
      <c r="L838" s="298"/>
      <c r="M838" s="375"/>
      <c r="N838" s="15"/>
      <c r="O838" s="465" t="s">
        <v>142</v>
      </c>
      <c r="P838" s="456" t="s">
        <v>47</v>
      </c>
      <c r="Q838" s="588">
        <v>0</v>
      </c>
      <c r="R838" s="15"/>
      <c r="S838" s="12" t="s">
        <v>12</v>
      </c>
      <c r="T838" s="15"/>
      <c r="U838" s="385"/>
      <c r="V838" s="1"/>
      <c r="W838" s="1"/>
      <c r="X838" s="1"/>
      <c r="Y838" s="1"/>
      <c r="Z838" s="1"/>
      <c r="AA838" s="1"/>
      <c r="AB838" s="246"/>
    </row>
    <row r="839" spans="2:28" ht="16.5" thickBot="1">
      <c r="B839" s="11"/>
      <c r="C839" s="1"/>
      <c r="D839" s="1"/>
      <c r="E839" s="1"/>
      <c r="F839" s="1"/>
      <c r="G839" s="1"/>
      <c r="H839" s="1"/>
      <c r="I839" s="1"/>
      <c r="J839" s="246"/>
      <c r="K839" s="15"/>
      <c r="L839" s="298"/>
      <c r="M839" s="1"/>
      <c r="N839" s="1"/>
      <c r="O839" s="1"/>
      <c r="P839" s="1"/>
      <c r="Q839" s="1"/>
      <c r="R839" s="1"/>
      <c r="S839" s="1"/>
      <c r="T839" s="1"/>
      <c r="U839" s="385"/>
      <c r="V839" s="1"/>
      <c r="W839" s="1"/>
      <c r="X839" s="1"/>
      <c r="Y839" s="1"/>
      <c r="Z839" s="1"/>
      <c r="AA839" s="1"/>
      <c r="AB839" s="246"/>
    </row>
    <row r="840" spans="2:28" ht="16.5" thickBot="1">
      <c r="B840" s="298"/>
      <c r="C840" s="1"/>
      <c r="D840" s="1"/>
      <c r="E840" s="314" t="s">
        <v>143</v>
      </c>
      <c r="F840" s="22"/>
      <c r="G840" s="315"/>
      <c r="H840" s="1"/>
      <c r="I840" s="1"/>
      <c r="J840" s="246"/>
      <c r="K840" s="1"/>
      <c r="L840" s="298"/>
      <c r="M840" s="15"/>
      <c r="N840" s="15"/>
      <c r="O840" s="5" t="s">
        <v>144</v>
      </c>
      <c r="P840" s="347" t="s">
        <v>6</v>
      </c>
      <c r="Q840" s="411" t="s">
        <v>7</v>
      </c>
      <c r="R840" s="15"/>
      <c r="S840" s="15"/>
      <c r="T840" s="15"/>
      <c r="U840" s="378"/>
      <c r="V840" s="1"/>
      <c r="W840" s="1"/>
      <c r="X840" s="1"/>
      <c r="Y840" s="1"/>
      <c r="Z840" s="1"/>
      <c r="AA840" s="1"/>
      <c r="AB840" s="246"/>
    </row>
    <row r="841" spans="2:28" ht="15.75">
      <c r="B841" s="298"/>
      <c r="C841" s="1"/>
      <c r="D841" s="1"/>
      <c r="E841" s="449" t="s">
        <v>145</v>
      </c>
      <c r="F841" s="574"/>
      <c r="G841" s="491"/>
      <c r="H841" s="1"/>
      <c r="I841" s="12" t="s">
        <v>12</v>
      </c>
      <c r="J841" s="246"/>
      <c r="K841" s="15"/>
      <c r="L841" s="298"/>
      <c r="M841" s="15"/>
      <c r="N841" s="15"/>
      <c r="O841" s="536" t="s">
        <v>146</v>
      </c>
      <c r="P841" s="527"/>
      <c r="Q841" s="528"/>
      <c r="R841" s="15"/>
      <c r="S841" s="15"/>
      <c r="T841" s="15"/>
      <c r="U841" s="15"/>
      <c r="V841" s="1"/>
      <c r="W841" s="1"/>
      <c r="X841" s="1"/>
      <c r="Y841" s="1"/>
      <c r="Z841" s="1"/>
      <c r="AA841" s="1"/>
      <c r="AB841" s="246"/>
    </row>
    <row r="842" spans="2:28" ht="15.75">
      <c r="B842" s="298"/>
      <c r="C842" s="1"/>
      <c r="D842" s="1"/>
      <c r="E842" s="451" t="s">
        <v>147</v>
      </c>
      <c r="F842" s="573"/>
      <c r="G842" s="467"/>
      <c r="H842" s="1"/>
      <c r="I842" s="12" t="s">
        <v>12</v>
      </c>
      <c r="J842" s="246"/>
      <c r="K842" s="1"/>
      <c r="L842" s="298"/>
      <c r="M842" s="375"/>
      <c r="N842" s="15"/>
      <c r="O842" s="451" t="s">
        <v>148</v>
      </c>
      <c r="P842" s="7" t="s">
        <v>107</v>
      </c>
      <c r="Q842" s="584">
        <v>0</v>
      </c>
      <c r="R842" s="15"/>
      <c r="S842" s="12" t="s">
        <v>12</v>
      </c>
      <c r="T842" s="15"/>
      <c r="U842" s="15"/>
      <c r="V842" s="1"/>
      <c r="W842" s="1"/>
      <c r="X842" s="1"/>
      <c r="Y842" s="1"/>
      <c r="Z842" s="1"/>
      <c r="AA842" s="1"/>
      <c r="AB842" s="246"/>
    </row>
    <row r="843" spans="2:28" ht="16.5" thickBot="1">
      <c r="B843" s="11"/>
      <c r="C843" s="1"/>
      <c r="D843" s="1"/>
      <c r="E843" s="492" t="s">
        <v>149</v>
      </c>
      <c r="F843" s="575"/>
      <c r="G843" s="493"/>
      <c r="H843" s="1"/>
      <c r="I843" s="12" t="s">
        <v>12</v>
      </c>
      <c r="J843" s="246"/>
      <c r="K843" s="1"/>
      <c r="L843" s="298"/>
      <c r="M843" s="15"/>
      <c r="N843" s="15"/>
      <c r="O843" s="455" t="s">
        <v>150</v>
      </c>
      <c r="P843" s="466" t="s">
        <v>47</v>
      </c>
      <c r="Q843" s="537"/>
      <c r="R843" s="15"/>
      <c r="S843" s="12" t="s">
        <v>12</v>
      </c>
      <c r="T843" s="15"/>
      <c r="U843" s="15"/>
      <c r="V843" s="1"/>
      <c r="W843" s="1"/>
      <c r="X843" s="1"/>
      <c r="Y843" s="1"/>
      <c r="Z843" s="1"/>
      <c r="AA843" s="1"/>
      <c r="AB843" s="246"/>
    </row>
    <row r="844" spans="2:28" ht="17.25" thickTop="1" thickBot="1">
      <c r="B844" s="298"/>
      <c r="C844" s="1"/>
      <c r="D844" s="1"/>
      <c r="E844" s="494" t="s">
        <v>44</v>
      </c>
      <c r="F844" s="462" t="s">
        <v>47</v>
      </c>
      <c r="G844" s="495"/>
      <c r="H844" s="1"/>
      <c r="I844" s="12" t="s">
        <v>12</v>
      </c>
      <c r="J844" s="246"/>
      <c r="K844" s="1"/>
      <c r="L844" s="298"/>
      <c r="M844" s="15"/>
      <c r="N844" s="15"/>
      <c r="O844" s="536" t="s">
        <v>151</v>
      </c>
      <c r="P844" s="527"/>
      <c r="Q844" s="538"/>
      <c r="R844" s="15"/>
      <c r="S844" s="15"/>
      <c r="T844" s="15"/>
      <c r="U844" s="15"/>
      <c r="V844" s="1"/>
      <c r="W844" s="1"/>
      <c r="X844" s="1"/>
      <c r="Y844" s="1"/>
      <c r="Z844" s="1"/>
      <c r="AA844" s="1"/>
      <c r="AB844" s="246"/>
    </row>
    <row r="845" spans="2:28" ht="16.5" thickBot="1">
      <c r="B845" s="11"/>
      <c r="C845" s="1"/>
      <c r="D845" s="1"/>
      <c r="E845" s="1"/>
      <c r="F845" s="1"/>
      <c r="G845" s="1"/>
      <c r="H845" s="1"/>
      <c r="I845" s="1"/>
      <c r="J845" s="246"/>
      <c r="K845" s="1"/>
      <c r="L845" s="298"/>
      <c r="M845" s="375"/>
      <c r="N845" s="15"/>
      <c r="O845" s="474" t="s">
        <v>152</v>
      </c>
      <c r="P845" s="7" t="s">
        <v>107</v>
      </c>
      <c r="Q845" s="584">
        <v>0</v>
      </c>
      <c r="R845" s="15"/>
      <c r="S845" s="12" t="s">
        <v>12</v>
      </c>
      <c r="T845" s="15"/>
      <c r="U845" s="1"/>
      <c r="V845" s="1"/>
      <c r="W845" s="1"/>
      <c r="X845" s="1"/>
      <c r="Y845" s="1"/>
      <c r="Z845" s="1"/>
      <c r="AA845" s="1"/>
      <c r="AB845" s="246"/>
    </row>
    <row r="846" spans="2:28" ht="16.5" thickBot="1">
      <c r="B846" s="11"/>
      <c r="C846" s="1"/>
      <c r="D846" s="1"/>
      <c r="E846" s="5" t="s">
        <v>153</v>
      </c>
      <c r="F846" s="347" t="s">
        <v>6</v>
      </c>
      <c r="G846" s="411" t="s">
        <v>7</v>
      </c>
      <c r="H846" s="293"/>
      <c r="I846" s="17"/>
      <c r="J846" s="246"/>
      <c r="K846" s="1"/>
      <c r="L846" s="298"/>
      <c r="M846" s="15"/>
      <c r="N846" s="15"/>
      <c r="O846" s="465" t="s">
        <v>154</v>
      </c>
      <c r="P846" s="466" t="s">
        <v>47</v>
      </c>
      <c r="Q846" s="537"/>
      <c r="R846" s="15"/>
      <c r="S846" s="12" t="s">
        <v>12</v>
      </c>
      <c r="T846" s="15"/>
      <c r="U846" s="15"/>
      <c r="V846" s="1"/>
      <c r="W846" s="1"/>
      <c r="X846" s="1"/>
      <c r="Y846" s="1"/>
      <c r="Z846" s="1"/>
      <c r="AA846" s="1"/>
      <c r="AB846" s="246"/>
    </row>
    <row r="847" spans="2:28" ht="16.5" thickBot="1">
      <c r="B847" s="11"/>
      <c r="C847" s="373"/>
      <c r="D847" s="1"/>
      <c r="E847" s="438" t="s">
        <v>155</v>
      </c>
      <c r="F847" s="525"/>
      <c r="G847" s="547" t="s">
        <v>83</v>
      </c>
      <c r="H847" s="282"/>
      <c r="I847" s="12" t="s">
        <v>12</v>
      </c>
      <c r="J847" s="246"/>
      <c r="K847" s="1"/>
      <c r="L847" s="298"/>
      <c r="M847" s="375"/>
      <c r="N847" s="15"/>
      <c r="O847" s="540" t="s">
        <v>156</v>
      </c>
      <c r="P847" s="439" t="s">
        <v>19</v>
      </c>
      <c r="Q847" s="539">
        <v>0.02</v>
      </c>
      <c r="R847" s="15"/>
      <c r="S847" s="12" t="s">
        <v>12</v>
      </c>
      <c r="T847" s="15"/>
      <c r="U847" s="1"/>
      <c r="V847" s="1"/>
      <c r="W847" s="1"/>
      <c r="X847" s="1"/>
      <c r="Y847" s="1"/>
      <c r="Z847" s="1"/>
      <c r="AA847" s="1"/>
      <c r="AB847" s="246"/>
    </row>
    <row r="848" spans="2:28" ht="16.5" thickBot="1">
      <c r="B848" s="11"/>
      <c r="C848" s="369"/>
      <c r="D848" s="1">
        <f>IF(OR(G848&lt;0,G848=""),1,0)</f>
        <v>0</v>
      </c>
      <c r="E848" s="458" t="s">
        <v>157</v>
      </c>
      <c r="F848" s="450" t="s">
        <v>19</v>
      </c>
      <c r="G848" s="548">
        <v>0.21</v>
      </c>
      <c r="H848" s="270"/>
      <c r="I848" s="12" t="s">
        <v>12</v>
      </c>
      <c r="J848" s="403"/>
      <c r="K848" s="1"/>
      <c r="L848" s="11"/>
      <c r="M848" s="1"/>
      <c r="N848" s="1"/>
      <c r="O848" s="1"/>
      <c r="P848" s="1"/>
      <c r="Q848" s="1"/>
      <c r="R848" s="1"/>
      <c r="S848" s="1"/>
      <c r="T848" s="1"/>
      <c r="U848" s="1"/>
      <c r="V848" s="1"/>
      <c r="W848" s="1"/>
      <c r="X848" s="1"/>
      <c r="Y848" s="1"/>
      <c r="Z848" s="1"/>
      <c r="AA848" s="1"/>
      <c r="AB848" s="246"/>
    </row>
    <row r="849" spans="2:28" ht="16.5" thickBot="1">
      <c r="B849" s="11"/>
      <c r="C849" s="373"/>
      <c r="D849" s="1"/>
      <c r="E849" s="513" t="s">
        <v>75</v>
      </c>
      <c r="F849" s="549"/>
      <c r="G849" s="517" t="s">
        <v>76</v>
      </c>
      <c r="H849" s="282"/>
      <c r="I849" s="12" t="s">
        <v>12</v>
      </c>
      <c r="J849" s="246"/>
      <c r="K849" s="1"/>
      <c r="L849" s="11"/>
      <c r="M849" s="15"/>
      <c r="N849" s="15"/>
      <c r="O849" s="348" t="s">
        <v>158</v>
      </c>
      <c r="P849" s="432" t="s">
        <v>159</v>
      </c>
      <c r="Q849" s="432"/>
      <c r="R849" s="432"/>
      <c r="S849" s="432"/>
      <c r="T849" s="432"/>
      <c r="U849" s="432"/>
      <c r="V849" s="432"/>
      <c r="W849" s="432"/>
      <c r="X849" s="432"/>
      <c r="Y849" s="432"/>
      <c r="Z849" s="315"/>
      <c r="AA849" s="1"/>
      <c r="AB849" s="246"/>
    </row>
    <row r="850" spans="2:28" ht="15.75">
      <c r="B850" s="11"/>
      <c r="C850" s="369"/>
      <c r="D850" s="1">
        <f>IF(OR(G850&lt;0,G850=""),1,0)</f>
        <v>0</v>
      </c>
      <c r="E850" s="458" t="s">
        <v>160</v>
      </c>
      <c r="F850" s="450" t="s">
        <v>19</v>
      </c>
      <c r="G850" s="682">
        <v>0.09</v>
      </c>
      <c r="H850" s="270"/>
      <c r="I850" s="12" t="s">
        <v>12</v>
      </c>
      <c r="J850" s="403"/>
      <c r="K850" s="1"/>
      <c r="L850" s="11"/>
      <c r="M850" s="373"/>
      <c r="N850" s="15"/>
      <c r="O850" s="515" t="s">
        <v>161</v>
      </c>
      <c r="P850" s="496" t="str">
        <f>[2]Input_Dashboard!$D$141</f>
        <v>No</v>
      </c>
      <c r="Q850" s="1"/>
      <c r="R850" s="1"/>
      <c r="S850" s="419" t="s">
        <v>12</v>
      </c>
      <c r="T850" s="1"/>
      <c r="U850" s="1"/>
      <c r="V850" s="1"/>
      <c r="W850" s="1"/>
      <c r="X850" s="1"/>
      <c r="Y850" s="1"/>
      <c r="Z850" s="246"/>
      <c r="AA850" s="1"/>
      <c r="AB850" s="246"/>
    </row>
    <row r="851" spans="2:28" ht="16.5" thickBot="1">
      <c r="B851" s="11"/>
      <c r="C851" s="373"/>
      <c r="D851" s="1"/>
      <c r="E851" s="513" t="s">
        <v>162</v>
      </c>
      <c r="F851" s="549"/>
      <c r="G851" s="517" t="s">
        <v>76</v>
      </c>
      <c r="H851" s="282"/>
      <c r="I851" s="12" t="s">
        <v>12</v>
      </c>
      <c r="J851" s="403"/>
      <c r="K851" s="1"/>
      <c r="L851" s="11"/>
      <c r="M851" s="375"/>
      <c r="N851" s="1"/>
      <c r="O851" s="455" t="s">
        <v>163</v>
      </c>
      <c r="P851" s="683">
        <f>[2]Input_Dashboard!D916</f>
        <v>0</v>
      </c>
      <c r="Q851" s="1"/>
      <c r="R851" s="1"/>
      <c r="S851" s="12" t="s">
        <v>12</v>
      </c>
      <c r="T851" s="1"/>
      <c r="U851" s="1"/>
      <c r="V851" s="1"/>
      <c r="W851" s="1"/>
      <c r="X851" s="1"/>
      <c r="Y851" s="1"/>
      <c r="Z851" s="246"/>
      <c r="AA851" s="1"/>
      <c r="AB851" s="246"/>
    </row>
    <row r="852" spans="2:28" ht="16.5" thickBot="1">
      <c r="B852" s="11"/>
      <c r="C852" s="1"/>
      <c r="D852" s="1"/>
      <c r="E852" s="550" t="s">
        <v>164</v>
      </c>
      <c r="F852" s="551" t="s">
        <v>19</v>
      </c>
      <c r="G852" s="552"/>
      <c r="H852" s="295"/>
      <c r="I852" s="12" t="s">
        <v>12</v>
      </c>
      <c r="J852" s="403"/>
      <c r="K852" s="1"/>
      <c r="L852" s="11"/>
      <c r="M852" s="1"/>
      <c r="N852" s="1"/>
      <c r="O852" s="296"/>
      <c r="P852" s="40"/>
      <c r="Q852" s="40"/>
      <c r="R852" s="40"/>
      <c r="S852" s="40"/>
      <c r="T852" s="40"/>
      <c r="U852" s="40"/>
      <c r="V852" s="40"/>
      <c r="W852" s="40"/>
      <c r="X852" s="40"/>
      <c r="Y852" s="40"/>
      <c r="Z852" s="305"/>
      <c r="AA852" s="1"/>
      <c r="AB852" s="246"/>
    </row>
    <row r="853" spans="2:28" ht="16.5" thickBot="1">
      <c r="B853" s="11"/>
      <c r="C853" s="1"/>
      <c r="D853" s="1"/>
      <c r="E853" s="455" t="s">
        <v>158</v>
      </c>
      <c r="F853" s="498"/>
      <c r="G853" s="499" t="s">
        <v>165</v>
      </c>
      <c r="H853" s="55"/>
      <c r="I853" s="12" t="s">
        <v>12</v>
      </c>
      <c r="J853" s="246"/>
      <c r="K853" s="1"/>
      <c r="L853" s="11"/>
      <c r="M853" s="15"/>
      <c r="N853" s="15"/>
      <c r="O853" s="542" t="s">
        <v>166</v>
      </c>
      <c r="P853" s="543" t="s">
        <v>167</v>
      </c>
      <c r="Q853" s="648" t="s">
        <v>168</v>
      </c>
      <c r="R853" s="775" t="s">
        <v>169</v>
      </c>
      <c r="S853" s="776"/>
      <c r="T853" s="777"/>
      <c r="U853" s="543" t="s">
        <v>170</v>
      </c>
      <c r="V853" s="543" t="s">
        <v>171</v>
      </c>
      <c r="W853" s="543" t="s">
        <v>172</v>
      </c>
      <c r="X853" s="543" t="s">
        <v>173</v>
      </c>
      <c r="Y853" s="543" t="s">
        <v>174</v>
      </c>
      <c r="Z853" s="544" t="s">
        <v>175</v>
      </c>
      <c r="AA853" s="1"/>
      <c r="AB853" s="246"/>
    </row>
    <row r="854" spans="2:28" ht="16.5" thickBot="1">
      <c r="B854" s="11"/>
      <c r="C854" s="1"/>
      <c r="D854" s="1"/>
      <c r="E854" s="1"/>
      <c r="F854" s="1"/>
      <c r="G854" s="1"/>
      <c r="H854" s="1"/>
      <c r="I854" s="1"/>
      <c r="J854" s="246"/>
      <c r="K854" s="1"/>
      <c r="L854" s="11">
        <f>IF(AND($G$73="Yes",$G$15="Simple"),1,0)</f>
        <v>0</v>
      </c>
      <c r="M854" s="15"/>
      <c r="N854" s="230">
        <f>IF(AND($G$15="Simple",SUM(P854:Z854)=1),1,IF(AND($G$15="Simple",SUM(P854:Z854)&lt;&gt;1),2,0))</f>
        <v>0</v>
      </c>
      <c r="O854" s="545" t="str">
        <f t="shared" ref="O854:O859" si="9">E790</f>
        <v>Total Installed Cost</v>
      </c>
      <c r="P854" s="590">
        <v>0.94</v>
      </c>
      <c r="Q854" s="649">
        <v>0</v>
      </c>
      <c r="R854" s="778">
        <v>1.4999999999999999E-2</v>
      </c>
      <c r="S854" s="779"/>
      <c r="T854" s="780"/>
      <c r="U854" s="590">
        <v>0.01</v>
      </c>
      <c r="V854" s="590">
        <v>0</v>
      </c>
      <c r="W854" s="590">
        <v>0</v>
      </c>
      <c r="X854" s="590">
        <v>0.01</v>
      </c>
      <c r="Y854" s="590">
        <v>0</v>
      </c>
      <c r="Z854" s="593">
        <v>2.5000000000000001E-2</v>
      </c>
      <c r="AA854" s="1"/>
      <c r="AB854" s="294" t="s">
        <v>12</v>
      </c>
    </row>
    <row r="855" spans="2:28" ht="16.5" thickBot="1">
      <c r="B855" s="296"/>
      <c r="C855" s="40"/>
      <c r="D855" s="40"/>
      <c r="E855" s="40"/>
      <c r="F855" s="40"/>
      <c r="G855" s="40"/>
      <c r="H855" s="40"/>
      <c r="I855" s="40"/>
      <c r="J855" s="305"/>
      <c r="K855" s="1"/>
      <c r="L855" s="11">
        <f>IF(AND($G$73="Yes",$G$15="Intermediate"),1,0)</f>
        <v>1</v>
      </c>
      <c r="M855" s="15"/>
      <c r="N855" s="230">
        <f>IF(AND($G$15="Intermediate",SUM(P855:Z855)=1),1,IF(AND($G$15="Intermediate",SUM(P855:Z855)&lt;&gt;1),2,0))</f>
        <v>1</v>
      </c>
      <c r="O855" s="595" t="str">
        <f t="shared" si="9"/>
        <v>Generation Equipment</v>
      </c>
      <c r="P855" s="723">
        <v>0.96</v>
      </c>
      <c r="Q855" s="724">
        <v>0</v>
      </c>
      <c r="R855" s="781">
        <v>0.02</v>
      </c>
      <c r="S855" s="782"/>
      <c r="T855" s="783"/>
      <c r="U855" s="725">
        <v>0</v>
      </c>
      <c r="V855" s="725">
        <v>0</v>
      </c>
      <c r="W855" s="725">
        <v>0</v>
      </c>
      <c r="X855" s="725">
        <v>0.02</v>
      </c>
      <c r="Y855" s="725">
        <v>0</v>
      </c>
      <c r="Z855" s="726">
        <v>0</v>
      </c>
      <c r="AA855" s="1"/>
      <c r="AB855" s="294" t="s">
        <v>12</v>
      </c>
    </row>
    <row r="856" spans="2:28" ht="15.75">
      <c r="B856" s="1"/>
      <c r="C856" s="1"/>
      <c r="D856" s="1"/>
      <c r="E856" s="1"/>
      <c r="F856" s="1"/>
      <c r="G856" s="1"/>
      <c r="H856" s="1"/>
      <c r="I856" s="1"/>
      <c r="J856" s="1"/>
      <c r="K856" s="1"/>
      <c r="L856" s="11">
        <f>IF(AND($G$73="Yes",$G$15="Intermediate"),1,0)</f>
        <v>1</v>
      </c>
      <c r="M856" s="15"/>
      <c r="N856" s="230">
        <f>IF(AND($G$15="Intermediate",SUM(P856:Z856)=1),1,IF(AND($G$15="Intermediate",SUM(P856:Z856)&lt;&gt;1),2,0))</f>
        <v>1</v>
      </c>
      <c r="O856" s="596" t="str">
        <f t="shared" si="9"/>
        <v>Balance of Plant</v>
      </c>
      <c r="P856" s="723">
        <v>0.5</v>
      </c>
      <c r="Q856" s="724">
        <v>0</v>
      </c>
      <c r="R856" s="784">
        <v>0</v>
      </c>
      <c r="S856" s="785"/>
      <c r="T856" s="786"/>
      <c r="U856" s="724">
        <v>0</v>
      </c>
      <c r="V856" s="724">
        <v>0</v>
      </c>
      <c r="W856" s="724">
        <v>0.5</v>
      </c>
      <c r="X856" s="724">
        <v>0</v>
      </c>
      <c r="Y856" s="724">
        <v>0</v>
      </c>
      <c r="Z856" s="727">
        <v>0</v>
      </c>
      <c r="AA856" s="1"/>
      <c r="AB856" s="294" t="s">
        <v>12</v>
      </c>
    </row>
    <row r="857" spans="2:28" ht="15.75">
      <c r="B857" s="1"/>
      <c r="C857" s="1"/>
      <c r="D857" s="1"/>
      <c r="E857" s="1"/>
      <c r="F857" s="1"/>
      <c r="G857" s="1"/>
      <c r="H857" s="1"/>
      <c r="I857" s="1"/>
      <c r="J857" s="1"/>
      <c r="K857" s="1"/>
      <c r="L857" s="11">
        <f>IF(AND($G$73="Yes",$G$15="Intermediate"),1,0)</f>
        <v>1</v>
      </c>
      <c r="M857" s="15"/>
      <c r="N857" s="230">
        <f>IF(AND($G$15="Intermediate",SUM(P857:Z857)=1),1,IF(AND($G$15="Intermediate",SUM(P857:Z857)&lt;&gt;1),2,0))</f>
        <v>1</v>
      </c>
      <c r="O857" s="596" t="str">
        <f t="shared" si="9"/>
        <v>Interconnection</v>
      </c>
      <c r="P857" s="723">
        <v>0</v>
      </c>
      <c r="Q857" s="724">
        <v>0</v>
      </c>
      <c r="R857" s="784">
        <v>0</v>
      </c>
      <c r="S857" s="785"/>
      <c r="T857" s="786"/>
      <c r="U857" s="724">
        <v>0</v>
      </c>
      <c r="V857" s="724">
        <v>0</v>
      </c>
      <c r="W857" s="724">
        <v>1</v>
      </c>
      <c r="X857" s="724">
        <v>0</v>
      </c>
      <c r="Y857" s="724">
        <v>0</v>
      </c>
      <c r="Z857" s="727">
        <v>0</v>
      </c>
      <c r="AA857" s="1"/>
      <c r="AB857" s="294" t="s">
        <v>12</v>
      </c>
    </row>
    <row r="858" spans="2:28" ht="15.75">
      <c r="B858" s="1"/>
      <c r="C858" s="1"/>
      <c r="D858" s="1"/>
      <c r="E858" s="1"/>
      <c r="F858" s="1"/>
      <c r="G858" s="1"/>
      <c r="H858" s="1"/>
      <c r="I858" s="1"/>
      <c r="J858" s="1"/>
      <c r="K858" s="1"/>
      <c r="L858" s="11">
        <f>IF(AND($G$73="Yes",$G$15="Intermediate"),1,0)</f>
        <v>1</v>
      </c>
      <c r="M858" s="15"/>
      <c r="N858" s="230">
        <f>IF(AND($G$15="Intermediate",SUM(P858:Z858)=1),1,IF(AND($G$15="Intermediate",SUM(P858:Z858)&lt;&gt;1),2,0))</f>
        <v>1</v>
      </c>
      <c r="O858" s="596" t="str">
        <f t="shared" si="9"/>
        <v>Development Costs &amp; Fee</v>
      </c>
      <c r="P858" s="723">
        <v>0.8</v>
      </c>
      <c r="Q858" s="724">
        <v>0</v>
      </c>
      <c r="R858" s="784">
        <v>0</v>
      </c>
      <c r="S858" s="785"/>
      <c r="T858" s="786"/>
      <c r="U858" s="724">
        <v>0</v>
      </c>
      <c r="V858" s="724">
        <v>0</v>
      </c>
      <c r="W858" s="724">
        <v>0.05</v>
      </c>
      <c r="X858" s="724">
        <v>0.05</v>
      </c>
      <c r="Y858" s="724">
        <v>0</v>
      </c>
      <c r="Z858" s="727">
        <v>0.1</v>
      </c>
      <c r="AA858" s="1"/>
      <c r="AB858" s="294" t="s">
        <v>12</v>
      </c>
    </row>
    <row r="859" spans="2:28" ht="16.5" thickBot="1">
      <c r="B859" s="1"/>
      <c r="C859" s="1"/>
      <c r="D859" s="1"/>
      <c r="E859" s="1"/>
      <c r="F859" s="1"/>
      <c r="G859" s="1"/>
      <c r="H859" s="1"/>
      <c r="I859" s="1"/>
      <c r="J859" s="1"/>
      <c r="K859" s="1"/>
      <c r="L859" s="11">
        <f>IF(AND($G$73="Yes",$G$15="Intermediate"),1,0)</f>
        <v>1</v>
      </c>
      <c r="M859" s="15"/>
      <c r="N859" s="230">
        <f>IF(AND($G$15="Intermediate",SUM(P859:Z859)=1),1,IF(AND($G$15="Intermediate",SUM(P859:Z859)&lt;&gt;1),2,0))</f>
        <v>1</v>
      </c>
      <c r="O859" s="597" t="str">
        <f t="shared" si="9"/>
        <v>Reserves &amp; Financing Costs</v>
      </c>
      <c r="P859" s="728">
        <v>0</v>
      </c>
      <c r="Q859" s="729">
        <v>0</v>
      </c>
      <c r="R859" s="766">
        <v>0</v>
      </c>
      <c r="S859" s="767"/>
      <c r="T859" s="768"/>
      <c r="U859" s="729">
        <v>0</v>
      </c>
      <c r="V859" s="729">
        <v>0</v>
      </c>
      <c r="W859" s="729">
        <v>0</v>
      </c>
      <c r="X859" s="729">
        <v>0.5</v>
      </c>
      <c r="Y859" s="729">
        <v>0</v>
      </c>
      <c r="Z859" s="730">
        <v>0.5</v>
      </c>
      <c r="AA859" s="1"/>
      <c r="AB859" s="294" t="s">
        <v>12</v>
      </c>
    </row>
    <row r="860" spans="2:28" ht="16.5" thickBot="1">
      <c r="B860" s="1"/>
      <c r="C860" s="1"/>
      <c r="D860" s="1"/>
      <c r="E860" s="1"/>
      <c r="F860" s="1"/>
      <c r="G860" s="1"/>
      <c r="H860" s="1"/>
      <c r="I860" s="1"/>
      <c r="J860" s="1"/>
      <c r="K860" s="1"/>
      <c r="L860" s="296">
        <f>IF(AND($G$73="Yes",$G$15="Complex"),1,0)</f>
        <v>0</v>
      </c>
      <c r="M860" s="647"/>
      <c r="N860" s="647"/>
      <c r="O860" s="546" t="s">
        <v>176</v>
      </c>
      <c r="P860" s="591"/>
      <c r="Q860" s="592"/>
      <c r="R860" s="769"/>
      <c r="S860" s="770"/>
      <c r="T860" s="771"/>
      <c r="U860" s="591"/>
      <c r="V860" s="591"/>
      <c r="W860" s="591"/>
      <c r="X860" s="591"/>
      <c r="Y860" s="591"/>
      <c r="Z860" s="594"/>
      <c r="AA860" s="40"/>
      <c r="AB860" s="421" t="s">
        <v>12</v>
      </c>
    </row>
    <row r="862" spans="2:28" ht="36.75" thickBot="1">
      <c r="E862" s="731" t="s">
        <v>187</v>
      </c>
    </row>
    <row r="863" spans="2:28" ht="18.75" thickBot="1">
      <c r="B863" s="413"/>
      <c r="C863" s="772" t="s">
        <v>1</v>
      </c>
      <c r="D863" s="772"/>
      <c r="E863" s="772"/>
      <c r="F863" s="772"/>
      <c r="G863" s="772"/>
      <c r="H863" s="772"/>
      <c r="I863" s="772"/>
      <c r="J863" s="772"/>
      <c r="K863" s="772"/>
      <c r="L863" s="773"/>
      <c r="M863" s="773"/>
      <c r="N863" s="773"/>
      <c r="O863" s="773"/>
      <c r="P863" s="773"/>
      <c r="Q863" s="773"/>
      <c r="R863" s="773"/>
      <c r="S863" s="773"/>
      <c r="T863" s="773"/>
      <c r="U863" s="328"/>
      <c r="V863" s="329"/>
      <c r="W863" s="329"/>
      <c r="X863" s="329"/>
      <c r="Y863" s="329"/>
      <c r="Z863" s="329"/>
      <c r="AA863" s="329"/>
      <c r="AB863" s="330"/>
    </row>
    <row r="864" spans="2:28" ht="18">
      <c r="B864" s="11"/>
      <c r="C864" s="266"/>
      <c r="D864" s="266"/>
      <c r="E864" s="266"/>
      <c r="F864" s="266"/>
      <c r="G864" s="266"/>
      <c r="H864" s="266"/>
      <c r="I864" s="266"/>
      <c r="J864" s="266"/>
      <c r="K864" s="341"/>
      <c r="L864" s="265"/>
      <c r="M864" s="266"/>
      <c r="N864" s="266"/>
      <c r="O864" s="266"/>
      <c r="P864" s="266"/>
      <c r="Q864" s="266"/>
      <c r="R864" s="266"/>
      <c r="S864" s="266"/>
      <c r="T864" s="266"/>
      <c r="U864" s="266"/>
      <c r="V864" s="267"/>
      <c r="W864" s="267"/>
      <c r="X864" s="267"/>
      <c r="Y864" s="267"/>
      <c r="Z864" s="267"/>
      <c r="AA864" s="267"/>
      <c r="AB864" s="297"/>
    </row>
    <row r="865" spans="2:28" ht="18.75" thickBot="1">
      <c r="B865" s="11"/>
      <c r="C865" s="401" t="s">
        <v>2</v>
      </c>
      <c r="D865" s="14"/>
      <c r="E865" s="1"/>
      <c r="F865" s="15"/>
      <c r="G865" s="1"/>
      <c r="H865" s="392"/>
      <c r="I865" s="414" t="s">
        <v>3</v>
      </c>
      <c r="J865" s="1"/>
      <c r="K865" s="342"/>
      <c r="L865" s="298"/>
      <c r="M865" s="401" t="s">
        <v>2</v>
      </c>
      <c r="N865" s="15"/>
      <c r="O865" s="774" t="s">
        <v>4</v>
      </c>
      <c r="P865" s="774"/>
      <c r="Q865" s="420"/>
      <c r="R865" s="15"/>
      <c r="S865" s="401" t="s">
        <v>3</v>
      </c>
      <c r="T865" s="393"/>
      <c r="U865" s="14"/>
      <c r="V865" s="1"/>
      <c r="W865" s="1"/>
      <c r="X865" s="1"/>
      <c r="Y865" s="1"/>
      <c r="Z865" s="1"/>
      <c r="AA865" s="1"/>
      <c r="AB865" s="246"/>
    </row>
    <row r="866" spans="2:28" ht="18.75" thickBot="1">
      <c r="B866" s="415"/>
      <c r="C866" s="267"/>
      <c r="D866" s="267"/>
      <c r="E866" s="20"/>
      <c r="F866" s="16"/>
      <c r="G866" s="19"/>
      <c r="H866" s="416"/>
      <c r="I866" s="417"/>
      <c r="J866" s="418"/>
      <c r="K866" s="15"/>
      <c r="L866" s="415"/>
      <c r="M866" s="267"/>
      <c r="N866" s="267"/>
      <c r="O866" s="267"/>
      <c r="P866" s="267"/>
      <c r="Q866" s="267"/>
      <c r="R866" s="267"/>
      <c r="S866" s="267"/>
      <c r="T866" s="267"/>
      <c r="U866" s="267"/>
      <c r="V866" s="267"/>
      <c r="W866" s="267"/>
      <c r="X866" s="267"/>
      <c r="Y866" s="267"/>
      <c r="Z866" s="267"/>
      <c r="AA866" s="267"/>
      <c r="AB866" s="297"/>
    </row>
    <row r="867" spans="2:28" ht="21" thickBot="1">
      <c r="B867" s="11"/>
      <c r="C867" s="1"/>
      <c r="D867" s="1"/>
      <c r="E867" s="2" t="s">
        <v>5</v>
      </c>
      <c r="F867" s="347" t="s">
        <v>6</v>
      </c>
      <c r="G867" s="411" t="s">
        <v>7</v>
      </c>
      <c r="H867" s="57"/>
      <c r="I867" s="17"/>
      <c r="J867" s="402"/>
      <c r="K867" s="15"/>
      <c r="L867" s="11"/>
      <c r="M867" s="1"/>
      <c r="N867" s="1"/>
      <c r="O867" s="2" t="s">
        <v>8</v>
      </c>
      <c r="P867" s="347" t="s">
        <v>6</v>
      </c>
      <c r="Q867" s="411" t="s">
        <v>7</v>
      </c>
      <c r="R867" s="1"/>
      <c r="S867" s="1"/>
      <c r="T867" s="1"/>
      <c r="U867" s="645" t="s">
        <v>9</v>
      </c>
      <c r="V867" s="1"/>
      <c r="W867" s="1"/>
      <c r="X867" s="1"/>
      <c r="Y867" s="1"/>
      <c r="Z867" s="1"/>
      <c r="AA867" s="1"/>
      <c r="AB867" s="246"/>
    </row>
    <row r="868" spans="2:28" ht="15.75">
      <c r="B868" s="11"/>
      <c r="C868" s="317"/>
      <c r="D868" s="1"/>
      <c r="E868" s="458" t="s">
        <v>10</v>
      </c>
      <c r="F868" s="450" t="s">
        <v>11</v>
      </c>
      <c r="G868" s="717">
        <v>14999</v>
      </c>
      <c r="H868" s="269"/>
      <c r="I868" s="12" t="s">
        <v>12</v>
      </c>
      <c r="J868" s="403"/>
      <c r="K868" s="15"/>
      <c r="L868" s="11"/>
      <c r="M868" s="371"/>
      <c r="N868" s="1">
        <f>IF(OR(Q868&lt;=0,Q868&gt;G872),1,0)</f>
        <v>0</v>
      </c>
      <c r="O868" s="458" t="s">
        <v>13</v>
      </c>
      <c r="P868" s="450" t="s">
        <v>14</v>
      </c>
      <c r="Q868" s="667">
        <v>20</v>
      </c>
      <c r="R868" s="272"/>
      <c r="S868" s="12" t="s">
        <v>12</v>
      </c>
      <c r="T868" s="340"/>
      <c r="U868" s="656" t="s">
        <v>15</v>
      </c>
      <c r="V868" s="657" t="s">
        <v>16</v>
      </c>
      <c r="W868" s="658" t="s">
        <v>17</v>
      </c>
      <c r="X868" s="1"/>
      <c r="Y868" s="1"/>
      <c r="Z868" s="1"/>
      <c r="AA868" s="1"/>
      <c r="AB868" s="246"/>
    </row>
    <row r="869" spans="2:28" ht="15.75">
      <c r="B869" s="11"/>
      <c r="C869" s="370"/>
      <c r="D869" s="1">
        <f>IF(OR(G869&lt;=0,G869&gt;1),1,0)</f>
        <v>0</v>
      </c>
      <c r="E869" s="451" t="s">
        <v>18</v>
      </c>
      <c r="F869" s="7" t="s">
        <v>19</v>
      </c>
      <c r="G869" s="472">
        <v>0.151</v>
      </c>
      <c r="H869" s="270"/>
      <c r="I869" s="12" t="s">
        <v>12</v>
      </c>
      <c r="J869" s="403"/>
      <c r="K869" s="15"/>
      <c r="L869" s="11"/>
      <c r="M869" s="317"/>
      <c r="N869" s="1"/>
      <c r="O869" s="451" t="s">
        <v>20</v>
      </c>
      <c r="P869" s="7" t="s">
        <v>19</v>
      </c>
      <c r="Q869" s="472">
        <v>0</v>
      </c>
      <c r="R869" s="270">
        <v>0</v>
      </c>
      <c r="S869" s="12" t="s">
        <v>12</v>
      </c>
      <c r="T869" s="340"/>
      <c r="U869" s="474" t="s">
        <v>21</v>
      </c>
      <c r="V869" s="633" t="s">
        <v>22</v>
      </c>
      <c r="W869" s="646" t="s">
        <v>23</v>
      </c>
      <c r="X869" s="1"/>
      <c r="Y869" s="1"/>
      <c r="Z869" s="1"/>
      <c r="AA869" s="1"/>
      <c r="AB869" s="246"/>
    </row>
    <row r="870" spans="2:28" ht="16.5" thickBot="1">
      <c r="B870" s="11"/>
      <c r="C870" s="285"/>
      <c r="D870" s="1"/>
      <c r="E870" s="451" t="s">
        <v>24</v>
      </c>
      <c r="F870" s="8" t="s">
        <v>25</v>
      </c>
      <c r="G870" s="473"/>
      <c r="H870" s="271"/>
      <c r="I870" s="12" t="s">
        <v>12</v>
      </c>
      <c r="J870" s="403"/>
      <c r="K870" s="15"/>
      <c r="L870" s="11"/>
      <c r="M870" s="316"/>
      <c r="N870" s="1"/>
      <c r="O870" s="461" t="s">
        <v>26</v>
      </c>
      <c r="P870" s="466" t="s">
        <v>19</v>
      </c>
      <c r="Q870" s="472">
        <v>0</v>
      </c>
      <c r="R870" s="270"/>
      <c r="S870" s="12" t="s">
        <v>12</v>
      </c>
      <c r="T870" s="340"/>
      <c r="U870" s="451" t="s">
        <v>27</v>
      </c>
      <c r="V870" s="633" t="s">
        <v>22</v>
      </c>
      <c r="W870" s="646" t="s">
        <v>178</v>
      </c>
      <c r="X870" s="1"/>
      <c r="Y870" s="1"/>
      <c r="Z870" s="1"/>
      <c r="AA870" s="1"/>
      <c r="AB870" s="246"/>
    </row>
    <row r="871" spans="2:28" ht="16.5" thickBot="1">
      <c r="B871" s="11"/>
      <c r="C871" s="369"/>
      <c r="D871" s="1">
        <f>IF(OR(G871&lt;0,G871&gt;1),1,0)</f>
        <v>0</v>
      </c>
      <c r="E871" s="453" t="s">
        <v>29</v>
      </c>
      <c r="F871" s="7" t="s">
        <v>19</v>
      </c>
      <c r="G871" s="472">
        <v>5.0000000000000001E-3</v>
      </c>
      <c r="H871" s="270"/>
      <c r="I871" s="12" t="s">
        <v>12</v>
      </c>
      <c r="J871" s="403"/>
      <c r="K871" s="15"/>
      <c r="L871" s="298"/>
      <c r="M871" s="15"/>
      <c r="N871" s="15"/>
      <c r="O871" s="15"/>
      <c r="P871" s="15"/>
      <c r="Q871" s="15"/>
      <c r="R871" s="15"/>
      <c r="S871" s="15"/>
      <c r="T871" s="15"/>
      <c r="U871" s="639"/>
      <c r="V871" s="636"/>
      <c r="W871" s="640"/>
      <c r="X871" s="123"/>
      <c r="Y871" s="123"/>
      <c r="Z871" s="123"/>
      <c r="AA871" s="1"/>
      <c r="AB871" s="246"/>
    </row>
    <row r="872" spans="2:28" ht="16.5" thickBot="1">
      <c r="B872" s="11"/>
      <c r="C872" s="371"/>
      <c r="D872" s="1">
        <f>IF(OR(G872&lt;1,G872&gt;30),1,0)</f>
        <v>0</v>
      </c>
      <c r="E872" s="455" t="s">
        <v>30</v>
      </c>
      <c r="F872" s="466" t="s">
        <v>14</v>
      </c>
      <c r="G872" s="581">
        <v>30</v>
      </c>
      <c r="H872" s="272"/>
      <c r="I872" s="12" t="s">
        <v>12</v>
      </c>
      <c r="J872" s="403"/>
      <c r="K872" s="15"/>
      <c r="L872" s="298"/>
      <c r="M872" s="1"/>
      <c r="N872" s="1"/>
      <c r="O872" s="2" t="s">
        <v>31</v>
      </c>
      <c r="P872" s="3"/>
      <c r="Q872" s="4"/>
      <c r="R872" s="15"/>
      <c r="S872" s="12" t="s">
        <v>12</v>
      </c>
      <c r="T872" s="123"/>
      <c r="U872" s="474" t="s">
        <v>32</v>
      </c>
      <c r="V872" s="634" t="s">
        <v>33</v>
      </c>
      <c r="W872" s="669">
        <v>20</v>
      </c>
      <c r="X872" s="178"/>
      <c r="Y872" s="178"/>
      <c r="Z872" s="178"/>
      <c r="AA872" s="1"/>
      <c r="AB872" s="246"/>
    </row>
    <row r="873" spans="2:28" ht="16.5" thickBot="1">
      <c r="B873" s="11"/>
      <c r="C873" s="1"/>
      <c r="D873" s="1"/>
      <c r="E873" s="1"/>
      <c r="F873" s="1"/>
      <c r="G873" s="17"/>
      <c r="H873" s="17"/>
      <c r="I873" s="13"/>
      <c r="J873" s="403"/>
      <c r="K873" s="15"/>
      <c r="L873" s="298"/>
      <c r="M873" s="369"/>
      <c r="N873" s="1"/>
      <c r="O873" s="500" t="s">
        <v>34</v>
      </c>
      <c r="P873" s="501"/>
      <c r="Q873" s="502" t="s">
        <v>35</v>
      </c>
      <c r="R873" s="1"/>
      <c r="S873" s="345" t="s">
        <v>12</v>
      </c>
      <c r="T873" s="346">
        <f>IF(Q868&lt;G872,1,0)</f>
        <v>1</v>
      </c>
      <c r="U873" s="641" t="s">
        <v>36</v>
      </c>
      <c r="V873" s="635" t="s">
        <v>19</v>
      </c>
      <c r="W873" s="670">
        <v>0.02</v>
      </c>
      <c r="X873" s="1"/>
      <c r="Y873" s="123"/>
      <c r="Z873" s="123"/>
      <c r="AA873" s="1"/>
      <c r="AB873" s="246"/>
    </row>
    <row r="874" spans="2:28" ht="16.5" thickBot="1">
      <c r="B874" s="11"/>
      <c r="C874" s="1"/>
      <c r="D874" s="1"/>
      <c r="E874" s="10" t="s">
        <v>37</v>
      </c>
      <c r="F874" s="347" t="s">
        <v>6</v>
      </c>
      <c r="G874" s="411" t="s">
        <v>7</v>
      </c>
      <c r="H874" s="283"/>
      <c r="I874" s="13"/>
      <c r="J874" s="403"/>
      <c r="K874" s="15"/>
      <c r="L874" s="298"/>
      <c r="M874" s="369"/>
      <c r="N874" s="1">
        <f>IF(OR(Q874&lt;=0,Q874=""),1,0)</f>
        <v>0</v>
      </c>
      <c r="O874" s="503" t="s">
        <v>38</v>
      </c>
      <c r="P874" s="343" t="s">
        <v>39</v>
      </c>
      <c r="Q874" s="504">
        <v>5</v>
      </c>
      <c r="R874" s="1"/>
      <c r="S874" s="345" t="s">
        <v>12</v>
      </c>
      <c r="T874" s="346">
        <f>IF(AND($Q$8&lt;$G$12,$Q$13="Year One"),1,0)</f>
        <v>0</v>
      </c>
      <c r="U874" s="642"/>
      <c r="V874" s="637"/>
      <c r="W874" s="643"/>
      <c r="X874" s="1"/>
      <c r="Y874" s="123"/>
      <c r="Z874" s="123"/>
      <c r="AA874" s="1"/>
      <c r="AB874" s="246"/>
    </row>
    <row r="875" spans="2:28" ht="16.5" thickBot="1">
      <c r="B875" s="11"/>
      <c r="C875" s="318"/>
      <c r="D875" s="1"/>
      <c r="E875" s="438" t="s">
        <v>40</v>
      </c>
      <c r="F875" s="439"/>
      <c r="G875" s="440" t="s">
        <v>41</v>
      </c>
      <c r="H875" s="281"/>
      <c r="I875" s="12" t="s">
        <v>12</v>
      </c>
      <c r="J875" s="403"/>
      <c r="K875" s="15"/>
      <c r="L875" s="298"/>
      <c r="M875" s="369"/>
      <c r="N875" s="1">
        <f>IF(OR(Q875&lt;=0,Q875=""),1,0)</f>
        <v>0</v>
      </c>
      <c r="O875" s="505" t="s">
        <v>42</v>
      </c>
      <c r="P875" s="344" t="s">
        <v>19</v>
      </c>
      <c r="Q875" s="506">
        <v>0.03</v>
      </c>
      <c r="R875" s="1"/>
      <c r="S875" s="368" t="s">
        <v>12</v>
      </c>
      <c r="T875" s="346">
        <f>IF(AND($Q$8&lt;$G$12,$Q$13="Year One"),1,0)</f>
        <v>0</v>
      </c>
      <c r="U875" s="451" t="s">
        <v>43</v>
      </c>
      <c r="V875" s="633" t="s">
        <v>19</v>
      </c>
      <c r="W875" s="581">
        <v>0</v>
      </c>
      <c r="X875" s="1"/>
      <c r="Y875" s="123"/>
      <c r="Z875" s="123"/>
      <c r="AA875" s="1"/>
      <c r="AB875" s="246"/>
    </row>
    <row r="876" spans="2:28" ht="16.5" thickBot="1">
      <c r="B876" s="11"/>
      <c r="C876" s="319"/>
      <c r="D876" s="1"/>
      <c r="E876" s="441" t="s">
        <v>44</v>
      </c>
      <c r="F876" s="442" t="s">
        <v>33</v>
      </c>
      <c r="G876" s="443">
        <v>2500</v>
      </c>
      <c r="H876" s="273"/>
      <c r="I876" s="366" t="s">
        <v>12</v>
      </c>
      <c r="J876" s="404"/>
      <c r="K876" s="15"/>
      <c r="L876" s="298"/>
      <c r="M876" s="1"/>
      <c r="N876" s="1"/>
      <c r="O876" s="507" t="str">
        <f>IF(OR($Q$13="Year One",$Q$8=$G$12),"","Click Here for Complex Input Worksheet")</f>
        <v>Click Here for Complex Input Worksheet</v>
      </c>
      <c r="P876" s="508"/>
      <c r="Q876" s="509"/>
      <c r="R876" s="1"/>
      <c r="S876" s="366" t="s">
        <v>12</v>
      </c>
      <c r="T876" s="346">
        <f>IF(AND($Q$8&lt;$G$12,$Q$13="Year-by-Year"),1,0)</f>
        <v>1</v>
      </c>
      <c r="U876" s="451" t="s">
        <v>45</v>
      </c>
      <c r="V876" s="633" t="s">
        <v>19</v>
      </c>
      <c r="W876" s="670">
        <v>0.02</v>
      </c>
      <c r="X876" s="123"/>
      <c r="Y876" s="123"/>
      <c r="Z876" s="123"/>
      <c r="AA876" s="1"/>
      <c r="AB876" s="246"/>
    </row>
    <row r="877" spans="2:28" ht="16.5" thickBot="1">
      <c r="B877" s="11"/>
      <c r="C877" s="320"/>
      <c r="D877" s="1"/>
      <c r="E877" s="444" t="s">
        <v>46</v>
      </c>
      <c r="F877" s="343" t="s">
        <v>47</v>
      </c>
      <c r="G877" s="718">
        <v>31274445.963017747</v>
      </c>
      <c r="H877" s="274"/>
      <c r="I877" s="366" t="s">
        <v>12</v>
      </c>
      <c r="J877" s="403"/>
      <c r="K877" s="15"/>
      <c r="L877" s="298"/>
      <c r="M877" s="1"/>
      <c r="N877" s="1"/>
      <c r="O877" s="1"/>
      <c r="P877" s="1"/>
      <c r="Q877" s="1"/>
      <c r="R877" s="1"/>
      <c r="S877" s="1"/>
      <c r="T877" s="179"/>
      <c r="U877" s="644"/>
      <c r="V877" s="638"/>
      <c r="W877" s="643"/>
      <c r="X877" s="123"/>
      <c r="Y877" s="123"/>
      <c r="Z877" s="123"/>
      <c r="AA877" s="1"/>
      <c r="AB877" s="246"/>
    </row>
    <row r="878" spans="2:28" ht="16.5" thickBot="1">
      <c r="B878" s="11"/>
      <c r="C878" s="376"/>
      <c r="D878" s="1"/>
      <c r="E878" s="444" t="s">
        <v>48</v>
      </c>
      <c r="F878" s="343" t="s">
        <v>47</v>
      </c>
      <c r="G878" s="718">
        <v>0</v>
      </c>
      <c r="H878" s="274"/>
      <c r="I878" s="366" t="s">
        <v>12</v>
      </c>
      <c r="J878" s="403"/>
      <c r="K878" s="15"/>
      <c r="L878" s="298"/>
      <c r="M878" s="1"/>
      <c r="N878" s="1"/>
      <c r="O878" s="5" t="s">
        <v>49</v>
      </c>
      <c r="P878" s="347" t="s">
        <v>6</v>
      </c>
      <c r="Q878" s="411" t="s">
        <v>7</v>
      </c>
      <c r="R878" s="120"/>
      <c r="S878" s="13"/>
      <c r="T878" s="179"/>
      <c r="U878" s="641" t="s">
        <v>50</v>
      </c>
      <c r="V878" s="257" t="s">
        <v>47</v>
      </c>
      <c r="W878" s="581">
        <v>0</v>
      </c>
      <c r="X878" s="123"/>
      <c r="Y878" s="1"/>
      <c r="Z878" s="1"/>
      <c r="AA878" s="1"/>
      <c r="AB878" s="246"/>
    </row>
    <row r="879" spans="2:28" ht="16.5" thickBot="1">
      <c r="B879" s="11"/>
      <c r="C879" s="376"/>
      <c r="D879" s="1"/>
      <c r="E879" s="444" t="s">
        <v>51</v>
      </c>
      <c r="F879" s="343" t="s">
        <v>47</v>
      </c>
      <c r="G879" s="718">
        <v>0</v>
      </c>
      <c r="H879" s="274"/>
      <c r="I879" s="366" t="s">
        <v>12</v>
      </c>
      <c r="J879" s="403"/>
      <c r="K879" s="15"/>
      <c r="L879" s="298"/>
      <c r="M879" s="374"/>
      <c r="N879" s="1"/>
      <c r="O879" s="518" t="s">
        <v>52</v>
      </c>
      <c r="P879" s="519"/>
      <c r="Q879" s="520" t="s">
        <v>53</v>
      </c>
      <c r="R879" s="1"/>
      <c r="S879" s="12" t="s">
        <v>12</v>
      </c>
      <c r="T879" s="1"/>
      <c r="U879" s="489" t="s">
        <v>54</v>
      </c>
      <c r="V879" s="719" t="s">
        <v>55</v>
      </c>
      <c r="W879" s="720">
        <v>0</v>
      </c>
      <c r="X879" s="1"/>
      <c r="Y879" s="1"/>
      <c r="Z879" s="1"/>
      <c r="AA879" s="1"/>
      <c r="AB879" s="246"/>
    </row>
    <row r="880" spans="2:28" ht="15.75">
      <c r="B880" s="11"/>
      <c r="C880" s="376"/>
      <c r="D880" s="1"/>
      <c r="E880" s="604" t="s">
        <v>56</v>
      </c>
      <c r="F880" s="343" t="s">
        <v>47</v>
      </c>
      <c r="G880" s="721">
        <v>0</v>
      </c>
      <c r="H880" s="274"/>
      <c r="I880" s="366" t="s">
        <v>12</v>
      </c>
      <c r="J880" s="403"/>
      <c r="K880" s="15"/>
      <c r="L880" s="298"/>
      <c r="M880" s="374"/>
      <c r="N880" s="1"/>
      <c r="O880" s="458" t="s">
        <v>57</v>
      </c>
      <c r="P880" s="450"/>
      <c r="Q880" s="496" t="s">
        <v>58</v>
      </c>
      <c r="R880" s="15"/>
      <c r="S880" s="12" t="s">
        <v>12</v>
      </c>
      <c r="T880" s="15"/>
      <c r="U880" s="1"/>
      <c r="V880" s="1"/>
      <c r="W880" s="1"/>
      <c r="X880" s="1"/>
      <c r="Y880" s="1"/>
      <c r="Z880" s="1"/>
      <c r="AA880" s="1"/>
      <c r="AB880" s="246"/>
    </row>
    <row r="881" spans="2:28" ht="15.75">
      <c r="B881" s="11"/>
      <c r="C881" s="321"/>
      <c r="D881" s="1"/>
      <c r="E881" s="444" t="s">
        <v>59</v>
      </c>
      <c r="F881" s="343" t="s">
        <v>47</v>
      </c>
      <c r="G881" s="445"/>
      <c r="H881" s="275"/>
      <c r="I881" s="366" t="s">
        <v>12</v>
      </c>
      <c r="J881" s="403"/>
      <c r="K881" s="15"/>
      <c r="L881" s="298"/>
      <c r="M881" s="374"/>
      <c r="N881" s="1">
        <f>IF(OR(Q881&lt;0,Q881&gt;1,Q881=""),1,0)</f>
        <v>0</v>
      </c>
      <c r="O881" s="468" t="s">
        <v>60</v>
      </c>
      <c r="P881" s="6" t="s">
        <v>19</v>
      </c>
      <c r="Q881" s="674">
        <v>0.3</v>
      </c>
      <c r="R881" s="15"/>
      <c r="S881" s="12" t="s">
        <v>12</v>
      </c>
      <c r="T881" s="15"/>
      <c r="U881" s="1"/>
      <c r="V881" s="1"/>
      <c r="W881" s="1"/>
      <c r="X881" s="1"/>
      <c r="Y881" s="1"/>
      <c r="Z881" s="1"/>
      <c r="AA881" s="1"/>
      <c r="AB881" s="246"/>
    </row>
    <row r="882" spans="2:28" ht="16.5" thickBot="1">
      <c r="B882" s="11"/>
      <c r="C882" s="321"/>
      <c r="D882" s="1"/>
      <c r="E882" s="446" t="s">
        <v>61</v>
      </c>
      <c r="F882" s="447" t="str">
        <f>IF($G$15="Complex","$","")</f>
        <v/>
      </c>
      <c r="G882" s="448"/>
      <c r="H882" s="276"/>
      <c r="I882" s="366" t="s">
        <v>12</v>
      </c>
      <c r="J882" s="403"/>
      <c r="K882" s="15"/>
      <c r="L882" s="298"/>
      <c r="M882" s="369"/>
      <c r="N882" s="1">
        <f>IF(OR(Q882&lt;0,Q882&gt;1,Q882=""),1,0)</f>
        <v>0</v>
      </c>
      <c r="O882" s="483" t="s">
        <v>63</v>
      </c>
      <c r="P882" s="24" t="s">
        <v>19</v>
      </c>
      <c r="Q882" s="674">
        <v>1</v>
      </c>
      <c r="R882" s="121"/>
      <c r="S882" s="12" t="s">
        <v>12</v>
      </c>
      <c r="T882" s="367">
        <f>IF(AND($Q$19="Cost-Based",$Q$20="ITC"),1,0)</f>
        <v>1</v>
      </c>
      <c r="U882" s="1"/>
      <c r="V882" s="1"/>
      <c r="W882" s="1"/>
      <c r="X882" s="1"/>
      <c r="Y882" s="1"/>
      <c r="Z882" s="1"/>
      <c r="AA882" s="1"/>
      <c r="AB882" s="246"/>
    </row>
    <row r="883" spans="2:28" ht="16.5" thickBot="1">
      <c r="B883" s="11"/>
      <c r="C883" s="323"/>
      <c r="D883" s="1"/>
      <c r="E883" s="449" t="s">
        <v>44</v>
      </c>
      <c r="F883" s="450" t="s">
        <v>47</v>
      </c>
      <c r="G883" s="675"/>
      <c r="H883" s="276"/>
      <c r="I883" s="12" t="s">
        <v>12</v>
      </c>
      <c r="J883" s="403"/>
      <c r="K883" s="15"/>
      <c r="L883" s="298"/>
      <c r="M883" s="1"/>
      <c r="N883" s="1"/>
      <c r="O883" s="455" t="s">
        <v>64</v>
      </c>
      <c r="P883" s="462" t="s">
        <v>47</v>
      </c>
      <c r="Q883" s="676"/>
      <c r="R883" s="121"/>
      <c r="S883" s="12" t="s">
        <v>12</v>
      </c>
      <c r="T883" s="15"/>
      <c r="U883" s="1"/>
      <c r="V883" s="1"/>
      <c r="W883" s="1"/>
      <c r="X883" s="1"/>
      <c r="Y883" s="1"/>
      <c r="Z883" s="1"/>
      <c r="AA883" s="1"/>
      <c r="AB883" s="246"/>
    </row>
    <row r="884" spans="2:28" ht="15.75">
      <c r="B884" s="11"/>
      <c r="C884" s="323"/>
      <c r="D884" s="1"/>
      <c r="E884" s="451" t="s">
        <v>44</v>
      </c>
      <c r="F884" s="8" t="str">
        <f>F876</f>
        <v>$/kW</v>
      </c>
      <c r="G884" s="452"/>
      <c r="H884" s="284"/>
      <c r="I884" s="12" t="s">
        <v>12</v>
      </c>
      <c r="J884" s="403"/>
      <c r="K884" s="15"/>
      <c r="L884" s="298"/>
      <c r="M884" s="374"/>
      <c r="N884" s="1"/>
      <c r="O884" s="449" t="s">
        <v>65</v>
      </c>
      <c r="P884" s="522"/>
      <c r="Q884" s="510" t="s">
        <v>66</v>
      </c>
      <c r="R884" s="1"/>
      <c r="S884" s="12" t="s">
        <v>12</v>
      </c>
      <c r="T884" s="1"/>
      <c r="U884" s="1"/>
      <c r="V884" s="1"/>
      <c r="W884" s="1"/>
      <c r="X884" s="1"/>
      <c r="Y884" s="1"/>
      <c r="Z884" s="1"/>
      <c r="AA884" s="1"/>
      <c r="AB884" s="246"/>
    </row>
    <row r="885" spans="2:28" ht="15.75">
      <c r="B885" s="11"/>
      <c r="C885" s="322"/>
      <c r="D885" s="1"/>
      <c r="E885" s="453" t="s">
        <v>67</v>
      </c>
      <c r="F885" s="7" t="s">
        <v>47</v>
      </c>
      <c r="G885" s="454"/>
      <c r="H885" s="277"/>
      <c r="I885" s="12" t="s">
        <v>12</v>
      </c>
      <c r="J885" s="403"/>
      <c r="K885" s="15"/>
      <c r="L885" s="298"/>
      <c r="M885" s="369"/>
      <c r="N885" s="1"/>
      <c r="O885" s="451" t="s">
        <v>68</v>
      </c>
      <c r="P885" s="8" t="s">
        <v>39</v>
      </c>
      <c r="Q885" s="512">
        <v>0</v>
      </c>
      <c r="R885" s="15"/>
      <c r="S885" s="12" t="s">
        <v>12</v>
      </c>
      <c r="T885" s="15"/>
      <c r="U885" s="1"/>
      <c r="V885" s="1"/>
      <c r="W885" s="1"/>
      <c r="X885" s="1"/>
      <c r="Y885" s="1"/>
      <c r="Z885" s="1"/>
      <c r="AA885" s="1"/>
      <c r="AB885" s="246"/>
    </row>
    <row r="886" spans="2:28" ht="15.75">
      <c r="B886" s="11"/>
      <c r="C886" s="322"/>
      <c r="D886" s="1"/>
      <c r="E886" s="453" t="s">
        <v>69</v>
      </c>
      <c r="F886" s="7" t="s">
        <v>47</v>
      </c>
      <c r="G886" s="452"/>
      <c r="H886" s="276"/>
      <c r="I886" s="12" t="s">
        <v>12</v>
      </c>
      <c r="J886" s="403"/>
      <c r="K886" s="15"/>
      <c r="L886" s="298"/>
      <c r="M886" s="369"/>
      <c r="N886" s="1">
        <f>IF(OR(Q886&lt;0,Q886&gt;G872),1,0)</f>
        <v>0</v>
      </c>
      <c r="O886" s="451" t="s">
        <v>70</v>
      </c>
      <c r="P886" s="8" t="s">
        <v>71</v>
      </c>
      <c r="Q886" s="464">
        <v>0</v>
      </c>
      <c r="R886" s="15"/>
      <c r="S886" s="12" t="s">
        <v>12</v>
      </c>
      <c r="T886" s="15"/>
      <c r="U886" s="1"/>
      <c r="V886" s="1"/>
      <c r="W886" s="1"/>
      <c r="X886" s="1"/>
      <c r="Y886" s="1"/>
      <c r="Z886" s="1"/>
      <c r="AA886" s="1"/>
      <c r="AB886" s="246"/>
    </row>
    <row r="887" spans="2:28" ht="16.5" thickBot="1">
      <c r="B887" s="11"/>
      <c r="C887" s="323"/>
      <c r="D887" s="1"/>
      <c r="E887" s="455" t="s">
        <v>69</v>
      </c>
      <c r="F887" s="456" t="str">
        <f>F876</f>
        <v>$/kW</v>
      </c>
      <c r="G887" s="457"/>
      <c r="H887" s="284"/>
      <c r="I887" s="12" t="s">
        <v>12</v>
      </c>
      <c r="J887" s="403"/>
      <c r="K887" s="15"/>
      <c r="L887" s="298"/>
      <c r="M887" s="369"/>
      <c r="N887" s="1"/>
      <c r="O887" s="451" t="s">
        <v>72</v>
      </c>
      <c r="P887" s="6" t="s">
        <v>19</v>
      </c>
      <c r="Q887" s="497">
        <v>0</v>
      </c>
      <c r="R887" s="15"/>
      <c r="S887" s="12" t="s">
        <v>12</v>
      </c>
      <c r="T887" s="15"/>
      <c r="U887" s="1"/>
      <c r="V887" s="1"/>
      <c r="W887" s="1"/>
      <c r="X887" s="1"/>
      <c r="Y887" s="1"/>
      <c r="Z887" s="1"/>
      <c r="AA887" s="1"/>
      <c r="AB887" s="246"/>
    </row>
    <row r="888" spans="2:28" ht="16.5" thickBot="1">
      <c r="B888" s="11"/>
      <c r="C888" s="324"/>
      <c r="D888" s="1"/>
      <c r="E888" s="18"/>
      <c r="F888" s="1"/>
      <c r="G888" s="1"/>
      <c r="H888" s="1"/>
      <c r="I888" s="17"/>
      <c r="J888" s="403"/>
      <c r="K888" s="15"/>
      <c r="L888" s="298"/>
      <c r="M888" s="369"/>
      <c r="N888" s="1">
        <f>IF(OR(Q888&lt;0,Q888&gt;1),1,0)</f>
        <v>0</v>
      </c>
      <c r="O888" s="455" t="s">
        <v>73</v>
      </c>
      <c r="P888" s="462" t="s">
        <v>19</v>
      </c>
      <c r="Q888" s="523">
        <v>0</v>
      </c>
      <c r="R888" s="15"/>
      <c r="S888" s="12" t="s">
        <v>12</v>
      </c>
      <c r="T888" s="15"/>
      <c r="U888" s="1"/>
      <c r="V888" s="1"/>
      <c r="W888" s="1"/>
      <c r="X888" s="1"/>
      <c r="Y888" s="1"/>
      <c r="Z888" s="1"/>
      <c r="AA888" s="1"/>
      <c r="AB888" s="246"/>
    </row>
    <row r="889" spans="2:28" ht="16.5" thickBot="1">
      <c r="B889" s="11"/>
      <c r="C889" s="1"/>
      <c r="D889" s="1"/>
      <c r="E889" s="5" t="s">
        <v>74</v>
      </c>
      <c r="F889" s="347" t="s">
        <v>6</v>
      </c>
      <c r="G889" s="411" t="s">
        <v>7</v>
      </c>
      <c r="H889" s="285"/>
      <c r="I889" s="17"/>
      <c r="J889" s="403"/>
      <c r="K889" s="15"/>
      <c r="L889" s="298"/>
      <c r="M889" s="1"/>
      <c r="N889" s="1"/>
      <c r="O889" s="296" t="s">
        <v>75</v>
      </c>
      <c r="P889" s="521"/>
      <c r="Q889" s="514" t="s">
        <v>76</v>
      </c>
      <c r="R889" s="121"/>
      <c r="S889" s="12" t="s">
        <v>12</v>
      </c>
      <c r="T889" s="15"/>
      <c r="U889" s="1"/>
      <c r="V889" s="1"/>
      <c r="W889" s="1"/>
      <c r="X889" s="1"/>
      <c r="Y889" s="1"/>
      <c r="Z889" s="1"/>
      <c r="AA889" s="1"/>
      <c r="AB889" s="246"/>
    </row>
    <row r="890" spans="2:28" ht="16.5" thickBot="1">
      <c r="B890" s="11"/>
      <c r="C890" s="318"/>
      <c r="D890" s="1"/>
      <c r="E890" s="553" t="s">
        <v>40</v>
      </c>
      <c r="F890" s="554"/>
      <c r="G890" s="555" t="s">
        <v>41</v>
      </c>
      <c r="H890" s="281"/>
      <c r="I890" s="12" t="s">
        <v>12</v>
      </c>
      <c r="J890" s="403"/>
      <c r="K890" s="15"/>
      <c r="L890" s="11"/>
      <c r="M890" s="1"/>
      <c r="N890" s="1"/>
      <c r="O890" s="415"/>
      <c r="P890" s="267"/>
      <c r="Q890" s="297"/>
      <c r="R890" s="1"/>
      <c r="S890" s="1"/>
      <c r="T890" s="1"/>
      <c r="U890" s="1"/>
      <c r="V890" s="1"/>
      <c r="W890" s="1"/>
      <c r="X890" s="1"/>
      <c r="Y890" s="1"/>
      <c r="Z890" s="1"/>
      <c r="AA890" s="1"/>
      <c r="AB890" s="246"/>
    </row>
    <row r="891" spans="2:28" ht="15.75">
      <c r="B891" s="11"/>
      <c r="C891" s="325"/>
      <c r="D891" s="1"/>
      <c r="E891" s="458" t="s">
        <v>77</v>
      </c>
      <c r="F891" s="459" t="s">
        <v>78</v>
      </c>
      <c r="G891" s="460">
        <v>9</v>
      </c>
      <c r="H891" s="286"/>
      <c r="I891" s="12" t="s">
        <v>12</v>
      </c>
      <c r="J891" s="403"/>
      <c r="K891" s="15"/>
      <c r="L891" s="298"/>
      <c r="M891" s="369"/>
      <c r="N891" s="1"/>
      <c r="O891" s="515" t="s">
        <v>79</v>
      </c>
      <c r="P891" s="459" t="s">
        <v>47</v>
      </c>
      <c r="Q891" s="516">
        <v>0</v>
      </c>
      <c r="R891" s="121"/>
      <c r="S891" s="12" t="s">
        <v>12</v>
      </c>
      <c r="T891" s="1"/>
      <c r="U891" s="1"/>
      <c r="V891" s="1"/>
      <c r="W891" s="1"/>
      <c r="X891" s="1"/>
      <c r="Y891" s="1"/>
      <c r="Z891" s="1"/>
      <c r="AA891" s="1"/>
      <c r="AB891" s="246"/>
    </row>
    <row r="892" spans="2:28" ht="16.5" thickBot="1">
      <c r="B892" s="11"/>
      <c r="C892" s="369"/>
      <c r="D892" s="1"/>
      <c r="E892" s="453" t="s">
        <v>80</v>
      </c>
      <c r="F892" s="7" t="s">
        <v>81</v>
      </c>
      <c r="G892" s="512">
        <v>0</v>
      </c>
      <c r="H892" s="287"/>
      <c r="I892" s="12" t="s">
        <v>12</v>
      </c>
      <c r="J892" s="403"/>
      <c r="K892" s="15"/>
      <c r="L892" s="298"/>
      <c r="M892" s="374"/>
      <c r="N892" s="1"/>
      <c r="O892" s="455" t="s">
        <v>82</v>
      </c>
      <c r="P892" s="466"/>
      <c r="Q892" s="517" t="s">
        <v>83</v>
      </c>
      <c r="R892" s="21"/>
      <c r="S892" s="12" t="s">
        <v>12</v>
      </c>
      <c r="T892" s="1"/>
      <c r="U892" s="1"/>
      <c r="V892" s="1"/>
      <c r="W892" s="1"/>
      <c r="X892" s="1"/>
      <c r="Y892" s="1"/>
      <c r="Z892" s="1"/>
      <c r="AA892" s="1"/>
      <c r="AB892" s="246"/>
    </row>
    <row r="893" spans="2:28" ht="16.5" thickBot="1">
      <c r="B893" s="11"/>
      <c r="C893" s="326"/>
      <c r="D893" s="15"/>
      <c r="E893" s="474" t="s">
        <v>84</v>
      </c>
      <c r="F893" s="7" t="s">
        <v>19</v>
      </c>
      <c r="G893" s="475">
        <v>0.03</v>
      </c>
      <c r="H893" s="270"/>
      <c r="I893" s="12" t="s">
        <v>12</v>
      </c>
      <c r="J893" s="404"/>
      <c r="K893" s="15"/>
      <c r="L893" s="298"/>
      <c r="M893" s="1"/>
      <c r="N893" s="1"/>
      <c r="O893" s="1"/>
      <c r="P893" s="1"/>
      <c r="Q893" s="1"/>
      <c r="R893" s="1"/>
      <c r="S893" s="1"/>
      <c r="T893" s="1"/>
      <c r="U893" s="1"/>
      <c r="V893" s="1"/>
      <c r="W893" s="1"/>
      <c r="X893" s="1"/>
      <c r="Y893" s="1"/>
      <c r="Z893" s="1"/>
      <c r="AA893" s="1"/>
      <c r="AB893" s="246"/>
    </row>
    <row r="894" spans="2:28" ht="16.5" thickBot="1">
      <c r="B894" s="11"/>
      <c r="C894" s="317"/>
      <c r="D894" s="1"/>
      <c r="E894" s="451" t="s">
        <v>85</v>
      </c>
      <c r="F894" s="7" t="s">
        <v>86</v>
      </c>
      <c r="G894" s="582">
        <v>10</v>
      </c>
      <c r="H894" s="272"/>
      <c r="I894" s="12" t="s">
        <v>12</v>
      </c>
      <c r="J894" s="404"/>
      <c r="K894" s="15"/>
      <c r="L894" s="298"/>
      <c r="M894" s="1"/>
      <c r="N894" s="1"/>
      <c r="O894" s="5" t="s">
        <v>87</v>
      </c>
      <c r="P894" s="347" t="s">
        <v>6</v>
      </c>
      <c r="Q894" s="411" t="s">
        <v>7</v>
      </c>
      <c r="R894" s="15"/>
      <c r="S894" s="1"/>
      <c r="T894" s="412"/>
      <c r="U894" s="677"/>
      <c r="V894" s="1"/>
      <c r="W894" s="1"/>
      <c r="X894" s="1"/>
      <c r="Y894" s="1"/>
      <c r="Z894" s="1"/>
      <c r="AA894" s="1"/>
      <c r="AB894" s="246"/>
    </row>
    <row r="895" spans="2:28" ht="16.5" thickBot="1">
      <c r="B895" s="11"/>
      <c r="C895" s="326"/>
      <c r="D895" s="15"/>
      <c r="E895" s="465" t="s">
        <v>88</v>
      </c>
      <c r="F895" s="466" t="s">
        <v>19</v>
      </c>
      <c r="G895" s="475">
        <v>0.03</v>
      </c>
      <c r="H895" s="278"/>
      <c r="I895" s="12" t="s">
        <v>12</v>
      </c>
      <c r="J895" s="403"/>
      <c r="K895" s="15"/>
      <c r="L895" s="298"/>
      <c r="M895" s="374"/>
      <c r="N895" s="1"/>
      <c r="O895" s="568" t="s">
        <v>89</v>
      </c>
      <c r="P895" s="569"/>
      <c r="Q895" s="570" t="s">
        <v>90</v>
      </c>
      <c r="R895" s="1"/>
      <c r="S895" s="12" t="s">
        <v>12</v>
      </c>
      <c r="T895" s="1"/>
      <c r="U895" s="1"/>
      <c r="V895" s="1"/>
      <c r="W895" s="1"/>
      <c r="X895" s="1"/>
      <c r="Y895" s="1"/>
      <c r="Z895" s="1"/>
      <c r="AA895" s="1"/>
      <c r="AB895" s="246"/>
    </row>
    <row r="896" spans="2:28" ht="15.75">
      <c r="B896" s="11"/>
      <c r="C896" s="369"/>
      <c r="D896" s="1"/>
      <c r="E896" s="483" t="s">
        <v>91</v>
      </c>
      <c r="F896" s="6" t="s">
        <v>19</v>
      </c>
      <c r="G896" s="470">
        <v>5.7150000000000005E-3</v>
      </c>
      <c r="H896" s="270"/>
      <c r="I896" s="366" t="s">
        <v>12</v>
      </c>
      <c r="J896" s="403"/>
      <c r="K896" s="15"/>
      <c r="L896" s="298"/>
      <c r="M896" s="369"/>
      <c r="N896" s="1">
        <f>IF(OR(Q896&lt;0,Q896&gt;1),1,0)</f>
        <v>0</v>
      </c>
      <c r="O896" s="458" t="s">
        <v>92</v>
      </c>
      <c r="P896" s="450" t="s">
        <v>19</v>
      </c>
      <c r="Q896" s="600">
        <v>0</v>
      </c>
      <c r="R896" s="15">
        <f>IF(OR($Q$35="Performance-Based",$Q$35="Neither"),1,0)</f>
        <v>1</v>
      </c>
      <c r="S896" s="12" t="s">
        <v>12</v>
      </c>
      <c r="T896" s="15"/>
      <c r="U896" s="1"/>
      <c r="V896" s="1"/>
      <c r="W896" s="1"/>
      <c r="X896" s="1"/>
      <c r="Y896" s="1"/>
      <c r="Z896" s="1"/>
      <c r="AA896" s="1"/>
      <c r="AB896" s="246"/>
    </row>
    <row r="897" spans="2:28" ht="15.75">
      <c r="B897" s="11"/>
      <c r="C897" s="1"/>
      <c r="D897" s="1"/>
      <c r="E897" s="451" t="s">
        <v>93</v>
      </c>
      <c r="F897" s="7" t="s">
        <v>47</v>
      </c>
      <c r="G897" s="467"/>
      <c r="H897" s="275"/>
      <c r="I897" s="366" t="s">
        <v>12</v>
      </c>
      <c r="J897" s="403"/>
      <c r="K897" s="15"/>
      <c r="L897" s="298"/>
      <c r="M897" s="369"/>
      <c r="N897" s="1">
        <f>IF(OR(Q897&lt;0,Q897&gt;1),1,0)</f>
        <v>0</v>
      </c>
      <c r="O897" s="453" t="s">
        <v>94</v>
      </c>
      <c r="P897" s="7" t="s">
        <v>19</v>
      </c>
      <c r="Q897" s="601">
        <v>0</v>
      </c>
      <c r="R897" s="15"/>
      <c r="S897" s="12" t="s">
        <v>12</v>
      </c>
      <c r="T897" s="15"/>
      <c r="U897" s="15"/>
      <c r="V897" s="1"/>
      <c r="W897" s="1"/>
      <c r="X897" s="1"/>
      <c r="Y897" s="1"/>
      <c r="Z897" s="1"/>
      <c r="AA897" s="1"/>
      <c r="AB897" s="246"/>
    </row>
    <row r="898" spans="2:28" ht="15.75">
      <c r="B898" s="11"/>
      <c r="C898" s="369"/>
      <c r="D898" s="1"/>
      <c r="E898" s="468" t="s">
        <v>95</v>
      </c>
      <c r="F898" s="6" t="s">
        <v>96</v>
      </c>
      <c r="G898" s="469">
        <v>20000</v>
      </c>
      <c r="H898" s="288"/>
      <c r="I898" s="366" t="s">
        <v>12</v>
      </c>
      <c r="J898" s="404"/>
      <c r="K898" s="15"/>
      <c r="L898" s="298"/>
      <c r="M898" s="369"/>
      <c r="N898" s="1">
        <f>IF(OR(Q898&lt;1,Q898&gt;G872),1,0)</f>
        <v>1</v>
      </c>
      <c r="O898" s="451" t="s">
        <v>97</v>
      </c>
      <c r="P898" s="8" t="s">
        <v>71</v>
      </c>
      <c r="Q898" s="602">
        <v>0</v>
      </c>
      <c r="R898" s="15"/>
      <c r="S898" s="12" t="s">
        <v>12</v>
      </c>
      <c r="T898" s="1"/>
      <c r="U898" s="678"/>
      <c r="V898" s="1"/>
      <c r="W898" s="1"/>
      <c r="X898" s="1"/>
      <c r="Y898" s="1"/>
      <c r="Z898" s="1"/>
      <c r="AA898" s="1"/>
      <c r="AB898" s="246"/>
    </row>
    <row r="899" spans="2:28" ht="16.5" thickBot="1">
      <c r="B899" s="11"/>
      <c r="C899" s="369"/>
      <c r="D899" s="1"/>
      <c r="E899" s="451" t="s">
        <v>98</v>
      </c>
      <c r="F899" s="6" t="s">
        <v>33</v>
      </c>
      <c r="G899" s="603">
        <v>5</v>
      </c>
      <c r="H899" s="288"/>
      <c r="I899" s="366" t="s">
        <v>12</v>
      </c>
      <c r="J899" s="403"/>
      <c r="K899" s="15"/>
      <c r="L899" s="11"/>
      <c r="M899" s="1"/>
      <c r="N899" s="1"/>
      <c r="O899" s="455" t="s">
        <v>50</v>
      </c>
      <c r="P899" s="456" t="s">
        <v>47</v>
      </c>
      <c r="Q899" s="572">
        <v>0</v>
      </c>
      <c r="R899" s="1"/>
      <c r="S899" s="12" t="s">
        <v>12</v>
      </c>
      <c r="T899" s="1"/>
      <c r="U899" s="1"/>
      <c r="V899" s="1"/>
      <c r="W899" s="1"/>
      <c r="X899" s="1"/>
      <c r="Y899" s="1"/>
      <c r="Z899" s="1"/>
      <c r="AA899" s="1"/>
      <c r="AB899" s="246"/>
    </row>
    <row r="900" spans="2:28" ht="15.75">
      <c r="B900" s="11"/>
      <c r="C900" s="369"/>
      <c r="D900" s="1"/>
      <c r="E900" s="451" t="s">
        <v>43</v>
      </c>
      <c r="F900" s="6" t="s">
        <v>19</v>
      </c>
      <c r="G900" s="583">
        <v>0</v>
      </c>
      <c r="H900" s="1"/>
      <c r="I900" s="366" t="s">
        <v>12</v>
      </c>
      <c r="J900" s="403"/>
      <c r="K900" s="15"/>
      <c r="L900" s="298"/>
      <c r="M900" s="374"/>
      <c r="N900" s="1"/>
      <c r="O900" s="483" t="s">
        <v>99</v>
      </c>
      <c r="P900" s="6"/>
      <c r="Q900" s="571" t="s">
        <v>66</v>
      </c>
      <c r="R900" s="15">
        <f>IF(OR($Q$35="Cost-Based",$Q$35="Neither"),1,0)</f>
        <v>1</v>
      </c>
      <c r="S900" s="12" t="s">
        <v>12</v>
      </c>
      <c r="T900" s="15"/>
      <c r="U900" s="21"/>
      <c r="V900" s="1"/>
      <c r="W900" s="1"/>
      <c r="X900" s="1"/>
      <c r="Y900" s="1"/>
      <c r="Z900" s="1"/>
      <c r="AA900" s="1"/>
      <c r="AB900" s="246"/>
    </row>
    <row r="901" spans="2:28" ht="15.75">
      <c r="B901" s="11"/>
      <c r="C901" s="369"/>
      <c r="D901" s="1"/>
      <c r="E901" s="451" t="s">
        <v>100</v>
      </c>
      <c r="F901" s="6" t="s">
        <v>96</v>
      </c>
      <c r="G901" s="469">
        <v>482070.85979999998</v>
      </c>
      <c r="H901" s="288"/>
      <c r="I901" s="366" t="s">
        <v>12</v>
      </c>
      <c r="J901" s="403"/>
      <c r="K901" s="15"/>
      <c r="L901" s="298"/>
      <c r="M901" s="374"/>
      <c r="N901" s="1"/>
      <c r="O901" s="451" t="s">
        <v>101</v>
      </c>
      <c r="P901" s="8"/>
      <c r="Q901" s="511" t="s">
        <v>102</v>
      </c>
      <c r="R901" s="346">
        <f>IF(OR($Q$35="Cost-Based",$Q$35="Neither",$Q$40="Tax Credit"),1,0)</f>
        <v>1</v>
      </c>
      <c r="S901" s="12" t="s">
        <v>12</v>
      </c>
      <c r="T901" s="1"/>
      <c r="U901" s="21"/>
      <c r="V901" s="1"/>
      <c r="W901" s="1"/>
      <c r="X901" s="1"/>
      <c r="Y901" s="1"/>
      <c r="Z901" s="1"/>
      <c r="AA901" s="1"/>
      <c r="AB901" s="246"/>
    </row>
    <row r="902" spans="2:28" ht="15.75">
      <c r="B902" s="11"/>
      <c r="C902" s="369"/>
      <c r="D902" s="1"/>
      <c r="E902" s="453" t="s">
        <v>103</v>
      </c>
      <c r="F902" s="6" t="s">
        <v>19</v>
      </c>
      <c r="G902" s="470">
        <v>0.02</v>
      </c>
      <c r="H902" s="270"/>
      <c r="I902" s="366" t="s">
        <v>12</v>
      </c>
      <c r="J902" s="403"/>
      <c r="K902" s="15"/>
      <c r="L902" s="298"/>
      <c r="M902" s="369"/>
      <c r="N902" s="1"/>
      <c r="O902" s="451" t="s">
        <v>68</v>
      </c>
      <c r="P902" s="55" t="s">
        <v>39</v>
      </c>
      <c r="Q902" s="512">
        <v>1.5</v>
      </c>
      <c r="R902" s="21"/>
      <c r="S902" s="12" t="s">
        <v>12</v>
      </c>
      <c r="T902" s="346"/>
      <c r="U902" s="679"/>
      <c r="V902" s="1"/>
      <c r="W902" s="1"/>
      <c r="X902" s="1"/>
      <c r="Y902" s="1"/>
      <c r="Z902" s="1"/>
      <c r="AA902" s="1"/>
      <c r="AB902" s="246"/>
    </row>
    <row r="903" spans="2:28" ht="16.5" thickBot="1">
      <c r="B903" s="11"/>
      <c r="C903" s="1"/>
      <c r="D903" s="1"/>
      <c r="E903" s="455"/>
      <c r="F903" s="466"/>
      <c r="G903" s="471"/>
      <c r="H903" s="275"/>
      <c r="I903" s="366" t="s">
        <v>12</v>
      </c>
      <c r="J903" s="246"/>
      <c r="K903" s="15"/>
      <c r="L903" s="298"/>
      <c r="M903" s="369"/>
      <c r="N903" s="1">
        <f>IF(OR(Q903&lt;0,Q903&gt;G872),1,0)</f>
        <v>0</v>
      </c>
      <c r="O903" s="451" t="s">
        <v>70</v>
      </c>
      <c r="P903" s="8" t="s">
        <v>71</v>
      </c>
      <c r="Q903" s="464">
        <v>10</v>
      </c>
      <c r="R903" s="21"/>
      <c r="S903" s="12" t="s">
        <v>12</v>
      </c>
      <c r="T903" s="1"/>
      <c r="U903" s="21"/>
      <c r="V903" s="1"/>
      <c r="W903" s="1"/>
      <c r="X903" s="1"/>
      <c r="Y903" s="1"/>
      <c r="Z903" s="1"/>
      <c r="AA903" s="1"/>
      <c r="AB903" s="246"/>
    </row>
    <row r="904" spans="2:28" ht="16.5" thickBot="1">
      <c r="B904" s="11"/>
      <c r="C904" s="327"/>
      <c r="D904" s="1"/>
      <c r="E904" s="1"/>
      <c r="F904" s="1"/>
      <c r="G904" s="1"/>
      <c r="H904" s="1"/>
      <c r="I904" s="17"/>
      <c r="J904" s="403"/>
      <c r="K904" s="15"/>
      <c r="L904" s="298"/>
      <c r="M904" s="369"/>
      <c r="N904" s="1"/>
      <c r="O904" s="451" t="s">
        <v>72</v>
      </c>
      <c r="P904" s="6" t="s">
        <v>19</v>
      </c>
      <c r="Q904" s="497">
        <v>0.02</v>
      </c>
      <c r="R904" s="15"/>
      <c r="S904" s="12" t="s">
        <v>12</v>
      </c>
      <c r="T904" s="346"/>
      <c r="U904" s="21"/>
      <c r="V904" s="1"/>
      <c r="W904" s="1"/>
      <c r="X904" s="1"/>
      <c r="Y904" s="1"/>
      <c r="Z904" s="1"/>
      <c r="AA904" s="1"/>
      <c r="AB904" s="246"/>
    </row>
    <row r="905" spans="2:28" ht="16.5" thickBot="1">
      <c r="B905" s="11"/>
      <c r="C905" s="327"/>
      <c r="D905" s="1"/>
      <c r="E905" s="5" t="s">
        <v>104</v>
      </c>
      <c r="F905" s="347" t="s">
        <v>6</v>
      </c>
      <c r="G905" s="411" t="s">
        <v>7</v>
      </c>
      <c r="H905" s="289"/>
      <c r="I905" s="17"/>
      <c r="J905" s="403"/>
      <c r="K905" s="15"/>
      <c r="L905" s="298"/>
      <c r="M905" s="369"/>
      <c r="N905" s="1">
        <f>IF(OR(Q905&lt;0,Q905&gt;1),1,0)</f>
        <v>0</v>
      </c>
      <c r="O905" s="455" t="s">
        <v>105</v>
      </c>
      <c r="P905" s="462" t="s">
        <v>19</v>
      </c>
      <c r="Q905" s="523">
        <v>1</v>
      </c>
      <c r="R905" s="15"/>
      <c r="S905" s="12" t="s">
        <v>12</v>
      </c>
      <c r="T905" s="21"/>
      <c r="U905" s="15"/>
      <c r="V905" s="1"/>
      <c r="W905" s="1"/>
      <c r="X905" s="1"/>
      <c r="Y905" s="1"/>
      <c r="Z905" s="1"/>
      <c r="AA905" s="1"/>
      <c r="AB905" s="246"/>
    </row>
    <row r="906" spans="2:28" ht="16.5" thickBot="1">
      <c r="B906" s="11"/>
      <c r="C906" s="372"/>
      <c r="D906" s="1"/>
      <c r="E906" s="463" t="s">
        <v>106</v>
      </c>
      <c r="F906" s="450" t="s">
        <v>107</v>
      </c>
      <c r="G906" s="556">
        <v>0</v>
      </c>
      <c r="H906" s="289"/>
      <c r="I906" s="12" t="s">
        <v>12</v>
      </c>
      <c r="J906" s="403"/>
      <c r="K906" s="15"/>
      <c r="L906" s="298"/>
      <c r="M906" s="15"/>
      <c r="N906" s="15"/>
      <c r="O906" s="524" t="s">
        <v>108</v>
      </c>
      <c r="P906" s="525"/>
      <c r="Q906" s="526" t="s">
        <v>76</v>
      </c>
      <c r="R906" s="15">
        <f>IF($Q$35="Neither",1,0)</f>
        <v>1</v>
      </c>
      <c r="S906" s="12" t="s">
        <v>12</v>
      </c>
      <c r="T906" s="21"/>
      <c r="U906" s="15"/>
      <c r="V906" s="1"/>
      <c r="W906" s="1"/>
      <c r="X906" s="1"/>
      <c r="Y906" s="1"/>
      <c r="Z906" s="1"/>
      <c r="AA906" s="1"/>
      <c r="AB906" s="246"/>
    </row>
    <row r="907" spans="2:28" ht="16.5" thickBot="1">
      <c r="B907" s="11"/>
      <c r="C907" s="372"/>
      <c r="D907" s="1"/>
      <c r="E907" s="474" t="s">
        <v>109</v>
      </c>
      <c r="F907" s="7" t="s">
        <v>19</v>
      </c>
      <c r="G907" s="548">
        <v>0</v>
      </c>
      <c r="H907" s="289"/>
      <c r="I907" s="12" t="s">
        <v>12</v>
      </c>
      <c r="J907" s="403"/>
      <c r="K907" s="15"/>
      <c r="L907" s="11"/>
      <c r="M907" s="1"/>
      <c r="N907" s="1"/>
      <c r="O907" s="415"/>
      <c r="P907" s="267"/>
      <c r="Q907" s="297"/>
      <c r="R907" s="1"/>
      <c r="S907" s="1"/>
      <c r="T907" s="1"/>
      <c r="U907" s="15"/>
      <c r="V907" s="1"/>
      <c r="W907" s="1"/>
      <c r="X907" s="1"/>
      <c r="Y907" s="1"/>
      <c r="Z907" s="1"/>
      <c r="AA907" s="1"/>
      <c r="AB907" s="246"/>
    </row>
    <row r="908" spans="2:28" ht="16.5" thickBot="1">
      <c r="B908" s="11"/>
      <c r="C908" s="327"/>
      <c r="D908" s="1"/>
      <c r="E908" s="465" t="s">
        <v>110</v>
      </c>
      <c r="F908" s="456" t="s">
        <v>47</v>
      </c>
      <c r="G908" s="471">
        <v>0</v>
      </c>
      <c r="H908" s="289"/>
      <c r="I908" s="12" t="s">
        <v>12</v>
      </c>
      <c r="J908" s="403"/>
      <c r="K908" s="15"/>
      <c r="L908" s="298"/>
      <c r="M908" s="369"/>
      <c r="N908" s="15"/>
      <c r="O908" s="515" t="s">
        <v>111</v>
      </c>
      <c r="P908" s="450" t="s">
        <v>47</v>
      </c>
      <c r="Q908" s="516">
        <v>0</v>
      </c>
      <c r="R908" s="1"/>
      <c r="S908" s="12" t="s">
        <v>12</v>
      </c>
      <c r="T908" s="15"/>
      <c r="U908" s="15"/>
      <c r="V908" s="1"/>
      <c r="W908" s="1"/>
      <c r="X908" s="1"/>
      <c r="Y908" s="1"/>
      <c r="Z908" s="1"/>
      <c r="AA908" s="1"/>
      <c r="AB908" s="246"/>
    </row>
    <row r="909" spans="2:28" ht="16.5" thickBot="1">
      <c r="B909" s="11"/>
      <c r="C909" s="1"/>
      <c r="D909" s="1"/>
      <c r="E909" s="1"/>
      <c r="F909" s="1"/>
      <c r="G909" s="182"/>
      <c r="H909" s="182"/>
      <c r="I909" s="17"/>
      <c r="J909" s="403"/>
      <c r="K909" s="15"/>
      <c r="L909" s="298"/>
      <c r="M909" s="374"/>
      <c r="N909" s="1"/>
      <c r="O909" s="455" t="s">
        <v>112</v>
      </c>
      <c r="P909" s="466"/>
      <c r="Q909" s="517" t="s">
        <v>83</v>
      </c>
      <c r="R909" s="21"/>
      <c r="S909" s="12" t="s">
        <v>12</v>
      </c>
      <c r="T909" s="15"/>
      <c r="U909" s="15"/>
      <c r="V909" s="1"/>
      <c r="W909" s="1"/>
      <c r="X909" s="1"/>
      <c r="Y909" s="1"/>
      <c r="Z909" s="1"/>
      <c r="AA909" s="1"/>
      <c r="AB909" s="246"/>
    </row>
    <row r="910" spans="2:28" ht="16.5" thickBot="1">
      <c r="B910" s="11"/>
      <c r="C910" s="327"/>
      <c r="D910" s="1"/>
      <c r="E910" s="480" t="s">
        <v>113</v>
      </c>
      <c r="F910" s="481" t="s">
        <v>6</v>
      </c>
      <c r="G910" s="482" t="s">
        <v>7</v>
      </c>
      <c r="H910" s="289"/>
      <c r="I910" s="405"/>
      <c r="J910" s="403"/>
      <c r="K910" s="15"/>
      <c r="L910" s="298"/>
      <c r="M910" s="1"/>
      <c r="N910" s="1"/>
      <c r="O910" s="1"/>
      <c r="P910" s="1"/>
      <c r="Q910" s="1"/>
      <c r="R910" s="1"/>
      <c r="S910" s="1"/>
      <c r="T910" s="15"/>
      <c r="U910" s="300"/>
      <c r="V910" s="1"/>
      <c r="W910" s="1"/>
      <c r="X910" s="1"/>
      <c r="Y910" s="1"/>
      <c r="Z910" s="1"/>
      <c r="AA910" s="1"/>
      <c r="AB910" s="246"/>
    </row>
    <row r="911" spans="2:28" ht="16.5" thickBot="1">
      <c r="B911" s="11"/>
      <c r="C911" s="369"/>
      <c r="D911" s="1">
        <f>IF(OR(G911="",G911&lt;0,G911&gt;1),1,0)</f>
        <v>0</v>
      </c>
      <c r="E911" s="449" t="s">
        <v>114</v>
      </c>
      <c r="F911" s="450" t="s">
        <v>19</v>
      </c>
      <c r="G911" s="476">
        <v>0.54</v>
      </c>
      <c r="H911" s="290"/>
      <c r="I911" s="12" t="s">
        <v>12</v>
      </c>
      <c r="J911" s="404"/>
      <c r="K911" s="15"/>
      <c r="L911" s="298"/>
      <c r="M911" s="15"/>
      <c r="N911" s="15"/>
      <c r="O911" s="5" t="s">
        <v>115</v>
      </c>
      <c r="P911" s="22"/>
      <c r="Q911" s="411"/>
      <c r="R911" s="15"/>
      <c r="S911" s="15"/>
      <c r="T911" s="15"/>
      <c r="U911" s="15"/>
      <c r="V911" s="1"/>
      <c r="W911" s="1"/>
      <c r="X911" s="1"/>
      <c r="Y911" s="1"/>
      <c r="Z911" s="1"/>
      <c r="AA911" s="1"/>
      <c r="AB911" s="246"/>
    </row>
    <row r="912" spans="2:28" ht="15.75">
      <c r="B912" s="11"/>
      <c r="C912" s="369"/>
      <c r="D912" s="1">
        <f>IF(OR(G912&lt;=0,G912&gt;G872),1,0)</f>
        <v>0</v>
      </c>
      <c r="E912" s="451" t="s">
        <v>116</v>
      </c>
      <c r="F912" s="7" t="s">
        <v>14</v>
      </c>
      <c r="G912" s="464">
        <v>15</v>
      </c>
      <c r="H912" s="272"/>
      <c r="I912" s="12" t="s">
        <v>12</v>
      </c>
      <c r="J912" s="404"/>
      <c r="K912" s="15"/>
      <c r="L912" s="298"/>
      <c r="M912" s="375"/>
      <c r="N912" s="15">
        <f>IF(OR(Q912&lt;1,Q912&gt;$G$12),1,0)</f>
        <v>0</v>
      </c>
      <c r="O912" s="463" t="s">
        <v>117</v>
      </c>
      <c r="P912" s="459" t="s">
        <v>86</v>
      </c>
      <c r="Q912" s="556">
        <v>12</v>
      </c>
      <c r="R912" s="15"/>
      <c r="S912" s="12" t="s">
        <v>12</v>
      </c>
      <c r="T912" s="15"/>
      <c r="U912" s="15"/>
      <c r="V912" s="1"/>
      <c r="W912" s="1"/>
      <c r="X912" s="1"/>
      <c r="Y912" s="1"/>
      <c r="Z912" s="1"/>
      <c r="AA912" s="1"/>
      <c r="AB912" s="246"/>
    </row>
    <row r="913" spans="2:28" ht="16.5" thickBot="1">
      <c r="B913" s="11"/>
      <c r="C913" s="372"/>
      <c r="D913" s="1">
        <f>IF(OR(G913&lt;0,G913=""),1,0)</f>
        <v>0</v>
      </c>
      <c r="E913" s="451" t="s">
        <v>118</v>
      </c>
      <c r="F913" s="7" t="s">
        <v>19</v>
      </c>
      <c r="G913" s="485">
        <v>7.6638765941485373E-2</v>
      </c>
      <c r="H913" s="291"/>
      <c r="I913" s="12" t="s">
        <v>12</v>
      </c>
      <c r="J913" s="404"/>
      <c r="K913" s="15"/>
      <c r="L913" s="298"/>
      <c r="M913" s="326"/>
      <c r="N913" s="15"/>
      <c r="O913" s="465" t="s">
        <v>119</v>
      </c>
      <c r="P913" s="456" t="str">
        <f>$F$16</f>
        <v>$/kW</v>
      </c>
      <c r="Q913" s="531">
        <v>21</v>
      </c>
      <c r="R913" s="15"/>
      <c r="S913" s="12" t="s">
        <v>12</v>
      </c>
      <c r="T913" s="15"/>
      <c r="U913" s="15"/>
      <c r="V913" s="1"/>
      <c r="W913" s="1"/>
      <c r="X913" s="1"/>
      <c r="Y913" s="1"/>
      <c r="Z913" s="1"/>
      <c r="AA913" s="1"/>
      <c r="AB913" s="246"/>
    </row>
    <row r="914" spans="2:28" ht="16.5" thickBot="1">
      <c r="B914" s="11"/>
      <c r="C914" s="369"/>
      <c r="D914" s="1">
        <f>IF(OR(G914&lt;0,G914=""),1,0)</f>
        <v>0</v>
      </c>
      <c r="E914" s="486" t="s">
        <v>120</v>
      </c>
      <c r="F914" s="466" t="s">
        <v>19</v>
      </c>
      <c r="G914" s="487">
        <v>0.02</v>
      </c>
      <c r="H914" s="270"/>
      <c r="I914" s="12" t="s">
        <v>12</v>
      </c>
      <c r="J914" s="403"/>
      <c r="K914" s="15"/>
      <c r="L914" s="298"/>
      <c r="M914" s="375"/>
      <c r="N914" s="15">
        <f>IF(OR(Q914&lt;Q912,Q914&gt;$G$12),1,0)</f>
        <v>0</v>
      </c>
      <c r="O914" s="529" t="s">
        <v>121</v>
      </c>
      <c r="P914" s="24" t="s">
        <v>86</v>
      </c>
      <c r="Q914" s="530">
        <v>12</v>
      </c>
      <c r="R914" s="15"/>
      <c r="S914" s="12" t="s">
        <v>12</v>
      </c>
      <c r="T914" s="15"/>
      <c r="U914" s="15"/>
      <c r="V914" s="1"/>
      <c r="W914" s="1"/>
      <c r="X914" s="1"/>
      <c r="Y914" s="1"/>
      <c r="Z914" s="1"/>
      <c r="AA914" s="1"/>
      <c r="AB914" s="246"/>
    </row>
    <row r="915" spans="2:28" ht="16.5" thickBot="1">
      <c r="B915" s="11"/>
      <c r="C915" s="369"/>
      <c r="D915" s="1"/>
      <c r="E915" s="483" t="s">
        <v>122</v>
      </c>
      <c r="F915" s="24"/>
      <c r="G915" s="484">
        <v>1</v>
      </c>
      <c r="H915" s="279"/>
      <c r="I915" s="12" t="s">
        <v>12</v>
      </c>
      <c r="J915" s="403"/>
      <c r="K915" s="15"/>
      <c r="L915" s="298"/>
      <c r="M915" s="326"/>
      <c r="N915" s="15"/>
      <c r="O915" s="465" t="s">
        <v>123</v>
      </c>
      <c r="P915" s="456" t="str">
        <f>$F$16</f>
        <v>$/kW</v>
      </c>
      <c r="Q915" s="531">
        <v>0</v>
      </c>
      <c r="R915" s="15"/>
      <c r="S915" s="12" t="s">
        <v>12</v>
      </c>
      <c r="T915" s="15"/>
      <c r="U915" s="15"/>
      <c r="V915" s="1"/>
      <c r="W915" s="1"/>
      <c r="X915" s="1"/>
      <c r="Y915" s="1"/>
      <c r="Z915" s="1"/>
      <c r="AA915" s="1"/>
      <c r="AB915" s="246"/>
    </row>
    <row r="916" spans="2:28" ht="15.75">
      <c r="B916" s="11"/>
      <c r="C916" s="1"/>
      <c r="D916" s="1"/>
      <c r="E916" s="451" t="s">
        <v>124</v>
      </c>
      <c r="F916" s="248">
        <f>MAX('[2]Cash Flow'!G905:AJ905)</f>
        <v>0</v>
      </c>
      <c r="G916" s="477"/>
      <c r="H916" s="280"/>
      <c r="I916" s="12" t="s">
        <v>12</v>
      </c>
      <c r="J916" s="403"/>
      <c r="K916" s="15"/>
      <c r="L916" s="298"/>
      <c r="M916" s="375"/>
      <c r="N916" s="15">
        <f>IF(OR(Q916&lt;Q914,Q916&gt;$G$12),1,0)</f>
        <v>0</v>
      </c>
      <c r="O916" s="474" t="s">
        <v>125</v>
      </c>
      <c r="P916" s="8" t="s">
        <v>86</v>
      </c>
      <c r="Q916" s="530">
        <v>12</v>
      </c>
      <c r="R916" s="15"/>
      <c r="S916" s="12" t="s">
        <v>12</v>
      </c>
      <c r="T916" s="15"/>
      <c r="U916" s="15"/>
      <c r="V916" s="1"/>
      <c r="W916" s="1"/>
      <c r="X916" s="1"/>
      <c r="Y916" s="1"/>
      <c r="Z916" s="1"/>
      <c r="AA916" s="1"/>
      <c r="AB916" s="246"/>
    </row>
    <row r="917" spans="2:28" ht="16.5" thickBot="1">
      <c r="B917" s="11"/>
      <c r="C917" s="369"/>
      <c r="D917" s="1"/>
      <c r="E917" s="451" t="s">
        <v>126</v>
      </c>
      <c r="F917" s="8" t="s">
        <v>127</v>
      </c>
      <c r="G917" s="478"/>
      <c r="H917" s="406"/>
      <c r="I917" s="12" t="s">
        <v>12</v>
      </c>
      <c r="J917" s="404"/>
      <c r="K917" s="15"/>
      <c r="L917" s="298"/>
      <c r="M917" s="326"/>
      <c r="N917" s="15"/>
      <c r="O917" s="465" t="s">
        <v>128</v>
      </c>
      <c r="P917" s="456" t="str">
        <f>$F$16</f>
        <v>$/kW</v>
      </c>
      <c r="Q917" s="531">
        <v>0</v>
      </c>
      <c r="R917" s="15"/>
      <c r="S917" s="12" t="s">
        <v>12</v>
      </c>
      <c r="T917" s="1"/>
      <c r="U917" s="1"/>
      <c r="V917" s="1"/>
      <c r="W917" s="1"/>
      <c r="X917" s="1"/>
      <c r="Y917" s="1"/>
      <c r="Z917" s="1"/>
      <c r="AA917" s="1"/>
      <c r="AB917" s="246"/>
    </row>
    <row r="918" spans="2:28" ht="15.75">
      <c r="B918" s="11"/>
      <c r="C918" s="369"/>
      <c r="D918" s="1"/>
      <c r="E918" s="451" t="s">
        <v>129</v>
      </c>
      <c r="F918" s="8"/>
      <c r="G918" s="680">
        <v>1.25</v>
      </c>
      <c r="H918" s="279"/>
      <c r="I918" s="12" t="s">
        <v>12</v>
      </c>
      <c r="J918" s="403"/>
      <c r="K918" s="15"/>
      <c r="L918" s="298"/>
      <c r="M918" s="375"/>
      <c r="N918" s="15">
        <f>IF(OR(Q918&lt;Q916,Q918&gt;$G$12),1,0)</f>
        <v>0</v>
      </c>
      <c r="O918" s="474" t="s">
        <v>130</v>
      </c>
      <c r="P918" s="8" t="s">
        <v>86</v>
      </c>
      <c r="Q918" s="530">
        <v>12</v>
      </c>
      <c r="R918" s="15"/>
      <c r="S918" s="12" t="s">
        <v>12</v>
      </c>
      <c r="T918" s="1"/>
      <c r="U918" s="1"/>
      <c r="V918" s="1"/>
      <c r="W918" s="1"/>
      <c r="X918" s="1"/>
      <c r="Y918" s="1"/>
      <c r="Z918" s="1"/>
      <c r="AA918" s="1"/>
      <c r="AB918" s="246"/>
    </row>
    <row r="919" spans="2:28" ht="16.5" thickBot="1">
      <c r="B919" s="11"/>
      <c r="C919" s="1"/>
      <c r="D919" s="1"/>
      <c r="E919" s="451" t="s">
        <v>131</v>
      </c>
      <c r="F919" s="248"/>
      <c r="G919" s="477"/>
      <c r="H919" s="280"/>
      <c r="I919" s="12" t="s">
        <v>12</v>
      </c>
      <c r="J919" s="403"/>
      <c r="K919" s="15"/>
      <c r="L919" s="298"/>
      <c r="M919" s="326"/>
      <c r="N919" s="15"/>
      <c r="O919" s="465" t="s">
        <v>132</v>
      </c>
      <c r="P919" s="456" t="str">
        <f>$F$16</f>
        <v>$/kW</v>
      </c>
      <c r="Q919" s="531">
        <v>0</v>
      </c>
      <c r="R919" s="15"/>
      <c r="S919" s="12" t="s">
        <v>12</v>
      </c>
      <c r="T919" s="1"/>
      <c r="U919" s="1"/>
      <c r="V919" s="1"/>
      <c r="W919" s="1"/>
      <c r="X919" s="1"/>
      <c r="Y919" s="1"/>
      <c r="Z919" s="1"/>
      <c r="AA919" s="1"/>
      <c r="AB919" s="246"/>
    </row>
    <row r="920" spans="2:28" ht="16.5" thickBot="1">
      <c r="B920" s="11"/>
      <c r="C920" s="369"/>
      <c r="D920" s="1"/>
      <c r="E920" s="455" t="s">
        <v>133</v>
      </c>
      <c r="F920" s="456" t="s">
        <v>127</v>
      </c>
      <c r="G920" s="479"/>
      <c r="H920" s="406"/>
      <c r="I920" s="12" t="s">
        <v>12</v>
      </c>
      <c r="J920" s="403"/>
      <c r="K920" s="15"/>
      <c r="L920" s="298"/>
      <c r="M920" s="1"/>
      <c r="N920" s="1"/>
      <c r="O920" s="1"/>
      <c r="P920" s="1"/>
      <c r="Q920" s="1"/>
      <c r="R920" s="1"/>
      <c r="S920" s="1"/>
      <c r="T920" s="1"/>
      <c r="U920" s="1"/>
      <c r="V920" s="1"/>
      <c r="W920" s="1"/>
      <c r="X920" s="1"/>
      <c r="Y920" s="1"/>
      <c r="Z920" s="1"/>
      <c r="AA920" s="1"/>
      <c r="AB920" s="246"/>
    </row>
    <row r="921" spans="2:28" ht="16.5" thickBot="1">
      <c r="B921" s="11"/>
      <c r="C921" s="1"/>
      <c r="D921" s="1"/>
      <c r="E921" s="449" t="s">
        <v>134</v>
      </c>
      <c r="F921" s="450" t="s">
        <v>19</v>
      </c>
      <c r="G921" s="488"/>
      <c r="H921" s="292"/>
      <c r="I921" s="12" t="s">
        <v>12</v>
      </c>
      <c r="J921" s="403"/>
      <c r="K921" s="15"/>
      <c r="L921" s="298"/>
      <c r="M921" s="15"/>
      <c r="N921" s="15"/>
      <c r="O921" s="5" t="s">
        <v>135</v>
      </c>
      <c r="P921" s="347" t="s">
        <v>6</v>
      </c>
      <c r="Q921" s="411" t="s">
        <v>7</v>
      </c>
      <c r="R921" s="15"/>
      <c r="S921" s="15"/>
      <c r="T921" s="15"/>
      <c r="U921" s="15"/>
      <c r="V921" s="1"/>
      <c r="W921" s="1"/>
      <c r="X921" s="1"/>
      <c r="Y921" s="1"/>
      <c r="Z921" s="1"/>
      <c r="AA921" s="1"/>
      <c r="AB921" s="246"/>
    </row>
    <row r="922" spans="2:28" ht="16.5" thickBot="1">
      <c r="B922" s="11"/>
      <c r="C922" s="369"/>
      <c r="D922" s="1">
        <f>IF(OR(G922&lt;0,G922=""),1,0)</f>
        <v>0</v>
      </c>
      <c r="E922" s="489" t="s">
        <v>136</v>
      </c>
      <c r="F922" s="466" t="s">
        <v>19</v>
      </c>
      <c r="G922" s="722">
        <v>0.10025000000000001</v>
      </c>
      <c r="H922" s="291"/>
      <c r="I922" s="12" t="s">
        <v>12</v>
      </c>
      <c r="J922" s="403"/>
      <c r="K922" s="15"/>
      <c r="L922" s="298"/>
      <c r="M922" s="15"/>
      <c r="N922" s="15"/>
      <c r="O922" s="532" t="s">
        <v>137</v>
      </c>
      <c r="P922" s="533"/>
      <c r="Q922" s="534"/>
      <c r="R922" s="15"/>
      <c r="S922" s="15"/>
      <c r="T922" s="15"/>
      <c r="U922" s="1"/>
      <c r="V922" s="1"/>
      <c r="W922" s="1"/>
      <c r="X922" s="1"/>
      <c r="Y922" s="1"/>
      <c r="Z922" s="1"/>
      <c r="AA922" s="1"/>
      <c r="AB922" s="246"/>
    </row>
    <row r="923" spans="2:28" ht="15.75">
      <c r="B923" s="11"/>
      <c r="C923" s="1"/>
      <c r="D923" s="1"/>
      <c r="E923" s="449" t="s">
        <v>138</v>
      </c>
      <c r="F923" s="450" t="s">
        <v>19</v>
      </c>
      <c r="G923" s="681"/>
      <c r="H923" s="1"/>
      <c r="I923" s="12" t="s">
        <v>12</v>
      </c>
      <c r="J923" s="246"/>
      <c r="K923" s="15"/>
      <c r="L923" s="298"/>
      <c r="M923" s="374"/>
      <c r="N923" s="15"/>
      <c r="O923" s="535" t="s">
        <v>139</v>
      </c>
      <c r="P923" s="23"/>
      <c r="Q923" s="511" t="s">
        <v>140</v>
      </c>
      <c r="R923" s="15"/>
      <c r="S923" s="12" t="s">
        <v>12</v>
      </c>
      <c r="T923" s="15"/>
      <c r="U923" s="15"/>
      <c r="V923" s="1"/>
      <c r="W923" s="1"/>
      <c r="X923" s="1"/>
      <c r="Y923" s="1"/>
      <c r="Z923" s="1"/>
      <c r="AA923" s="1"/>
      <c r="AB923" s="246"/>
    </row>
    <row r="924" spans="2:28" ht="16.5" thickBot="1">
      <c r="B924" s="11"/>
      <c r="C924" s="369"/>
      <c r="D924" s="1"/>
      <c r="E924" s="486" t="s">
        <v>141</v>
      </c>
      <c r="F924" s="466" t="s">
        <v>47</v>
      </c>
      <c r="G924" s="490">
        <v>0</v>
      </c>
      <c r="H924" s="288"/>
      <c r="I924" s="12" t="s">
        <v>12</v>
      </c>
      <c r="J924" s="246"/>
      <c r="K924" s="15"/>
      <c r="L924" s="298"/>
      <c r="M924" s="375"/>
      <c r="N924" s="15"/>
      <c r="O924" s="465" t="s">
        <v>142</v>
      </c>
      <c r="P924" s="456" t="s">
        <v>47</v>
      </c>
      <c r="Q924" s="588">
        <v>0</v>
      </c>
      <c r="R924" s="15"/>
      <c r="S924" s="12" t="s">
        <v>12</v>
      </c>
      <c r="T924" s="15"/>
      <c r="U924" s="385"/>
      <c r="V924" s="1"/>
      <c r="W924" s="1"/>
      <c r="X924" s="1"/>
      <c r="Y924" s="1"/>
      <c r="Z924" s="1"/>
      <c r="AA924" s="1"/>
      <c r="AB924" s="246"/>
    </row>
    <row r="925" spans="2:28" ht="16.5" thickBot="1">
      <c r="B925" s="11"/>
      <c r="C925" s="1"/>
      <c r="D925" s="1"/>
      <c r="E925" s="1"/>
      <c r="F925" s="1"/>
      <c r="G925" s="1"/>
      <c r="H925" s="1"/>
      <c r="I925" s="1"/>
      <c r="J925" s="246"/>
      <c r="K925" s="15"/>
      <c r="L925" s="298"/>
      <c r="M925" s="1"/>
      <c r="N925" s="1"/>
      <c r="O925" s="1"/>
      <c r="P925" s="1"/>
      <c r="Q925" s="1"/>
      <c r="R925" s="1"/>
      <c r="S925" s="1"/>
      <c r="T925" s="1"/>
      <c r="U925" s="385"/>
      <c r="V925" s="1"/>
      <c r="W925" s="1"/>
      <c r="X925" s="1"/>
      <c r="Y925" s="1"/>
      <c r="Z925" s="1"/>
      <c r="AA925" s="1"/>
      <c r="AB925" s="246"/>
    </row>
    <row r="926" spans="2:28" ht="16.5" thickBot="1">
      <c r="B926" s="298"/>
      <c r="C926" s="1"/>
      <c r="D926" s="1"/>
      <c r="E926" s="314" t="s">
        <v>143</v>
      </c>
      <c r="F926" s="22"/>
      <c r="G926" s="315"/>
      <c r="H926" s="1"/>
      <c r="I926" s="1"/>
      <c r="J926" s="246"/>
      <c r="K926" s="1"/>
      <c r="L926" s="298"/>
      <c r="M926" s="15"/>
      <c r="N926" s="15"/>
      <c r="O926" s="5" t="s">
        <v>144</v>
      </c>
      <c r="P926" s="347" t="s">
        <v>6</v>
      </c>
      <c r="Q926" s="411" t="s">
        <v>7</v>
      </c>
      <c r="R926" s="15"/>
      <c r="S926" s="15"/>
      <c r="T926" s="15"/>
      <c r="U926" s="378"/>
      <c r="V926" s="1"/>
      <c r="W926" s="1"/>
      <c r="X926" s="1"/>
      <c r="Y926" s="1"/>
      <c r="Z926" s="1"/>
      <c r="AA926" s="1"/>
      <c r="AB926" s="246"/>
    </row>
    <row r="927" spans="2:28" ht="15.75">
      <c r="B927" s="298"/>
      <c r="C927" s="1"/>
      <c r="D927" s="1"/>
      <c r="E927" s="449" t="s">
        <v>145</v>
      </c>
      <c r="F927" s="574"/>
      <c r="G927" s="491"/>
      <c r="H927" s="1"/>
      <c r="I927" s="12" t="s">
        <v>12</v>
      </c>
      <c r="J927" s="246"/>
      <c r="K927" s="15"/>
      <c r="L927" s="298"/>
      <c r="M927" s="15"/>
      <c r="N927" s="15"/>
      <c r="O927" s="536" t="s">
        <v>146</v>
      </c>
      <c r="P927" s="527"/>
      <c r="Q927" s="528"/>
      <c r="R927" s="15"/>
      <c r="S927" s="15"/>
      <c r="T927" s="15"/>
      <c r="U927" s="15"/>
      <c r="V927" s="1"/>
      <c r="W927" s="1"/>
      <c r="X927" s="1"/>
      <c r="Y927" s="1"/>
      <c r="Z927" s="1"/>
      <c r="AA927" s="1"/>
      <c r="AB927" s="246"/>
    </row>
    <row r="928" spans="2:28" ht="15.75">
      <c r="B928" s="298"/>
      <c r="C928" s="1"/>
      <c r="D928" s="1"/>
      <c r="E928" s="451" t="s">
        <v>147</v>
      </c>
      <c r="F928" s="573"/>
      <c r="G928" s="467"/>
      <c r="H928" s="1"/>
      <c r="I928" s="12" t="s">
        <v>12</v>
      </c>
      <c r="J928" s="246"/>
      <c r="K928" s="1"/>
      <c r="L928" s="298"/>
      <c r="M928" s="375"/>
      <c r="N928" s="15"/>
      <c r="O928" s="451" t="s">
        <v>148</v>
      </c>
      <c r="P928" s="7" t="s">
        <v>107</v>
      </c>
      <c r="Q928" s="584">
        <v>0</v>
      </c>
      <c r="R928" s="15"/>
      <c r="S928" s="12" t="s">
        <v>12</v>
      </c>
      <c r="T928" s="15"/>
      <c r="U928" s="15"/>
      <c r="V928" s="1"/>
      <c r="W928" s="1"/>
      <c r="X928" s="1"/>
      <c r="Y928" s="1"/>
      <c r="Z928" s="1"/>
      <c r="AA928" s="1"/>
      <c r="AB928" s="246"/>
    </row>
    <row r="929" spans="2:28" ht="16.5" thickBot="1">
      <c r="B929" s="11"/>
      <c r="C929" s="1"/>
      <c r="D929" s="1"/>
      <c r="E929" s="492" t="s">
        <v>149</v>
      </c>
      <c r="F929" s="575"/>
      <c r="G929" s="493"/>
      <c r="H929" s="1"/>
      <c r="I929" s="12" t="s">
        <v>12</v>
      </c>
      <c r="J929" s="246"/>
      <c r="K929" s="1"/>
      <c r="L929" s="298"/>
      <c r="M929" s="15"/>
      <c r="N929" s="15"/>
      <c r="O929" s="455" t="s">
        <v>150</v>
      </c>
      <c r="P929" s="466" t="s">
        <v>47</v>
      </c>
      <c r="Q929" s="537"/>
      <c r="R929" s="15"/>
      <c r="S929" s="12" t="s">
        <v>12</v>
      </c>
      <c r="T929" s="15"/>
      <c r="U929" s="15"/>
      <c r="V929" s="1"/>
      <c r="W929" s="1"/>
      <c r="X929" s="1"/>
      <c r="Y929" s="1"/>
      <c r="Z929" s="1"/>
      <c r="AA929" s="1"/>
      <c r="AB929" s="246"/>
    </row>
    <row r="930" spans="2:28" ht="17.25" thickTop="1" thickBot="1">
      <c r="B930" s="298"/>
      <c r="C930" s="1"/>
      <c r="D930" s="1"/>
      <c r="E930" s="494" t="s">
        <v>44</v>
      </c>
      <c r="F930" s="462" t="s">
        <v>47</v>
      </c>
      <c r="G930" s="495"/>
      <c r="H930" s="1"/>
      <c r="I930" s="12" t="s">
        <v>12</v>
      </c>
      <c r="J930" s="246"/>
      <c r="K930" s="1"/>
      <c r="L930" s="298"/>
      <c r="M930" s="15"/>
      <c r="N930" s="15"/>
      <c r="O930" s="536" t="s">
        <v>151</v>
      </c>
      <c r="P930" s="527"/>
      <c r="Q930" s="538"/>
      <c r="R930" s="15"/>
      <c r="S930" s="15"/>
      <c r="T930" s="15"/>
      <c r="U930" s="15"/>
      <c r="V930" s="1"/>
      <c r="W930" s="1"/>
      <c r="X930" s="1"/>
      <c r="Y930" s="1"/>
      <c r="Z930" s="1"/>
      <c r="AA930" s="1"/>
      <c r="AB930" s="246"/>
    </row>
    <row r="931" spans="2:28" ht="16.5" thickBot="1">
      <c r="B931" s="11"/>
      <c r="C931" s="1"/>
      <c r="D931" s="1"/>
      <c r="E931" s="1"/>
      <c r="F931" s="1"/>
      <c r="G931" s="1"/>
      <c r="H931" s="1"/>
      <c r="I931" s="1"/>
      <c r="J931" s="246"/>
      <c r="K931" s="1"/>
      <c r="L931" s="298"/>
      <c r="M931" s="375"/>
      <c r="N931" s="15"/>
      <c r="O931" s="474" t="s">
        <v>152</v>
      </c>
      <c r="P931" s="7" t="s">
        <v>107</v>
      </c>
      <c r="Q931" s="584">
        <v>0</v>
      </c>
      <c r="R931" s="15"/>
      <c r="S931" s="12" t="s">
        <v>12</v>
      </c>
      <c r="T931" s="15"/>
      <c r="U931" s="1"/>
      <c r="V931" s="1"/>
      <c r="W931" s="1"/>
      <c r="X931" s="1"/>
      <c r="Y931" s="1"/>
      <c r="Z931" s="1"/>
      <c r="AA931" s="1"/>
      <c r="AB931" s="246"/>
    </row>
    <row r="932" spans="2:28" ht="16.5" thickBot="1">
      <c r="B932" s="11"/>
      <c r="C932" s="1"/>
      <c r="D932" s="1"/>
      <c r="E932" s="5" t="s">
        <v>153</v>
      </c>
      <c r="F932" s="347" t="s">
        <v>6</v>
      </c>
      <c r="G932" s="411" t="s">
        <v>7</v>
      </c>
      <c r="H932" s="293"/>
      <c r="I932" s="17"/>
      <c r="J932" s="246"/>
      <c r="K932" s="1"/>
      <c r="L932" s="298"/>
      <c r="M932" s="15"/>
      <c r="N932" s="15"/>
      <c r="O932" s="465" t="s">
        <v>154</v>
      </c>
      <c r="P932" s="466" t="s">
        <v>47</v>
      </c>
      <c r="Q932" s="537"/>
      <c r="R932" s="15"/>
      <c r="S932" s="12" t="s">
        <v>12</v>
      </c>
      <c r="T932" s="15"/>
      <c r="U932" s="15"/>
      <c r="V932" s="1"/>
      <c r="W932" s="1"/>
      <c r="X932" s="1"/>
      <c r="Y932" s="1"/>
      <c r="Z932" s="1"/>
      <c r="AA932" s="1"/>
      <c r="AB932" s="246"/>
    </row>
    <row r="933" spans="2:28" ht="16.5" thickBot="1">
      <c r="B933" s="11"/>
      <c r="C933" s="373"/>
      <c r="D933" s="1"/>
      <c r="E933" s="438" t="s">
        <v>155</v>
      </c>
      <c r="F933" s="525"/>
      <c r="G933" s="547" t="s">
        <v>83</v>
      </c>
      <c r="H933" s="282"/>
      <c r="I933" s="12" t="s">
        <v>12</v>
      </c>
      <c r="J933" s="246"/>
      <c r="K933" s="1"/>
      <c r="L933" s="298"/>
      <c r="M933" s="375"/>
      <c r="N933" s="15"/>
      <c r="O933" s="540" t="s">
        <v>156</v>
      </c>
      <c r="P933" s="439" t="s">
        <v>19</v>
      </c>
      <c r="Q933" s="539">
        <v>0.02</v>
      </c>
      <c r="R933" s="15"/>
      <c r="S933" s="12" t="s">
        <v>12</v>
      </c>
      <c r="T933" s="15"/>
      <c r="U933" s="1"/>
      <c r="V933" s="1"/>
      <c r="W933" s="1"/>
      <c r="X933" s="1"/>
      <c r="Y933" s="1"/>
      <c r="Z933" s="1"/>
      <c r="AA933" s="1"/>
      <c r="AB933" s="246"/>
    </row>
    <row r="934" spans="2:28" ht="16.5" thickBot="1">
      <c r="B934" s="11"/>
      <c r="C934" s="369"/>
      <c r="D934" s="1">
        <f>IF(OR(G934&lt;0,G934=""),1,0)</f>
        <v>0</v>
      </c>
      <c r="E934" s="458" t="s">
        <v>157</v>
      </c>
      <c r="F934" s="450" t="s">
        <v>19</v>
      </c>
      <c r="G934" s="548">
        <v>0.21</v>
      </c>
      <c r="H934" s="270"/>
      <c r="I934" s="12" t="s">
        <v>12</v>
      </c>
      <c r="J934" s="403"/>
      <c r="K934" s="1"/>
      <c r="L934" s="11"/>
      <c r="M934" s="1"/>
      <c r="N934" s="1"/>
      <c r="O934" s="1"/>
      <c r="P934" s="1"/>
      <c r="Q934" s="1"/>
      <c r="R934" s="1"/>
      <c r="S934" s="1"/>
      <c r="T934" s="1"/>
      <c r="U934" s="1"/>
      <c r="V934" s="1"/>
      <c r="W934" s="1"/>
      <c r="X934" s="1"/>
      <c r="Y934" s="1"/>
      <c r="Z934" s="1"/>
      <c r="AA934" s="1"/>
      <c r="AB934" s="246"/>
    </row>
    <row r="935" spans="2:28" ht="16.5" thickBot="1">
      <c r="B935" s="11"/>
      <c r="C935" s="373"/>
      <c r="D935" s="1"/>
      <c r="E935" s="513" t="s">
        <v>75</v>
      </c>
      <c r="F935" s="549"/>
      <c r="G935" s="517" t="s">
        <v>76</v>
      </c>
      <c r="H935" s="282"/>
      <c r="I935" s="12" t="s">
        <v>12</v>
      </c>
      <c r="J935" s="246"/>
      <c r="K935" s="1"/>
      <c r="L935" s="11"/>
      <c r="M935" s="15"/>
      <c r="N935" s="15"/>
      <c r="O935" s="348" t="s">
        <v>158</v>
      </c>
      <c r="P935" s="432" t="s">
        <v>159</v>
      </c>
      <c r="Q935" s="432"/>
      <c r="R935" s="432"/>
      <c r="S935" s="432"/>
      <c r="T935" s="432"/>
      <c r="U935" s="432"/>
      <c r="V935" s="432"/>
      <c r="W935" s="432"/>
      <c r="X935" s="432"/>
      <c r="Y935" s="432"/>
      <c r="Z935" s="315"/>
      <c r="AA935" s="1"/>
      <c r="AB935" s="246"/>
    </row>
    <row r="936" spans="2:28" ht="15.75">
      <c r="B936" s="11"/>
      <c r="C936" s="369"/>
      <c r="D936" s="1">
        <f>IF(OR(G936&lt;0,G936=""),1,0)</f>
        <v>0</v>
      </c>
      <c r="E936" s="458" t="s">
        <v>160</v>
      </c>
      <c r="F936" s="450" t="s">
        <v>19</v>
      </c>
      <c r="G936" s="682">
        <v>0.09</v>
      </c>
      <c r="H936" s="270"/>
      <c r="I936" s="12" t="s">
        <v>12</v>
      </c>
      <c r="J936" s="403"/>
      <c r="K936" s="1"/>
      <c r="L936" s="11"/>
      <c r="M936" s="373"/>
      <c r="N936" s="15"/>
      <c r="O936" s="515" t="s">
        <v>161</v>
      </c>
      <c r="P936" s="496" t="str">
        <f>[2]Input_Dashboard!$D$141</f>
        <v>No</v>
      </c>
      <c r="Q936" s="1"/>
      <c r="R936" s="1"/>
      <c r="S936" s="419" t="s">
        <v>12</v>
      </c>
      <c r="T936" s="1"/>
      <c r="U936" s="1"/>
      <c r="V936" s="1"/>
      <c r="W936" s="1"/>
      <c r="X936" s="1"/>
      <c r="Y936" s="1"/>
      <c r="Z936" s="246"/>
      <c r="AA936" s="1"/>
      <c r="AB936" s="246"/>
    </row>
    <row r="937" spans="2:28" ht="16.5" thickBot="1">
      <c r="B937" s="11"/>
      <c r="C937" s="373"/>
      <c r="D937" s="1"/>
      <c r="E937" s="513" t="s">
        <v>162</v>
      </c>
      <c r="F937" s="549"/>
      <c r="G937" s="517" t="s">
        <v>76</v>
      </c>
      <c r="H937" s="282"/>
      <c r="I937" s="12" t="s">
        <v>12</v>
      </c>
      <c r="J937" s="403"/>
      <c r="K937" s="1"/>
      <c r="L937" s="11"/>
      <c r="M937" s="375"/>
      <c r="N937" s="1"/>
      <c r="O937" s="455" t="s">
        <v>163</v>
      </c>
      <c r="P937" s="683">
        <f>[2]Input_Dashboard!D1002</f>
        <v>0</v>
      </c>
      <c r="Q937" s="1"/>
      <c r="R937" s="1"/>
      <c r="S937" s="12" t="s">
        <v>12</v>
      </c>
      <c r="T937" s="1"/>
      <c r="U937" s="1"/>
      <c r="V937" s="1"/>
      <c r="W937" s="1"/>
      <c r="X937" s="1"/>
      <c r="Y937" s="1"/>
      <c r="Z937" s="246"/>
      <c r="AA937" s="1"/>
      <c r="AB937" s="246"/>
    </row>
    <row r="938" spans="2:28" ht="16.5" thickBot="1">
      <c r="B938" s="11"/>
      <c r="C938" s="1"/>
      <c r="D938" s="1"/>
      <c r="E938" s="550" t="s">
        <v>164</v>
      </c>
      <c r="F938" s="551" t="s">
        <v>19</v>
      </c>
      <c r="G938" s="552"/>
      <c r="H938" s="295"/>
      <c r="I938" s="12" t="s">
        <v>12</v>
      </c>
      <c r="J938" s="403"/>
      <c r="K938" s="1"/>
      <c r="L938" s="11"/>
      <c r="M938" s="1"/>
      <c r="N938" s="1"/>
      <c r="O938" s="296"/>
      <c r="P938" s="40"/>
      <c r="Q938" s="40"/>
      <c r="R938" s="40"/>
      <c r="S938" s="40"/>
      <c r="T938" s="40"/>
      <c r="U938" s="40"/>
      <c r="V938" s="40"/>
      <c r="W938" s="40"/>
      <c r="X938" s="40"/>
      <c r="Y938" s="40"/>
      <c r="Z938" s="305"/>
      <c r="AA938" s="1"/>
      <c r="AB938" s="246"/>
    </row>
    <row r="939" spans="2:28" ht="16.5" thickBot="1">
      <c r="B939" s="11"/>
      <c r="C939" s="1"/>
      <c r="D939" s="1"/>
      <c r="E939" s="455" t="s">
        <v>158</v>
      </c>
      <c r="F939" s="498"/>
      <c r="G939" s="499" t="s">
        <v>165</v>
      </c>
      <c r="H939" s="55"/>
      <c r="I939" s="12" t="s">
        <v>12</v>
      </c>
      <c r="J939" s="246"/>
      <c r="K939" s="1"/>
      <c r="L939" s="11"/>
      <c r="M939" s="15"/>
      <c r="N939" s="15"/>
      <c r="O939" s="542" t="s">
        <v>166</v>
      </c>
      <c r="P939" s="543" t="s">
        <v>167</v>
      </c>
      <c r="Q939" s="648" t="s">
        <v>168</v>
      </c>
      <c r="R939" s="775" t="s">
        <v>169</v>
      </c>
      <c r="S939" s="776"/>
      <c r="T939" s="777"/>
      <c r="U939" s="543" t="s">
        <v>170</v>
      </c>
      <c r="V939" s="543" t="s">
        <v>171</v>
      </c>
      <c r="W939" s="543" t="s">
        <v>172</v>
      </c>
      <c r="X939" s="543" t="s">
        <v>173</v>
      </c>
      <c r="Y939" s="543" t="s">
        <v>174</v>
      </c>
      <c r="Z939" s="544" t="s">
        <v>175</v>
      </c>
      <c r="AA939" s="1"/>
      <c r="AB939" s="246"/>
    </row>
    <row r="940" spans="2:28" ht="16.5" thickBot="1">
      <c r="B940" s="11"/>
      <c r="C940" s="1"/>
      <c r="D940" s="1"/>
      <c r="E940" s="1"/>
      <c r="F940" s="1"/>
      <c r="G940" s="1"/>
      <c r="H940" s="1"/>
      <c r="I940" s="1"/>
      <c r="J940" s="246"/>
      <c r="K940" s="1"/>
      <c r="L940" s="11">
        <f>IF(AND($G$73="Yes",$G$15="Simple"),1,0)</f>
        <v>0</v>
      </c>
      <c r="M940" s="15"/>
      <c r="N940" s="230">
        <f>IF(AND($G$15="Simple",SUM(P940:Z940)=1),1,IF(AND($G$15="Simple",SUM(P940:Z940)&lt;&gt;1),2,0))</f>
        <v>0</v>
      </c>
      <c r="O940" s="545" t="str">
        <f t="shared" ref="O940:O945" si="10">E876</f>
        <v>Total Installed Cost</v>
      </c>
      <c r="P940" s="590">
        <v>0.94</v>
      </c>
      <c r="Q940" s="649">
        <v>0</v>
      </c>
      <c r="R940" s="778">
        <v>1.4999999999999999E-2</v>
      </c>
      <c r="S940" s="779"/>
      <c r="T940" s="780"/>
      <c r="U940" s="590">
        <v>0.01</v>
      </c>
      <c r="V940" s="590">
        <v>0</v>
      </c>
      <c r="W940" s="590">
        <v>0</v>
      </c>
      <c r="X940" s="590">
        <v>0.01</v>
      </c>
      <c r="Y940" s="590">
        <v>0</v>
      </c>
      <c r="Z940" s="593">
        <v>2.5000000000000001E-2</v>
      </c>
      <c r="AA940" s="1"/>
      <c r="AB940" s="294" t="s">
        <v>12</v>
      </c>
    </row>
    <row r="941" spans="2:28" ht="16.5" thickBot="1">
      <c r="B941" s="296"/>
      <c r="C941" s="40"/>
      <c r="D941" s="40"/>
      <c r="E941" s="40"/>
      <c r="F941" s="40"/>
      <c r="G941" s="40"/>
      <c r="H941" s="40"/>
      <c r="I941" s="40"/>
      <c r="J941" s="305"/>
      <c r="K941" s="1"/>
      <c r="L941" s="11">
        <f>IF(AND($G$73="Yes",$G$15="Intermediate"),1,0)</f>
        <v>1</v>
      </c>
      <c r="M941" s="15"/>
      <c r="N941" s="230">
        <f>IF(AND($G$15="Intermediate",SUM(P941:Z941)=1),1,IF(AND($G$15="Intermediate",SUM(P941:Z941)&lt;&gt;1),2,0))</f>
        <v>1</v>
      </c>
      <c r="O941" s="595" t="str">
        <f t="shared" si="10"/>
        <v>Generation Equipment</v>
      </c>
      <c r="P941" s="723">
        <v>0.96</v>
      </c>
      <c r="Q941" s="724">
        <v>0</v>
      </c>
      <c r="R941" s="781">
        <v>0.02</v>
      </c>
      <c r="S941" s="782"/>
      <c r="T941" s="783"/>
      <c r="U941" s="725">
        <v>0</v>
      </c>
      <c r="V941" s="725">
        <v>0</v>
      </c>
      <c r="W941" s="725">
        <v>0</v>
      </c>
      <c r="X941" s="725">
        <v>0.02</v>
      </c>
      <c r="Y941" s="725">
        <v>0</v>
      </c>
      <c r="Z941" s="726">
        <v>0</v>
      </c>
      <c r="AA941" s="1"/>
      <c r="AB941" s="294" t="s">
        <v>12</v>
      </c>
    </row>
    <row r="942" spans="2:28" ht="15.75">
      <c r="B942" s="1"/>
      <c r="C942" s="1"/>
      <c r="D942" s="1"/>
      <c r="E942" s="1"/>
      <c r="F942" s="1"/>
      <c r="G942" s="1"/>
      <c r="H942" s="1"/>
      <c r="I942" s="1"/>
      <c r="J942" s="1"/>
      <c r="K942" s="1"/>
      <c r="L942" s="11">
        <f>IF(AND($G$73="Yes",$G$15="Intermediate"),1,0)</f>
        <v>1</v>
      </c>
      <c r="M942" s="15"/>
      <c r="N942" s="230">
        <f>IF(AND($G$15="Intermediate",SUM(P942:Z942)=1),1,IF(AND($G$15="Intermediate",SUM(P942:Z942)&lt;&gt;1),2,0))</f>
        <v>1</v>
      </c>
      <c r="O942" s="596" t="str">
        <f t="shared" si="10"/>
        <v>Balance of Plant</v>
      </c>
      <c r="P942" s="723">
        <v>0.5</v>
      </c>
      <c r="Q942" s="724">
        <v>0</v>
      </c>
      <c r="R942" s="784">
        <v>0</v>
      </c>
      <c r="S942" s="785"/>
      <c r="T942" s="786"/>
      <c r="U942" s="724">
        <v>0</v>
      </c>
      <c r="V942" s="724">
        <v>0</v>
      </c>
      <c r="W942" s="724">
        <v>0.5</v>
      </c>
      <c r="X942" s="724">
        <v>0</v>
      </c>
      <c r="Y942" s="724">
        <v>0</v>
      </c>
      <c r="Z942" s="727">
        <v>0</v>
      </c>
      <c r="AA942" s="1"/>
      <c r="AB942" s="294" t="s">
        <v>12</v>
      </c>
    </row>
    <row r="943" spans="2:28" ht="15.75">
      <c r="B943" s="1"/>
      <c r="C943" s="1"/>
      <c r="D943" s="1"/>
      <c r="E943" s="1"/>
      <c r="F943" s="1"/>
      <c r="G943" s="1"/>
      <c r="H943" s="1"/>
      <c r="I943" s="1"/>
      <c r="J943" s="1"/>
      <c r="K943" s="1"/>
      <c r="L943" s="11">
        <f>IF(AND($G$73="Yes",$G$15="Intermediate"),1,0)</f>
        <v>1</v>
      </c>
      <c r="M943" s="15"/>
      <c r="N943" s="230">
        <f>IF(AND($G$15="Intermediate",SUM(P943:Z943)=1),1,IF(AND($G$15="Intermediate",SUM(P943:Z943)&lt;&gt;1),2,0))</f>
        <v>1</v>
      </c>
      <c r="O943" s="596" t="str">
        <f t="shared" si="10"/>
        <v>Interconnection</v>
      </c>
      <c r="P943" s="723">
        <v>0</v>
      </c>
      <c r="Q943" s="724">
        <v>0</v>
      </c>
      <c r="R943" s="784">
        <v>0</v>
      </c>
      <c r="S943" s="785"/>
      <c r="T943" s="786"/>
      <c r="U943" s="724">
        <v>0</v>
      </c>
      <c r="V943" s="724">
        <v>0</v>
      </c>
      <c r="W943" s="724">
        <v>1</v>
      </c>
      <c r="X943" s="724">
        <v>0</v>
      </c>
      <c r="Y943" s="724">
        <v>0</v>
      </c>
      <c r="Z943" s="727">
        <v>0</v>
      </c>
      <c r="AA943" s="1"/>
      <c r="AB943" s="294" t="s">
        <v>12</v>
      </c>
    </row>
    <row r="944" spans="2:28" ht="15.75">
      <c r="B944" s="1"/>
      <c r="C944" s="1"/>
      <c r="D944" s="1"/>
      <c r="E944" s="1"/>
      <c r="F944" s="1"/>
      <c r="G944" s="1"/>
      <c r="H944" s="1"/>
      <c r="I944" s="1"/>
      <c r="J944" s="1"/>
      <c r="K944" s="1"/>
      <c r="L944" s="11">
        <f>IF(AND($G$73="Yes",$G$15="Intermediate"),1,0)</f>
        <v>1</v>
      </c>
      <c r="M944" s="15"/>
      <c r="N944" s="230">
        <f>IF(AND($G$15="Intermediate",SUM(P944:Z944)=1),1,IF(AND($G$15="Intermediate",SUM(P944:Z944)&lt;&gt;1),2,0))</f>
        <v>1</v>
      </c>
      <c r="O944" s="596" t="str">
        <f t="shared" si="10"/>
        <v>Development Costs &amp; Fee</v>
      </c>
      <c r="P944" s="723">
        <v>0.8</v>
      </c>
      <c r="Q944" s="724">
        <v>0</v>
      </c>
      <c r="R944" s="784">
        <v>0</v>
      </c>
      <c r="S944" s="785"/>
      <c r="T944" s="786"/>
      <c r="U944" s="724">
        <v>0</v>
      </c>
      <c r="V944" s="724">
        <v>0</v>
      </c>
      <c r="W944" s="724">
        <v>0.05</v>
      </c>
      <c r="X944" s="724">
        <v>0.05</v>
      </c>
      <c r="Y944" s="724">
        <v>0</v>
      </c>
      <c r="Z944" s="727">
        <v>0.1</v>
      </c>
      <c r="AA944" s="1"/>
      <c r="AB944" s="294" t="s">
        <v>12</v>
      </c>
    </row>
    <row r="945" spans="2:28" ht="16.5" thickBot="1">
      <c r="B945" s="1"/>
      <c r="C945" s="1"/>
      <c r="D945" s="1"/>
      <c r="E945" s="1"/>
      <c r="F945" s="1"/>
      <c r="G945" s="1"/>
      <c r="H945" s="1"/>
      <c r="I945" s="1"/>
      <c r="J945" s="1"/>
      <c r="K945" s="1"/>
      <c r="L945" s="11">
        <f>IF(AND($G$73="Yes",$G$15="Intermediate"),1,0)</f>
        <v>1</v>
      </c>
      <c r="M945" s="15"/>
      <c r="N945" s="230">
        <f>IF(AND($G$15="Intermediate",SUM(P945:Z945)=1),1,IF(AND($G$15="Intermediate",SUM(P945:Z945)&lt;&gt;1),2,0))</f>
        <v>1</v>
      </c>
      <c r="O945" s="597" t="str">
        <f t="shared" si="10"/>
        <v>Reserves &amp; Financing Costs</v>
      </c>
      <c r="P945" s="728">
        <v>0</v>
      </c>
      <c r="Q945" s="729">
        <v>0</v>
      </c>
      <c r="R945" s="766">
        <v>0</v>
      </c>
      <c r="S945" s="767"/>
      <c r="T945" s="768"/>
      <c r="U945" s="729">
        <v>0</v>
      </c>
      <c r="V945" s="729">
        <v>0</v>
      </c>
      <c r="W945" s="729">
        <v>0</v>
      </c>
      <c r="X945" s="729">
        <v>0.5</v>
      </c>
      <c r="Y945" s="729">
        <v>0</v>
      </c>
      <c r="Z945" s="730">
        <v>0.5</v>
      </c>
      <c r="AA945" s="1"/>
      <c r="AB945" s="294" t="s">
        <v>12</v>
      </c>
    </row>
    <row r="946" spans="2:28" ht="16.5" thickBot="1">
      <c r="B946" s="1"/>
      <c r="C946" s="1"/>
      <c r="D946" s="1"/>
      <c r="E946" s="1"/>
      <c r="F946" s="1"/>
      <c r="G946" s="1"/>
      <c r="H946" s="1"/>
      <c r="I946" s="1"/>
      <c r="J946" s="1"/>
      <c r="K946" s="1"/>
      <c r="L946" s="296">
        <f>IF(AND($G$73="Yes",$G$15="Complex"),1,0)</f>
        <v>0</v>
      </c>
      <c r="M946" s="647"/>
      <c r="N946" s="647"/>
      <c r="O946" s="546" t="s">
        <v>176</v>
      </c>
      <c r="P946" s="591"/>
      <c r="Q946" s="592"/>
      <c r="R946" s="769"/>
      <c r="S946" s="770"/>
      <c r="T946" s="771"/>
      <c r="U946" s="591"/>
      <c r="V946" s="591"/>
      <c r="W946" s="591"/>
      <c r="X946" s="591"/>
      <c r="Y946" s="591"/>
      <c r="Z946" s="594"/>
      <c r="AA946" s="40"/>
      <c r="AB946" s="421" t="s">
        <v>12</v>
      </c>
    </row>
    <row r="948" spans="2:28" ht="36.75" thickBot="1">
      <c r="E948" s="731" t="s">
        <v>188</v>
      </c>
    </row>
    <row r="949" spans="2:28" ht="18.75" thickBot="1">
      <c r="B949" s="413"/>
      <c r="C949" s="772" t="s">
        <v>1</v>
      </c>
      <c r="D949" s="772"/>
      <c r="E949" s="772"/>
      <c r="F949" s="772"/>
      <c r="G949" s="772"/>
      <c r="H949" s="772"/>
      <c r="I949" s="772"/>
      <c r="J949" s="772"/>
      <c r="K949" s="772"/>
      <c r="L949" s="773"/>
      <c r="M949" s="773"/>
      <c r="N949" s="773"/>
      <c r="O949" s="773"/>
      <c r="P949" s="773"/>
      <c r="Q949" s="773"/>
      <c r="R949" s="773"/>
      <c r="S949" s="773"/>
      <c r="T949" s="773"/>
      <c r="U949" s="328"/>
      <c r="V949" s="329"/>
      <c r="W949" s="329"/>
      <c r="X949" s="329"/>
      <c r="Y949" s="329"/>
      <c r="Z949" s="329"/>
      <c r="AA949" s="329"/>
      <c r="AB949" s="330"/>
    </row>
    <row r="950" spans="2:28" ht="18">
      <c r="B950" s="11"/>
      <c r="C950" s="266"/>
      <c r="D950" s="266"/>
      <c r="E950" s="266"/>
      <c r="F950" s="266"/>
      <c r="G950" s="266"/>
      <c r="H950" s="266"/>
      <c r="I950" s="266"/>
      <c r="J950" s="266"/>
      <c r="K950" s="341"/>
      <c r="L950" s="265"/>
      <c r="M950" s="266"/>
      <c r="N950" s="266"/>
      <c r="O950" s="266"/>
      <c r="P950" s="266"/>
      <c r="Q950" s="266"/>
      <c r="R950" s="266"/>
      <c r="S950" s="266"/>
      <c r="T950" s="266"/>
      <c r="U950" s="266"/>
      <c r="V950" s="267"/>
      <c r="W950" s="267"/>
      <c r="X950" s="267"/>
      <c r="Y950" s="267"/>
      <c r="Z950" s="267"/>
      <c r="AA950" s="267"/>
      <c r="AB950" s="297"/>
    </row>
    <row r="951" spans="2:28" ht="18.75" thickBot="1">
      <c r="B951" s="11"/>
      <c r="C951" s="401" t="s">
        <v>2</v>
      </c>
      <c r="D951" s="14"/>
      <c r="E951" s="1"/>
      <c r="F951" s="15"/>
      <c r="G951" s="1"/>
      <c r="H951" s="392"/>
      <c r="I951" s="414" t="s">
        <v>3</v>
      </c>
      <c r="J951" s="1"/>
      <c r="K951" s="342"/>
      <c r="L951" s="298"/>
      <c r="M951" s="401" t="s">
        <v>2</v>
      </c>
      <c r="N951" s="15"/>
      <c r="O951" s="774" t="s">
        <v>4</v>
      </c>
      <c r="P951" s="774"/>
      <c r="Q951" s="420"/>
      <c r="R951" s="15"/>
      <c r="S951" s="401" t="s">
        <v>3</v>
      </c>
      <c r="T951" s="393"/>
      <c r="U951" s="14"/>
      <c r="V951" s="1"/>
      <c r="W951" s="1"/>
      <c r="X951" s="1"/>
      <c r="Y951" s="1"/>
      <c r="Z951" s="1"/>
      <c r="AA951" s="1"/>
      <c r="AB951" s="246"/>
    </row>
    <row r="952" spans="2:28" ht="18.75" thickBot="1">
      <c r="B952" s="415"/>
      <c r="C952" s="267"/>
      <c r="D952" s="267"/>
      <c r="E952" s="20"/>
      <c r="F952" s="16"/>
      <c r="G952" s="19"/>
      <c r="H952" s="416"/>
      <c r="I952" s="417"/>
      <c r="J952" s="418"/>
      <c r="K952" s="15"/>
      <c r="L952" s="415"/>
      <c r="M952" s="267"/>
      <c r="N952" s="267"/>
      <c r="O952" s="267"/>
      <c r="P952" s="267"/>
      <c r="Q952" s="267"/>
      <c r="R952" s="267"/>
      <c r="S952" s="267"/>
      <c r="T952" s="267"/>
      <c r="U952" s="267"/>
      <c r="V952" s="267"/>
      <c r="W952" s="267"/>
      <c r="X952" s="267"/>
      <c r="Y952" s="267"/>
      <c r="Z952" s="267"/>
      <c r="AA952" s="267"/>
      <c r="AB952" s="297"/>
    </row>
    <row r="953" spans="2:28" ht="21" thickBot="1">
      <c r="B953" s="11"/>
      <c r="C953" s="1"/>
      <c r="D953" s="1"/>
      <c r="E953" s="2" t="s">
        <v>5</v>
      </c>
      <c r="F953" s="347" t="s">
        <v>6</v>
      </c>
      <c r="G953" s="411" t="s">
        <v>7</v>
      </c>
      <c r="H953" s="57"/>
      <c r="I953" s="17"/>
      <c r="J953" s="402"/>
      <c r="K953" s="15"/>
      <c r="L953" s="11"/>
      <c r="M953" s="1"/>
      <c r="N953" s="1"/>
      <c r="O953" s="2" t="s">
        <v>8</v>
      </c>
      <c r="P953" s="347" t="s">
        <v>6</v>
      </c>
      <c r="Q953" s="411" t="s">
        <v>7</v>
      </c>
      <c r="R953" s="1"/>
      <c r="S953" s="1"/>
      <c r="T953" s="1"/>
      <c r="U953" s="645" t="s">
        <v>9</v>
      </c>
      <c r="V953" s="1"/>
      <c r="W953" s="1"/>
      <c r="X953" s="1"/>
      <c r="Y953" s="1"/>
      <c r="Z953" s="1"/>
      <c r="AA953" s="1"/>
      <c r="AB953" s="246"/>
    </row>
    <row r="954" spans="2:28" ht="15.75">
      <c r="B954" s="11"/>
      <c r="C954" s="317"/>
      <c r="D954" s="1"/>
      <c r="E954" s="458" t="s">
        <v>10</v>
      </c>
      <c r="F954" s="450" t="s">
        <v>11</v>
      </c>
      <c r="G954" s="717">
        <v>20000</v>
      </c>
      <c r="H954" s="269"/>
      <c r="I954" s="12" t="s">
        <v>12</v>
      </c>
      <c r="J954" s="403"/>
      <c r="K954" s="15"/>
      <c r="L954" s="11"/>
      <c r="M954" s="371"/>
      <c r="N954" s="1">
        <f>IF(OR(Q954&lt;=0,Q954&gt;G958),1,0)</f>
        <v>0</v>
      </c>
      <c r="O954" s="458" t="s">
        <v>13</v>
      </c>
      <c r="P954" s="450" t="s">
        <v>14</v>
      </c>
      <c r="Q954" s="667">
        <v>20</v>
      </c>
      <c r="R954" s="272"/>
      <c r="S954" s="12" t="s">
        <v>12</v>
      </c>
      <c r="T954" s="340"/>
      <c r="U954" s="656" t="s">
        <v>15</v>
      </c>
      <c r="V954" s="657" t="s">
        <v>16</v>
      </c>
      <c r="W954" s="658" t="s">
        <v>17</v>
      </c>
      <c r="X954" s="1"/>
      <c r="Y954" s="1"/>
      <c r="Z954" s="1"/>
      <c r="AA954" s="1"/>
      <c r="AB954" s="246"/>
    </row>
    <row r="955" spans="2:28" ht="15.75">
      <c r="B955" s="11"/>
      <c r="C955" s="370"/>
      <c r="D955" s="1">
        <f>IF(OR(G955&lt;=0,G955&gt;1),1,0)</f>
        <v>0</v>
      </c>
      <c r="E955" s="451" t="s">
        <v>18</v>
      </c>
      <c r="F955" s="7" t="s">
        <v>19</v>
      </c>
      <c r="G955" s="472">
        <v>0.151</v>
      </c>
      <c r="H955" s="270"/>
      <c r="I955" s="12" t="s">
        <v>12</v>
      </c>
      <c r="J955" s="403"/>
      <c r="K955" s="15"/>
      <c r="L955" s="11"/>
      <c r="M955" s="317"/>
      <c r="N955" s="1"/>
      <c r="O955" s="451" t="s">
        <v>20</v>
      </c>
      <c r="P955" s="7" t="s">
        <v>19</v>
      </c>
      <c r="Q955" s="472">
        <v>0</v>
      </c>
      <c r="R955" s="270">
        <v>0</v>
      </c>
      <c r="S955" s="12" t="s">
        <v>12</v>
      </c>
      <c r="T955" s="340"/>
      <c r="U955" s="474" t="s">
        <v>21</v>
      </c>
      <c r="V955" s="633" t="s">
        <v>22</v>
      </c>
      <c r="W955" s="646" t="s">
        <v>23</v>
      </c>
      <c r="X955" s="1"/>
      <c r="Y955" s="1"/>
      <c r="Z955" s="1"/>
      <c r="AA955" s="1"/>
      <c r="AB955" s="246"/>
    </row>
    <row r="956" spans="2:28" ht="16.5" thickBot="1">
      <c r="B956" s="11"/>
      <c r="C956" s="285"/>
      <c r="D956" s="1"/>
      <c r="E956" s="451" t="s">
        <v>24</v>
      </c>
      <c r="F956" s="8" t="s">
        <v>25</v>
      </c>
      <c r="G956" s="473"/>
      <c r="H956" s="271"/>
      <c r="I956" s="12" t="s">
        <v>12</v>
      </c>
      <c r="J956" s="403"/>
      <c r="K956" s="15"/>
      <c r="L956" s="11"/>
      <c r="M956" s="316"/>
      <c r="N956" s="1"/>
      <c r="O956" s="461" t="s">
        <v>26</v>
      </c>
      <c r="P956" s="466" t="s">
        <v>19</v>
      </c>
      <c r="Q956" s="472">
        <v>0</v>
      </c>
      <c r="R956" s="270"/>
      <c r="S956" s="12" t="s">
        <v>12</v>
      </c>
      <c r="T956" s="340"/>
      <c r="U956" s="451" t="s">
        <v>27</v>
      </c>
      <c r="V956" s="633" t="s">
        <v>22</v>
      </c>
      <c r="W956" s="646" t="s">
        <v>178</v>
      </c>
      <c r="X956" s="1"/>
      <c r="Y956" s="1"/>
      <c r="Z956" s="1"/>
      <c r="AA956" s="1"/>
      <c r="AB956" s="246"/>
    </row>
    <row r="957" spans="2:28" ht="16.5" thickBot="1">
      <c r="B957" s="11"/>
      <c r="C957" s="369"/>
      <c r="D957" s="1">
        <f>IF(OR(G957&lt;0,G957&gt;1),1,0)</f>
        <v>0</v>
      </c>
      <c r="E957" s="453" t="s">
        <v>29</v>
      </c>
      <c r="F957" s="7" t="s">
        <v>19</v>
      </c>
      <c r="G957" s="472">
        <v>5.0000000000000001E-3</v>
      </c>
      <c r="H957" s="270"/>
      <c r="I957" s="12" t="s">
        <v>12</v>
      </c>
      <c r="J957" s="403"/>
      <c r="K957" s="15"/>
      <c r="L957" s="298"/>
      <c r="M957" s="15"/>
      <c r="N957" s="15"/>
      <c r="O957" s="15"/>
      <c r="P957" s="15"/>
      <c r="Q957" s="15"/>
      <c r="R957" s="15"/>
      <c r="S957" s="15"/>
      <c r="T957" s="15"/>
      <c r="U957" s="639"/>
      <c r="V957" s="636"/>
      <c r="W957" s="640"/>
      <c r="X957" s="123"/>
      <c r="Y957" s="123"/>
      <c r="Z957" s="123"/>
      <c r="AA957" s="1"/>
      <c r="AB957" s="246"/>
    </row>
    <row r="958" spans="2:28" ht="16.5" thickBot="1">
      <c r="B958" s="11"/>
      <c r="C958" s="371"/>
      <c r="D958" s="1">
        <f>IF(OR(G958&lt;1,G958&gt;30),1,0)</f>
        <v>0</v>
      </c>
      <c r="E958" s="455" t="s">
        <v>30</v>
      </c>
      <c r="F958" s="466" t="s">
        <v>14</v>
      </c>
      <c r="G958" s="581">
        <v>30</v>
      </c>
      <c r="H958" s="272"/>
      <c r="I958" s="12" t="s">
        <v>12</v>
      </c>
      <c r="J958" s="403"/>
      <c r="K958" s="15"/>
      <c r="L958" s="298"/>
      <c r="M958" s="1"/>
      <c r="N958" s="1"/>
      <c r="O958" s="2" t="s">
        <v>31</v>
      </c>
      <c r="P958" s="3"/>
      <c r="Q958" s="4"/>
      <c r="R958" s="15"/>
      <c r="S958" s="12" t="s">
        <v>12</v>
      </c>
      <c r="T958" s="123"/>
      <c r="U958" s="474" t="s">
        <v>32</v>
      </c>
      <c r="V958" s="634" t="s">
        <v>33</v>
      </c>
      <c r="W958" s="669">
        <v>20</v>
      </c>
      <c r="X958" s="178"/>
      <c r="Y958" s="178"/>
      <c r="Z958" s="178"/>
      <c r="AA958" s="1"/>
      <c r="AB958" s="246"/>
    </row>
    <row r="959" spans="2:28" ht="16.5" thickBot="1">
      <c r="B959" s="11"/>
      <c r="C959" s="1"/>
      <c r="D959" s="1"/>
      <c r="E959" s="1"/>
      <c r="F959" s="1"/>
      <c r="G959" s="17"/>
      <c r="H959" s="17"/>
      <c r="I959" s="13"/>
      <c r="J959" s="403"/>
      <c r="K959" s="15"/>
      <c r="L959" s="298"/>
      <c r="M959" s="369"/>
      <c r="N959" s="1"/>
      <c r="O959" s="500" t="s">
        <v>34</v>
      </c>
      <c r="P959" s="501"/>
      <c r="Q959" s="502" t="s">
        <v>35</v>
      </c>
      <c r="R959" s="1"/>
      <c r="S959" s="345" t="s">
        <v>12</v>
      </c>
      <c r="T959" s="346">
        <f>IF(Q954&lt;G958,1,0)</f>
        <v>1</v>
      </c>
      <c r="U959" s="641" t="s">
        <v>36</v>
      </c>
      <c r="V959" s="635" t="s">
        <v>19</v>
      </c>
      <c r="W959" s="670">
        <v>0.02</v>
      </c>
      <c r="X959" s="1"/>
      <c r="Y959" s="123"/>
      <c r="Z959" s="123"/>
      <c r="AA959" s="1"/>
      <c r="AB959" s="246"/>
    </row>
    <row r="960" spans="2:28" ht="16.5" thickBot="1">
      <c r="B960" s="11"/>
      <c r="C960" s="1"/>
      <c r="D960" s="1"/>
      <c r="E960" s="10" t="s">
        <v>37</v>
      </c>
      <c r="F960" s="347" t="s">
        <v>6</v>
      </c>
      <c r="G960" s="411" t="s">
        <v>7</v>
      </c>
      <c r="H960" s="283"/>
      <c r="I960" s="13"/>
      <c r="J960" s="403"/>
      <c r="K960" s="15"/>
      <c r="L960" s="298"/>
      <c r="M960" s="369"/>
      <c r="N960" s="1">
        <f>IF(OR(Q960&lt;=0,Q960=""),1,0)</f>
        <v>0</v>
      </c>
      <c r="O960" s="503" t="s">
        <v>38</v>
      </c>
      <c r="P960" s="343" t="s">
        <v>39</v>
      </c>
      <c r="Q960" s="504">
        <v>5</v>
      </c>
      <c r="R960" s="1"/>
      <c r="S960" s="345" t="s">
        <v>12</v>
      </c>
      <c r="T960" s="346">
        <f>IF(AND($Q$8&lt;$G$12,$Q$13="Year One"),1,0)</f>
        <v>0</v>
      </c>
      <c r="U960" s="642"/>
      <c r="V960" s="637"/>
      <c r="W960" s="643"/>
      <c r="X960" s="1"/>
      <c r="Y960" s="123"/>
      <c r="Z960" s="123"/>
      <c r="AA960" s="1"/>
      <c r="AB960" s="246"/>
    </row>
    <row r="961" spans="2:28" ht="16.5" thickBot="1">
      <c r="B961" s="11"/>
      <c r="C961" s="318"/>
      <c r="D961" s="1"/>
      <c r="E961" s="438" t="s">
        <v>40</v>
      </c>
      <c r="F961" s="439"/>
      <c r="G961" s="440" t="s">
        <v>41</v>
      </c>
      <c r="H961" s="281"/>
      <c r="I961" s="12" t="s">
        <v>12</v>
      </c>
      <c r="J961" s="403"/>
      <c r="K961" s="15"/>
      <c r="L961" s="298"/>
      <c r="M961" s="369"/>
      <c r="N961" s="1">
        <f>IF(OR(Q961&lt;=0,Q961=""),1,0)</f>
        <v>0</v>
      </c>
      <c r="O961" s="505" t="s">
        <v>42</v>
      </c>
      <c r="P961" s="344" t="s">
        <v>19</v>
      </c>
      <c r="Q961" s="506">
        <v>0.03</v>
      </c>
      <c r="R961" s="1"/>
      <c r="S961" s="368" t="s">
        <v>12</v>
      </c>
      <c r="T961" s="346">
        <f>IF(AND($Q$8&lt;$G$12,$Q$13="Year One"),1,0)</f>
        <v>0</v>
      </c>
      <c r="U961" s="451" t="s">
        <v>43</v>
      </c>
      <c r="V961" s="633" t="s">
        <v>19</v>
      </c>
      <c r="W961" s="581">
        <v>0</v>
      </c>
      <c r="X961" s="1"/>
      <c r="Y961" s="123"/>
      <c r="Z961" s="123"/>
      <c r="AA961" s="1"/>
      <c r="AB961" s="246"/>
    </row>
    <row r="962" spans="2:28" ht="16.5" thickBot="1">
      <c r="B962" s="11"/>
      <c r="C962" s="319"/>
      <c r="D962" s="1"/>
      <c r="E962" s="441" t="s">
        <v>44</v>
      </c>
      <c r="F962" s="442" t="s">
        <v>33</v>
      </c>
      <c r="G962" s="443">
        <v>2500</v>
      </c>
      <c r="H962" s="273"/>
      <c r="I962" s="366" t="s">
        <v>12</v>
      </c>
      <c r="J962" s="404"/>
      <c r="K962" s="15"/>
      <c r="L962" s="298"/>
      <c r="M962" s="1"/>
      <c r="N962" s="1"/>
      <c r="O962" s="507" t="str">
        <f>IF(OR($Q$13="Year One",$Q$8=$G$12),"","Click Here for Complex Input Worksheet")</f>
        <v>Click Here for Complex Input Worksheet</v>
      </c>
      <c r="P962" s="508"/>
      <c r="Q962" s="509"/>
      <c r="R962" s="1"/>
      <c r="S962" s="366" t="s">
        <v>12</v>
      </c>
      <c r="T962" s="346">
        <f>IF(AND($Q$8&lt;$G$12,$Q$13="Year-by-Year"),1,0)</f>
        <v>1</v>
      </c>
      <c r="U962" s="451" t="s">
        <v>45</v>
      </c>
      <c r="V962" s="633" t="s">
        <v>19</v>
      </c>
      <c r="W962" s="670">
        <v>0.02</v>
      </c>
      <c r="X962" s="123"/>
      <c r="Y962" s="123"/>
      <c r="Z962" s="123"/>
      <c r="AA962" s="1"/>
      <c r="AB962" s="246"/>
    </row>
    <row r="963" spans="2:28" ht="16.5" thickBot="1">
      <c r="B963" s="11"/>
      <c r="C963" s="320"/>
      <c r="D963" s="1"/>
      <c r="E963" s="444" t="s">
        <v>46</v>
      </c>
      <c r="F963" s="343" t="s">
        <v>47</v>
      </c>
      <c r="G963" s="718">
        <v>40717573.964497045</v>
      </c>
      <c r="H963" s="274"/>
      <c r="I963" s="366" t="s">
        <v>12</v>
      </c>
      <c r="J963" s="403"/>
      <c r="K963" s="15"/>
      <c r="L963" s="298"/>
      <c r="M963" s="1"/>
      <c r="N963" s="1"/>
      <c r="O963" s="1"/>
      <c r="P963" s="1"/>
      <c r="Q963" s="1"/>
      <c r="R963" s="1"/>
      <c r="S963" s="1"/>
      <c r="T963" s="179"/>
      <c r="U963" s="644"/>
      <c r="V963" s="638"/>
      <c r="W963" s="643"/>
      <c r="X963" s="123"/>
      <c r="Y963" s="123"/>
      <c r="Z963" s="123"/>
      <c r="AA963" s="1"/>
      <c r="AB963" s="246"/>
    </row>
    <row r="964" spans="2:28" ht="16.5" thickBot="1">
      <c r="B964" s="11"/>
      <c r="C964" s="376"/>
      <c r="D964" s="1"/>
      <c r="E964" s="444" t="s">
        <v>48</v>
      </c>
      <c r="F964" s="343" t="s">
        <v>47</v>
      </c>
      <c r="G964" s="718">
        <v>0</v>
      </c>
      <c r="H964" s="274"/>
      <c r="I964" s="366" t="s">
        <v>12</v>
      </c>
      <c r="J964" s="403"/>
      <c r="K964" s="15"/>
      <c r="L964" s="298"/>
      <c r="M964" s="1"/>
      <c r="N964" s="1"/>
      <c r="O964" s="5" t="s">
        <v>49</v>
      </c>
      <c r="P964" s="347" t="s">
        <v>6</v>
      </c>
      <c r="Q964" s="411" t="s">
        <v>7</v>
      </c>
      <c r="R964" s="120"/>
      <c r="S964" s="13"/>
      <c r="T964" s="179"/>
      <c r="U964" s="641" t="s">
        <v>50</v>
      </c>
      <c r="V964" s="257" t="s">
        <v>47</v>
      </c>
      <c r="W964" s="581">
        <v>0</v>
      </c>
      <c r="X964" s="123"/>
      <c r="Y964" s="1"/>
      <c r="Z964" s="1"/>
      <c r="AA964" s="1"/>
      <c r="AB964" s="246"/>
    </row>
    <row r="965" spans="2:28" ht="16.5" thickBot="1">
      <c r="B965" s="11"/>
      <c r="C965" s="376"/>
      <c r="D965" s="1"/>
      <c r="E965" s="444" t="s">
        <v>51</v>
      </c>
      <c r="F965" s="343" t="s">
        <v>47</v>
      </c>
      <c r="G965" s="718">
        <v>0</v>
      </c>
      <c r="H965" s="274"/>
      <c r="I965" s="366" t="s">
        <v>12</v>
      </c>
      <c r="J965" s="403"/>
      <c r="K965" s="15"/>
      <c r="L965" s="298"/>
      <c r="M965" s="374"/>
      <c r="N965" s="1"/>
      <c r="O965" s="518" t="s">
        <v>52</v>
      </c>
      <c r="P965" s="519"/>
      <c r="Q965" s="520" t="s">
        <v>53</v>
      </c>
      <c r="R965" s="1"/>
      <c r="S965" s="12" t="s">
        <v>12</v>
      </c>
      <c r="T965" s="1"/>
      <c r="U965" s="489" t="s">
        <v>54</v>
      </c>
      <c r="V965" s="719" t="s">
        <v>55</v>
      </c>
      <c r="W965" s="720">
        <v>0</v>
      </c>
      <c r="X965" s="1"/>
      <c r="Y965" s="1"/>
      <c r="Z965" s="1"/>
      <c r="AA965" s="1"/>
      <c r="AB965" s="246"/>
    </row>
    <row r="966" spans="2:28" ht="15.75">
      <c r="B966" s="11"/>
      <c r="C966" s="376"/>
      <c r="D966" s="1"/>
      <c r="E966" s="604" t="s">
        <v>56</v>
      </c>
      <c r="F966" s="343" t="s">
        <v>47</v>
      </c>
      <c r="G966" s="721">
        <v>0</v>
      </c>
      <c r="H966" s="274"/>
      <c r="I966" s="366" t="s">
        <v>12</v>
      </c>
      <c r="J966" s="403"/>
      <c r="K966" s="15"/>
      <c r="L966" s="298"/>
      <c r="M966" s="374"/>
      <c r="N966" s="1"/>
      <c r="O966" s="458" t="s">
        <v>57</v>
      </c>
      <c r="P966" s="450"/>
      <c r="Q966" s="496" t="s">
        <v>58</v>
      </c>
      <c r="R966" s="15"/>
      <c r="S966" s="12" t="s">
        <v>12</v>
      </c>
      <c r="T966" s="15"/>
      <c r="U966" s="1"/>
      <c r="V966" s="1"/>
      <c r="W966" s="1"/>
      <c r="X966" s="1"/>
      <c r="Y966" s="1"/>
      <c r="Z966" s="1"/>
      <c r="AA966" s="1"/>
      <c r="AB966" s="246"/>
    </row>
    <row r="967" spans="2:28" ht="15.75">
      <c r="B967" s="11"/>
      <c r="C967" s="321"/>
      <c r="D967" s="1"/>
      <c r="E967" s="444" t="s">
        <v>59</v>
      </c>
      <c r="F967" s="343" t="s">
        <v>47</v>
      </c>
      <c r="G967" s="445"/>
      <c r="H967" s="275"/>
      <c r="I967" s="366" t="s">
        <v>12</v>
      </c>
      <c r="J967" s="403"/>
      <c r="K967" s="15"/>
      <c r="L967" s="298"/>
      <c r="M967" s="374"/>
      <c r="N967" s="1">
        <f>IF(OR(Q967&lt;0,Q967&gt;1,Q967=""),1,0)</f>
        <v>0</v>
      </c>
      <c r="O967" s="468" t="s">
        <v>60</v>
      </c>
      <c r="P967" s="6" t="s">
        <v>19</v>
      </c>
      <c r="Q967" s="674">
        <v>0.3</v>
      </c>
      <c r="R967" s="15"/>
      <c r="S967" s="12" t="s">
        <v>12</v>
      </c>
      <c r="T967" s="15"/>
      <c r="U967" s="1"/>
      <c r="V967" s="1"/>
      <c r="W967" s="1"/>
      <c r="X967" s="1"/>
      <c r="Y967" s="1"/>
      <c r="Z967" s="1"/>
      <c r="AA967" s="1"/>
      <c r="AB967" s="246"/>
    </row>
    <row r="968" spans="2:28" ht="16.5" thickBot="1">
      <c r="B968" s="11"/>
      <c r="C968" s="321"/>
      <c r="D968" s="1"/>
      <c r="E968" s="446" t="s">
        <v>61</v>
      </c>
      <c r="F968" s="447" t="str">
        <f>IF($G$15="Complex","$","")</f>
        <v/>
      </c>
      <c r="G968" s="448"/>
      <c r="H968" s="276"/>
      <c r="I968" s="366" t="s">
        <v>12</v>
      </c>
      <c r="J968" s="403"/>
      <c r="K968" s="15"/>
      <c r="L968" s="298"/>
      <c r="M968" s="369"/>
      <c r="N968" s="1">
        <f>IF(OR(Q968&lt;0,Q968&gt;1,Q968=""),1,0)</f>
        <v>0</v>
      </c>
      <c r="O968" s="483" t="s">
        <v>63</v>
      </c>
      <c r="P968" s="24" t="s">
        <v>19</v>
      </c>
      <c r="Q968" s="674">
        <v>1</v>
      </c>
      <c r="R968" s="121"/>
      <c r="S968" s="12" t="s">
        <v>12</v>
      </c>
      <c r="T968" s="367">
        <f>IF(AND($Q$19="Cost-Based",$Q$20="ITC"),1,0)</f>
        <v>1</v>
      </c>
      <c r="U968" s="1"/>
      <c r="V968" s="1"/>
      <c r="W968" s="1"/>
      <c r="X968" s="1"/>
      <c r="Y968" s="1"/>
      <c r="Z968" s="1"/>
      <c r="AA968" s="1"/>
      <c r="AB968" s="246"/>
    </row>
    <row r="969" spans="2:28" ht="16.5" thickBot="1">
      <c r="B969" s="11"/>
      <c r="C969" s="323"/>
      <c r="D969" s="1"/>
      <c r="E969" s="449" t="s">
        <v>44</v>
      </c>
      <c r="F969" s="450" t="s">
        <v>47</v>
      </c>
      <c r="G969" s="675"/>
      <c r="H969" s="276"/>
      <c r="I969" s="12" t="s">
        <v>12</v>
      </c>
      <c r="J969" s="403"/>
      <c r="K969" s="15"/>
      <c r="L969" s="298"/>
      <c r="M969" s="1"/>
      <c r="N969" s="1"/>
      <c r="O969" s="455" t="s">
        <v>64</v>
      </c>
      <c r="P969" s="462" t="s">
        <v>47</v>
      </c>
      <c r="Q969" s="676"/>
      <c r="R969" s="121"/>
      <c r="S969" s="12" t="s">
        <v>12</v>
      </c>
      <c r="T969" s="15"/>
      <c r="U969" s="1"/>
      <c r="V969" s="1"/>
      <c r="W969" s="1"/>
      <c r="X969" s="1"/>
      <c r="Y969" s="1"/>
      <c r="Z969" s="1"/>
      <c r="AA969" s="1"/>
      <c r="AB969" s="246"/>
    </row>
    <row r="970" spans="2:28" ht="15.75">
      <c r="B970" s="11"/>
      <c r="C970" s="323"/>
      <c r="D970" s="1"/>
      <c r="E970" s="451" t="s">
        <v>44</v>
      </c>
      <c r="F970" s="8" t="str">
        <f>F962</f>
        <v>$/kW</v>
      </c>
      <c r="G970" s="452"/>
      <c r="H970" s="284"/>
      <c r="I970" s="12" t="s">
        <v>12</v>
      </c>
      <c r="J970" s="403"/>
      <c r="K970" s="15"/>
      <c r="L970" s="298"/>
      <c r="M970" s="374"/>
      <c r="N970" s="1"/>
      <c r="O970" s="449" t="s">
        <v>65</v>
      </c>
      <c r="P970" s="522"/>
      <c r="Q970" s="510" t="s">
        <v>66</v>
      </c>
      <c r="R970" s="1"/>
      <c r="S970" s="12" t="s">
        <v>12</v>
      </c>
      <c r="T970" s="1"/>
      <c r="U970" s="1"/>
      <c r="V970" s="1"/>
      <c r="W970" s="1"/>
      <c r="X970" s="1"/>
      <c r="Y970" s="1"/>
      <c r="Z970" s="1"/>
      <c r="AA970" s="1"/>
      <c r="AB970" s="246"/>
    </row>
    <row r="971" spans="2:28" ht="15.75">
      <c r="B971" s="11"/>
      <c r="C971" s="322"/>
      <c r="D971" s="1"/>
      <c r="E971" s="453" t="s">
        <v>67</v>
      </c>
      <c r="F971" s="7" t="s">
        <v>47</v>
      </c>
      <c r="G971" s="454"/>
      <c r="H971" s="277"/>
      <c r="I971" s="12" t="s">
        <v>12</v>
      </c>
      <c r="J971" s="403"/>
      <c r="K971" s="15"/>
      <c r="L971" s="298"/>
      <c r="M971" s="369"/>
      <c r="N971" s="1"/>
      <c r="O971" s="451" t="s">
        <v>68</v>
      </c>
      <c r="P971" s="8" t="s">
        <v>39</v>
      </c>
      <c r="Q971" s="512">
        <v>0</v>
      </c>
      <c r="R971" s="15"/>
      <c r="S971" s="12" t="s">
        <v>12</v>
      </c>
      <c r="T971" s="15"/>
      <c r="U971" s="1"/>
      <c r="V971" s="1"/>
      <c r="W971" s="1"/>
      <c r="X971" s="1"/>
      <c r="Y971" s="1"/>
      <c r="Z971" s="1"/>
      <c r="AA971" s="1"/>
      <c r="AB971" s="246"/>
    </row>
    <row r="972" spans="2:28" ht="15.75">
      <c r="B972" s="11"/>
      <c r="C972" s="322"/>
      <c r="D972" s="1"/>
      <c r="E972" s="453" t="s">
        <v>69</v>
      </c>
      <c r="F972" s="7" t="s">
        <v>47</v>
      </c>
      <c r="G972" s="452"/>
      <c r="H972" s="276"/>
      <c r="I972" s="12" t="s">
        <v>12</v>
      </c>
      <c r="J972" s="403"/>
      <c r="K972" s="15"/>
      <c r="L972" s="298"/>
      <c r="M972" s="369"/>
      <c r="N972" s="1">
        <f>IF(OR(Q972&lt;0,Q972&gt;G958),1,0)</f>
        <v>0</v>
      </c>
      <c r="O972" s="451" t="s">
        <v>70</v>
      </c>
      <c r="P972" s="8" t="s">
        <v>71</v>
      </c>
      <c r="Q972" s="464">
        <v>0</v>
      </c>
      <c r="R972" s="15"/>
      <c r="S972" s="12" t="s">
        <v>12</v>
      </c>
      <c r="T972" s="15"/>
      <c r="U972" s="1"/>
      <c r="V972" s="1"/>
      <c r="W972" s="1"/>
      <c r="X972" s="1"/>
      <c r="Y972" s="1"/>
      <c r="Z972" s="1"/>
      <c r="AA972" s="1"/>
      <c r="AB972" s="246"/>
    </row>
    <row r="973" spans="2:28" ht="16.5" thickBot="1">
      <c r="B973" s="11"/>
      <c r="C973" s="323"/>
      <c r="D973" s="1"/>
      <c r="E973" s="455" t="s">
        <v>69</v>
      </c>
      <c r="F973" s="456" t="str">
        <f>F962</f>
        <v>$/kW</v>
      </c>
      <c r="G973" s="457"/>
      <c r="H973" s="284"/>
      <c r="I973" s="12" t="s">
        <v>12</v>
      </c>
      <c r="J973" s="403"/>
      <c r="K973" s="15"/>
      <c r="L973" s="298"/>
      <c r="M973" s="369"/>
      <c r="N973" s="1"/>
      <c r="O973" s="451" t="s">
        <v>72</v>
      </c>
      <c r="P973" s="6" t="s">
        <v>19</v>
      </c>
      <c r="Q973" s="497">
        <v>0</v>
      </c>
      <c r="R973" s="15"/>
      <c r="S973" s="12" t="s">
        <v>12</v>
      </c>
      <c r="T973" s="15"/>
      <c r="U973" s="1"/>
      <c r="V973" s="1"/>
      <c r="W973" s="1"/>
      <c r="X973" s="1"/>
      <c r="Y973" s="1"/>
      <c r="Z973" s="1"/>
      <c r="AA973" s="1"/>
      <c r="AB973" s="246"/>
    </row>
    <row r="974" spans="2:28" ht="16.5" thickBot="1">
      <c r="B974" s="11"/>
      <c r="C974" s="324"/>
      <c r="D974" s="1"/>
      <c r="E974" s="18"/>
      <c r="F974" s="1"/>
      <c r="G974" s="1"/>
      <c r="H974" s="1"/>
      <c r="I974" s="17"/>
      <c r="J974" s="403"/>
      <c r="K974" s="15"/>
      <c r="L974" s="298"/>
      <c r="M974" s="369"/>
      <c r="N974" s="1">
        <f>IF(OR(Q974&lt;0,Q974&gt;1),1,0)</f>
        <v>0</v>
      </c>
      <c r="O974" s="455" t="s">
        <v>73</v>
      </c>
      <c r="P974" s="462" t="s">
        <v>19</v>
      </c>
      <c r="Q974" s="523">
        <v>0</v>
      </c>
      <c r="R974" s="15"/>
      <c r="S974" s="12" t="s">
        <v>12</v>
      </c>
      <c r="T974" s="15"/>
      <c r="U974" s="1"/>
      <c r="V974" s="1"/>
      <c r="W974" s="1"/>
      <c r="X974" s="1"/>
      <c r="Y974" s="1"/>
      <c r="Z974" s="1"/>
      <c r="AA974" s="1"/>
      <c r="AB974" s="246"/>
    </row>
    <row r="975" spans="2:28" ht="16.5" thickBot="1">
      <c r="B975" s="11"/>
      <c r="C975" s="1"/>
      <c r="D975" s="1"/>
      <c r="E975" s="5" t="s">
        <v>74</v>
      </c>
      <c r="F975" s="347" t="s">
        <v>6</v>
      </c>
      <c r="G975" s="411" t="s">
        <v>7</v>
      </c>
      <c r="H975" s="285"/>
      <c r="I975" s="17"/>
      <c r="J975" s="403"/>
      <c r="K975" s="15"/>
      <c r="L975" s="298"/>
      <c r="M975" s="1"/>
      <c r="N975" s="1"/>
      <c r="O975" s="296" t="s">
        <v>75</v>
      </c>
      <c r="P975" s="521"/>
      <c r="Q975" s="514" t="s">
        <v>76</v>
      </c>
      <c r="R975" s="121"/>
      <c r="S975" s="12" t="s">
        <v>12</v>
      </c>
      <c r="T975" s="15"/>
      <c r="U975" s="1"/>
      <c r="V975" s="1"/>
      <c r="W975" s="1"/>
      <c r="X975" s="1"/>
      <c r="Y975" s="1"/>
      <c r="Z975" s="1"/>
      <c r="AA975" s="1"/>
      <c r="AB975" s="246"/>
    </row>
    <row r="976" spans="2:28" ht="16.5" thickBot="1">
      <c r="B976" s="11"/>
      <c r="C976" s="318"/>
      <c r="D976" s="1"/>
      <c r="E976" s="553" t="s">
        <v>40</v>
      </c>
      <c r="F976" s="554"/>
      <c r="G976" s="555" t="s">
        <v>41</v>
      </c>
      <c r="H976" s="281"/>
      <c r="I976" s="12" t="s">
        <v>12</v>
      </c>
      <c r="J976" s="403"/>
      <c r="K976" s="15"/>
      <c r="L976" s="11"/>
      <c r="M976" s="1"/>
      <c r="N976" s="1"/>
      <c r="O976" s="415"/>
      <c r="P976" s="267"/>
      <c r="Q976" s="297"/>
      <c r="R976" s="1"/>
      <c r="S976" s="1"/>
      <c r="T976" s="1"/>
      <c r="U976" s="1"/>
      <c r="V976" s="1"/>
      <c r="W976" s="1"/>
      <c r="X976" s="1"/>
      <c r="Y976" s="1"/>
      <c r="Z976" s="1"/>
      <c r="AA976" s="1"/>
      <c r="AB976" s="246"/>
    </row>
    <row r="977" spans="2:28" ht="15.75">
      <c r="B977" s="11"/>
      <c r="C977" s="325"/>
      <c r="D977" s="1"/>
      <c r="E977" s="458" t="s">
        <v>77</v>
      </c>
      <c r="F977" s="459" t="s">
        <v>78</v>
      </c>
      <c r="G977" s="460">
        <v>9</v>
      </c>
      <c r="H977" s="286"/>
      <c r="I977" s="12" t="s">
        <v>12</v>
      </c>
      <c r="J977" s="403"/>
      <c r="K977" s="15"/>
      <c r="L977" s="298"/>
      <c r="M977" s="369"/>
      <c r="N977" s="1"/>
      <c r="O977" s="515" t="s">
        <v>79</v>
      </c>
      <c r="P977" s="459" t="s">
        <v>47</v>
      </c>
      <c r="Q977" s="516">
        <v>0</v>
      </c>
      <c r="R977" s="121"/>
      <c r="S977" s="12" t="s">
        <v>12</v>
      </c>
      <c r="T977" s="1"/>
      <c r="U977" s="1"/>
      <c r="V977" s="1"/>
      <c r="W977" s="1"/>
      <c r="X977" s="1"/>
      <c r="Y977" s="1"/>
      <c r="Z977" s="1"/>
      <c r="AA977" s="1"/>
      <c r="AB977" s="246"/>
    </row>
    <row r="978" spans="2:28" ht="16.5" thickBot="1">
      <c r="B978" s="11"/>
      <c r="C978" s="369"/>
      <c r="D978" s="1"/>
      <c r="E978" s="453" t="s">
        <v>80</v>
      </c>
      <c r="F978" s="7" t="s">
        <v>81</v>
      </c>
      <c r="G978" s="512">
        <v>0</v>
      </c>
      <c r="H978" s="287"/>
      <c r="I978" s="12" t="s">
        <v>12</v>
      </c>
      <c r="J978" s="403"/>
      <c r="K978" s="15"/>
      <c r="L978" s="298"/>
      <c r="M978" s="374"/>
      <c r="N978" s="1"/>
      <c r="O978" s="455" t="s">
        <v>82</v>
      </c>
      <c r="P978" s="466"/>
      <c r="Q978" s="517" t="s">
        <v>83</v>
      </c>
      <c r="R978" s="21"/>
      <c r="S978" s="12" t="s">
        <v>12</v>
      </c>
      <c r="T978" s="1"/>
      <c r="U978" s="1"/>
      <c r="V978" s="1"/>
      <c r="W978" s="1"/>
      <c r="X978" s="1"/>
      <c r="Y978" s="1"/>
      <c r="Z978" s="1"/>
      <c r="AA978" s="1"/>
      <c r="AB978" s="246"/>
    </row>
    <row r="979" spans="2:28" ht="16.5" thickBot="1">
      <c r="B979" s="11"/>
      <c r="C979" s="326"/>
      <c r="D979" s="15"/>
      <c r="E979" s="474" t="s">
        <v>84</v>
      </c>
      <c r="F979" s="7" t="s">
        <v>19</v>
      </c>
      <c r="G979" s="475">
        <v>0.03</v>
      </c>
      <c r="H979" s="270"/>
      <c r="I979" s="12" t="s">
        <v>12</v>
      </c>
      <c r="J979" s="404"/>
      <c r="K979" s="15"/>
      <c r="L979" s="298"/>
      <c r="M979" s="1"/>
      <c r="N979" s="1"/>
      <c r="O979" s="1"/>
      <c r="P979" s="1"/>
      <c r="Q979" s="1"/>
      <c r="R979" s="1"/>
      <c r="S979" s="1"/>
      <c r="T979" s="1"/>
      <c r="U979" s="1"/>
      <c r="V979" s="1"/>
      <c r="W979" s="1"/>
      <c r="X979" s="1"/>
      <c r="Y979" s="1"/>
      <c r="Z979" s="1"/>
      <c r="AA979" s="1"/>
      <c r="AB979" s="246"/>
    </row>
    <row r="980" spans="2:28" ht="16.5" thickBot="1">
      <c r="B980" s="11"/>
      <c r="C980" s="317"/>
      <c r="D980" s="1"/>
      <c r="E980" s="451" t="s">
        <v>85</v>
      </c>
      <c r="F980" s="7" t="s">
        <v>86</v>
      </c>
      <c r="G980" s="582">
        <v>10</v>
      </c>
      <c r="H980" s="272"/>
      <c r="I980" s="12" t="s">
        <v>12</v>
      </c>
      <c r="J980" s="404"/>
      <c r="K980" s="15"/>
      <c r="L980" s="298"/>
      <c r="M980" s="1"/>
      <c r="N980" s="1"/>
      <c r="O980" s="5" t="s">
        <v>87</v>
      </c>
      <c r="P980" s="347" t="s">
        <v>6</v>
      </c>
      <c r="Q980" s="411" t="s">
        <v>7</v>
      </c>
      <c r="R980" s="15"/>
      <c r="S980" s="1"/>
      <c r="T980" s="412"/>
      <c r="U980" s="677"/>
      <c r="V980" s="1"/>
      <c r="W980" s="1"/>
      <c r="X980" s="1"/>
      <c r="Y980" s="1"/>
      <c r="Z980" s="1"/>
      <c r="AA980" s="1"/>
      <c r="AB980" s="246"/>
    </row>
    <row r="981" spans="2:28" ht="16.5" thickBot="1">
      <c r="B981" s="11"/>
      <c r="C981" s="326"/>
      <c r="D981" s="15"/>
      <c r="E981" s="465" t="s">
        <v>88</v>
      </c>
      <c r="F981" s="466" t="s">
        <v>19</v>
      </c>
      <c r="G981" s="475">
        <v>0.03</v>
      </c>
      <c r="H981" s="278"/>
      <c r="I981" s="12" t="s">
        <v>12</v>
      </c>
      <c r="J981" s="403"/>
      <c r="K981" s="15"/>
      <c r="L981" s="298"/>
      <c r="M981" s="374"/>
      <c r="N981" s="1"/>
      <c r="O981" s="568" t="s">
        <v>89</v>
      </c>
      <c r="P981" s="569"/>
      <c r="Q981" s="570" t="s">
        <v>90</v>
      </c>
      <c r="R981" s="1"/>
      <c r="S981" s="12" t="s">
        <v>12</v>
      </c>
      <c r="T981" s="1"/>
      <c r="U981" s="1"/>
      <c r="V981" s="1"/>
      <c r="W981" s="1"/>
      <c r="X981" s="1"/>
      <c r="Y981" s="1"/>
      <c r="Z981" s="1"/>
      <c r="AA981" s="1"/>
      <c r="AB981" s="246"/>
    </row>
    <row r="982" spans="2:28" ht="15.75">
      <c r="B982" s="11"/>
      <c r="C982" s="369"/>
      <c r="D982" s="1"/>
      <c r="E982" s="483" t="s">
        <v>91</v>
      </c>
      <c r="F982" s="6" t="s">
        <v>19</v>
      </c>
      <c r="G982" s="470">
        <v>5.7150000000000005E-3</v>
      </c>
      <c r="H982" s="270"/>
      <c r="I982" s="366" t="s">
        <v>12</v>
      </c>
      <c r="J982" s="403"/>
      <c r="K982" s="15"/>
      <c r="L982" s="298"/>
      <c r="M982" s="369"/>
      <c r="N982" s="1">
        <f>IF(OR(Q982&lt;0,Q982&gt;1),1,0)</f>
        <v>0</v>
      </c>
      <c r="O982" s="458" t="s">
        <v>92</v>
      </c>
      <c r="P982" s="450" t="s">
        <v>19</v>
      </c>
      <c r="Q982" s="600">
        <v>0</v>
      </c>
      <c r="R982" s="15">
        <f>IF(OR($Q$35="Performance-Based",$Q$35="Neither"),1,0)</f>
        <v>1</v>
      </c>
      <c r="S982" s="12" t="s">
        <v>12</v>
      </c>
      <c r="T982" s="15"/>
      <c r="U982" s="1"/>
      <c r="V982" s="1"/>
      <c r="W982" s="1"/>
      <c r="X982" s="1"/>
      <c r="Y982" s="1"/>
      <c r="Z982" s="1"/>
      <c r="AA982" s="1"/>
      <c r="AB982" s="246"/>
    </row>
    <row r="983" spans="2:28" ht="15.75">
      <c r="B983" s="11"/>
      <c r="C983" s="1"/>
      <c r="D983" s="1"/>
      <c r="E983" s="451" t="s">
        <v>93</v>
      </c>
      <c r="F983" s="7" t="s">
        <v>47</v>
      </c>
      <c r="G983" s="467"/>
      <c r="H983" s="275"/>
      <c r="I983" s="366" t="s">
        <v>12</v>
      </c>
      <c r="J983" s="403"/>
      <c r="K983" s="15"/>
      <c r="L983" s="298"/>
      <c r="M983" s="369"/>
      <c r="N983" s="1">
        <f>IF(OR(Q983&lt;0,Q983&gt;1),1,0)</f>
        <v>0</v>
      </c>
      <c r="O983" s="453" t="s">
        <v>94</v>
      </c>
      <c r="P983" s="7" t="s">
        <v>19</v>
      </c>
      <c r="Q983" s="601">
        <v>0</v>
      </c>
      <c r="R983" s="15"/>
      <c r="S983" s="12" t="s">
        <v>12</v>
      </c>
      <c r="T983" s="15"/>
      <c r="U983" s="15"/>
      <c r="V983" s="1"/>
      <c r="W983" s="1"/>
      <c r="X983" s="1"/>
      <c r="Y983" s="1"/>
      <c r="Z983" s="1"/>
      <c r="AA983" s="1"/>
      <c r="AB983" s="246"/>
    </row>
    <row r="984" spans="2:28" ht="15.75">
      <c r="B984" s="11"/>
      <c r="C984" s="369"/>
      <c r="D984" s="1"/>
      <c r="E984" s="468" t="s">
        <v>95</v>
      </c>
      <c r="F984" s="6" t="s">
        <v>96</v>
      </c>
      <c r="G984" s="469">
        <v>20000</v>
      </c>
      <c r="H984" s="288"/>
      <c r="I984" s="366" t="s">
        <v>12</v>
      </c>
      <c r="J984" s="404"/>
      <c r="K984" s="15"/>
      <c r="L984" s="298"/>
      <c r="M984" s="369"/>
      <c r="N984" s="1">
        <f>IF(OR(Q984&lt;1,Q984&gt;G958),1,0)</f>
        <v>1</v>
      </c>
      <c r="O984" s="451" t="s">
        <v>97</v>
      </c>
      <c r="P984" s="8" t="s">
        <v>71</v>
      </c>
      <c r="Q984" s="602">
        <v>0</v>
      </c>
      <c r="R984" s="15"/>
      <c r="S984" s="12" t="s">
        <v>12</v>
      </c>
      <c r="T984" s="1"/>
      <c r="U984" s="678"/>
      <c r="V984" s="1"/>
      <c r="W984" s="1"/>
      <c r="X984" s="1"/>
      <c r="Y984" s="1"/>
      <c r="Z984" s="1"/>
      <c r="AA984" s="1"/>
      <c r="AB984" s="246"/>
    </row>
    <row r="985" spans="2:28" ht="16.5" thickBot="1">
      <c r="B985" s="11"/>
      <c r="C985" s="369"/>
      <c r="D985" s="1"/>
      <c r="E985" s="451" t="s">
        <v>98</v>
      </c>
      <c r="F985" s="6" t="s">
        <v>33</v>
      </c>
      <c r="G985" s="603">
        <v>5</v>
      </c>
      <c r="H985" s="288"/>
      <c r="I985" s="366" t="s">
        <v>12</v>
      </c>
      <c r="J985" s="403"/>
      <c r="K985" s="15"/>
      <c r="L985" s="11"/>
      <c r="M985" s="1"/>
      <c r="N985" s="1"/>
      <c r="O985" s="455" t="s">
        <v>50</v>
      </c>
      <c r="P985" s="456" t="s">
        <v>47</v>
      </c>
      <c r="Q985" s="572">
        <v>0</v>
      </c>
      <c r="R985" s="1"/>
      <c r="S985" s="12" t="s">
        <v>12</v>
      </c>
      <c r="T985" s="1"/>
      <c r="U985" s="1"/>
      <c r="V985" s="1"/>
      <c r="W985" s="1"/>
      <c r="X985" s="1"/>
      <c r="Y985" s="1"/>
      <c r="Z985" s="1"/>
      <c r="AA985" s="1"/>
      <c r="AB985" s="246"/>
    </row>
    <row r="986" spans="2:28" ht="15.75">
      <c r="B986" s="11"/>
      <c r="C986" s="369"/>
      <c r="D986" s="1"/>
      <c r="E986" s="451" t="s">
        <v>43</v>
      </c>
      <c r="F986" s="6" t="s">
        <v>19</v>
      </c>
      <c r="G986" s="583">
        <v>0</v>
      </c>
      <c r="H986" s="1"/>
      <c r="I986" s="366" t="s">
        <v>12</v>
      </c>
      <c r="J986" s="403"/>
      <c r="K986" s="15"/>
      <c r="L986" s="298"/>
      <c r="M986" s="374"/>
      <c r="N986" s="1"/>
      <c r="O986" s="483" t="s">
        <v>99</v>
      </c>
      <c r="P986" s="6"/>
      <c r="Q986" s="571" t="s">
        <v>66</v>
      </c>
      <c r="R986" s="15">
        <f>IF(OR($Q$35="Cost-Based",$Q$35="Neither"),1,0)</f>
        <v>1</v>
      </c>
      <c r="S986" s="12" t="s">
        <v>12</v>
      </c>
      <c r="T986" s="15"/>
      <c r="U986" s="21"/>
      <c r="V986" s="1"/>
      <c r="W986" s="1"/>
      <c r="X986" s="1"/>
      <c r="Y986" s="1"/>
      <c r="Z986" s="1"/>
      <c r="AA986" s="1"/>
      <c r="AB986" s="246"/>
    </row>
    <row r="987" spans="2:28" ht="15.75">
      <c r="B987" s="11"/>
      <c r="C987" s="369"/>
      <c r="D987" s="1"/>
      <c r="E987" s="451" t="s">
        <v>100</v>
      </c>
      <c r="F987" s="6" t="s">
        <v>96</v>
      </c>
      <c r="G987" s="469">
        <v>642804</v>
      </c>
      <c r="H987" s="288"/>
      <c r="I987" s="366" t="s">
        <v>12</v>
      </c>
      <c r="J987" s="403"/>
      <c r="K987" s="15"/>
      <c r="L987" s="298"/>
      <c r="M987" s="374"/>
      <c r="N987" s="1"/>
      <c r="O987" s="451" t="s">
        <v>101</v>
      </c>
      <c r="P987" s="8"/>
      <c r="Q987" s="511" t="s">
        <v>102</v>
      </c>
      <c r="R987" s="346">
        <f>IF(OR($Q$35="Cost-Based",$Q$35="Neither",$Q$40="Tax Credit"),1,0)</f>
        <v>1</v>
      </c>
      <c r="S987" s="12" t="s">
        <v>12</v>
      </c>
      <c r="T987" s="1"/>
      <c r="U987" s="21"/>
      <c r="V987" s="1"/>
      <c r="W987" s="1"/>
      <c r="X987" s="1"/>
      <c r="Y987" s="1"/>
      <c r="Z987" s="1"/>
      <c r="AA987" s="1"/>
      <c r="AB987" s="246"/>
    </row>
    <row r="988" spans="2:28" ht="15.75">
      <c r="B988" s="11"/>
      <c r="C988" s="369"/>
      <c r="D988" s="1"/>
      <c r="E988" s="453" t="s">
        <v>103</v>
      </c>
      <c r="F988" s="6" t="s">
        <v>19</v>
      </c>
      <c r="G988" s="470">
        <v>0.02</v>
      </c>
      <c r="H988" s="270"/>
      <c r="I988" s="366" t="s">
        <v>12</v>
      </c>
      <c r="J988" s="403"/>
      <c r="K988" s="15"/>
      <c r="L988" s="298"/>
      <c r="M988" s="369"/>
      <c r="N988" s="1"/>
      <c r="O988" s="451" t="s">
        <v>68</v>
      </c>
      <c r="P988" s="55" t="s">
        <v>39</v>
      </c>
      <c r="Q988" s="512">
        <v>1.5</v>
      </c>
      <c r="R988" s="21"/>
      <c r="S988" s="12" t="s">
        <v>12</v>
      </c>
      <c r="T988" s="346"/>
      <c r="U988" s="679"/>
      <c r="V988" s="1"/>
      <c r="W988" s="1"/>
      <c r="X988" s="1"/>
      <c r="Y988" s="1"/>
      <c r="Z988" s="1"/>
      <c r="AA988" s="1"/>
      <c r="AB988" s="246"/>
    </row>
    <row r="989" spans="2:28" ht="16.5" thickBot="1">
      <c r="B989" s="11"/>
      <c r="C989" s="1"/>
      <c r="D989" s="1"/>
      <c r="E989" s="455"/>
      <c r="F989" s="466"/>
      <c r="G989" s="471"/>
      <c r="H989" s="275"/>
      <c r="I989" s="366" t="s">
        <v>12</v>
      </c>
      <c r="J989" s="246"/>
      <c r="K989" s="15"/>
      <c r="L989" s="298"/>
      <c r="M989" s="369"/>
      <c r="N989" s="1">
        <f>IF(OR(Q989&lt;0,Q989&gt;G958),1,0)</f>
        <v>0</v>
      </c>
      <c r="O989" s="451" t="s">
        <v>70</v>
      </c>
      <c r="P989" s="8" t="s">
        <v>71</v>
      </c>
      <c r="Q989" s="464">
        <v>10</v>
      </c>
      <c r="R989" s="21"/>
      <c r="S989" s="12" t="s">
        <v>12</v>
      </c>
      <c r="T989" s="1"/>
      <c r="U989" s="21"/>
      <c r="V989" s="1"/>
      <c r="W989" s="1"/>
      <c r="X989" s="1"/>
      <c r="Y989" s="1"/>
      <c r="Z989" s="1"/>
      <c r="AA989" s="1"/>
      <c r="AB989" s="246"/>
    </row>
    <row r="990" spans="2:28" ht="16.5" thickBot="1">
      <c r="B990" s="11"/>
      <c r="C990" s="327"/>
      <c r="D990" s="1"/>
      <c r="E990" s="1"/>
      <c r="F990" s="1"/>
      <c r="G990" s="1"/>
      <c r="H990" s="1"/>
      <c r="I990" s="17"/>
      <c r="J990" s="403"/>
      <c r="K990" s="15"/>
      <c r="L990" s="298"/>
      <c r="M990" s="369"/>
      <c r="N990" s="1"/>
      <c r="O990" s="451" t="s">
        <v>72</v>
      </c>
      <c r="P990" s="6" t="s">
        <v>19</v>
      </c>
      <c r="Q990" s="497">
        <v>0.02</v>
      </c>
      <c r="R990" s="15"/>
      <c r="S990" s="12" t="s">
        <v>12</v>
      </c>
      <c r="T990" s="346"/>
      <c r="U990" s="21"/>
      <c r="V990" s="1"/>
      <c r="W990" s="1"/>
      <c r="X990" s="1"/>
      <c r="Y990" s="1"/>
      <c r="Z990" s="1"/>
      <c r="AA990" s="1"/>
      <c r="AB990" s="246"/>
    </row>
    <row r="991" spans="2:28" ht="16.5" thickBot="1">
      <c r="B991" s="11"/>
      <c r="C991" s="327"/>
      <c r="D991" s="1"/>
      <c r="E991" s="5" t="s">
        <v>104</v>
      </c>
      <c r="F991" s="347" t="s">
        <v>6</v>
      </c>
      <c r="G991" s="411" t="s">
        <v>7</v>
      </c>
      <c r="H991" s="289"/>
      <c r="I991" s="17"/>
      <c r="J991" s="403"/>
      <c r="K991" s="15"/>
      <c r="L991" s="298"/>
      <c r="M991" s="369"/>
      <c r="N991" s="1">
        <f>IF(OR(Q991&lt;0,Q991&gt;1),1,0)</f>
        <v>0</v>
      </c>
      <c r="O991" s="455" t="s">
        <v>105</v>
      </c>
      <c r="P991" s="462" t="s">
        <v>19</v>
      </c>
      <c r="Q991" s="523">
        <v>1</v>
      </c>
      <c r="R991" s="15"/>
      <c r="S991" s="12" t="s">
        <v>12</v>
      </c>
      <c r="T991" s="21"/>
      <c r="U991" s="15"/>
      <c r="V991" s="1"/>
      <c r="W991" s="1"/>
      <c r="X991" s="1"/>
      <c r="Y991" s="1"/>
      <c r="Z991" s="1"/>
      <c r="AA991" s="1"/>
      <c r="AB991" s="246"/>
    </row>
    <row r="992" spans="2:28" ht="16.5" thickBot="1">
      <c r="B992" s="11"/>
      <c r="C992" s="372"/>
      <c r="D992" s="1"/>
      <c r="E992" s="463" t="s">
        <v>106</v>
      </c>
      <c r="F992" s="450" t="s">
        <v>107</v>
      </c>
      <c r="G992" s="556">
        <v>0</v>
      </c>
      <c r="H992" s="289"/>
      <c r="I992" s="12" t="s">
        <v>12</v>
      </c>
      <c r="J992" s="403"/>
      <c r="K992" s="15"/>
      <c r="L992" s="298"/>
      <c r="M992" s="15"/>
      <c r="N992" s="15"/>
      <c r="O992" s="524" t="s">
        <v>108</v>
      </c>
      <c r="P992" s="525"/>
      <c r="Q992" s="526" t="s">
        <v>76</v>
      </c>
      <c r="R992" s="15">
        <f>IF($Q$35="Neither",1,0)</f>
        <v>1</v>
      </c>
      <c r="S992" s="12" t="s">
        <v>12</v>
      </c>
      <c r="T992" s="21"/>
      <c r="U992" s="15"/>
      <c r="V992" s="1"/>
      <c r="W992" s="1"/>
      <c r="X992" s="1"/>
      <c r="Y992" s="1"/>
      <c r="Z992" s="1"/>
      <c r="AA992" s="1"/>
      <c r="AB992" s="246"/>
    </row>
    <row r="993" spans="2:28" ht="16.5" thickBot="1">
      <c r="B993" s="11"/>
      <c r="C993" s="372"/>
      <c r="D993" s="1"/>
      <c r="E993" s="474" t="s">
        <v>109</v>
      </c>
      <c r="F993" s="7" t="s">
        <v>19</v>
      </c>
      <c r="G993" s="548">
        <v>0</v>
      </c>
      <c r="H993" s="289"/>
      <c r="I993" s="12" t="s">
        <v>12</v>
      </c>
      <c r="J993" s="403"/>
      <c r="K993" s="15"/>
      <c r="L993" s="11"/>
      <c r="M993" s="1"/>
      <c r="N993" s="1"/>
      <c r="O993" s="415"/>
      <c r="P993" s="267"/>
      <c r="Q993" s="297"/>
      <c r="R993" s="1"/>
      <c r="S993" s="1"/>
      <c r="T993" s="1"/>
      <c r="U993" s="15"/>
      <c r="V993" s="1"/>
      <c r="W993" s="1"/>
      <c r="X993" s="1"/>
      <c r="Y993" s="1"/>
      <c r="Z993" s="1"/>
      <c r="AA993" s="1"/>
      <c r="AB993" s="246"/>
    </row>
    <row r="994" spans="2:28" ht="16.5" thickBot="1">
      <c r="B994" s="11"/>
      <c r="C994" s="327"/>
      <c r="D994" s="1"/>
      <c r="E994" s="465" t="s">
        <v>110</v>
      </c>
      <c r="F994" s="456" t="s">
        <v>47</v>
      </c>
      <c r="G994" s="471">
        <v>0</v>
      </c>
      <c r="H994" s="289"/>
      <c r="I994" s="12" t="s">
        <v>12</v>
      </c>
      <c r="J994" s="403"/>
      <c r="K994" s="15"/>
      <c r="L994" s="298"/>
      <c r="M994" s="369"/>
      <c r="N994" s="15"/>
      <c r="O994" s="515" t="s">
        <v>111</v>
      </c>
      <c r="P994" s="450" t="s">
        <v>47</v>
      </c>
      <c r="Q994" s="516">
        <v>0</v>
      </c>
      <c r="R994" s="1"/>
      <c r="S994" s="12" t="s">
        <v>12</v>
      </c>
      <c r="T994" s="15"/>
      <c r="U994" s="15"/>
      <c r="V994" s="1"/>
      <c r="W994" s="1"/>
      <c r="X994" s="1"/>
      <c r="Y994" s="1"/>
      <c r="Z994" s="1"/>
      <c r="AA994" s="1"/>
      <c r="AB994" s="246"/>
    </row>
    <row r="995" spans="2:28" ht="16.5" thickBot="1">
      <c r="B995" s="11"/>
      <c r="C995" s="1"/>
      <c r="D995" s="1"/>
      <c r="E995" s="1"/>
      <c r="F995" s="1"/>
      <c r="G995" s="182"/>
      <c r="H995" s="182"/>
      <c r="I995" s="17"/>
      <c r="J995" s="403"/>
      <c r="K995" s="15"/>
      <c r="L995" s="298"/>
      <c r="M995" s="374"/>
      <c r="N995" s="1"/>
      <c r="O995" s="455" t="s">
        <v>112</v>
      </c>
      <c r="P995" s="466"/>
      <c r="Q995" s="517" t="s">
        <v>83</v>
      </c>
      <c r="R995" s="21"/>
      <c r="S995" s="12" t="s">
        <v>12</v>
      </c>
      <c r="T995" s="15"/>
      <c r="U995" s="15"/>
      <c r="V995" s="1"/>
      <c r="W995" s="1"/>
      <c r="X995" s="1"/>
      <c r="Y995" s="1"/>
      <c r="Z995" s="1"/>
      <c r="AA995" s="1"/>
      <c r="AB995" s="246"/>
    </row>
    <row r="996" spans="2:28" ht="16.5" thickBot="1">
      <c r="B996" s="11"/>
      <c r="C996" s="327"/>
      <c r="D996" s="1"/>
      <c r="E996" s="480" t="s">
        <v>113</v>
      </c>
      <c r="F996" s="481" t="s">
        <v>6</v>
      </c>
      <c r="G996" s="482" t="s">
        <v>7</v>
      </c>
      <c r="H996" s="289"/>
      <c r="I996" s="405"/>
      <c r="J996" s="403"/>
      <c r="K996" s="15"/>
      <c r="L996" s="298"/>
      <c r="M996" s="1"/>
      <c r="N996" s="1"/>
      <c r="O996" s="1"/>
      <c r="P996" s="1"/>
      <c r="Q996" s="1"/>
      <c r="R996" s="1"/>
      <c r="S996" s="1"/>
      <c r="T996" s="15"/>
      <c r="U996" s="300"/>
      <c r="V996" s="1"/>
      <c r="W996" s="1"/>
      <c r="X996" s="1"/>
      <c r="Y996" s="1"/>
      <c r="Z996" s="1"/>
      <c r="AA996" s="1"/>
      <c r="AB996" s="246"/>
    </row>
    <row r="997" spans="2:28" ht="16.5" thickBot="1">
      <c r="B997" s="11"/>
      <c r="C997" s="369"/>
      <c r="D997" s="1">
        <f>IF(OR(G997="",G997&lt;0,G997&gt;1),1,0)</f>
        <v>0</v>
      </c>
      <c r="E997" s="449" t="s">
        <v>114</v>
      </c>
      <c r="F997" s="450" t="s">
        <v>19</v>
      </c>
      <c r="G997" s="476">
        <v>0.54</v>
      </c>
      <c r="H997" s="290"/>
      <c r="I997" s="12" t="s">
        <v>12</v>
      </c>
      <c r="J997" s="404"/>
      <c r="K997" s="15"/>
      <c r="L997" s="298"/>
      <c r="M997" s="15"/>
      <c r="N997" s="15"/>
      <c r="O997" s="5" t="s">
        <v>115</v>
      </c>
      <c r="P997" s="22"/>
      <c r="Q997" s="411"/>
      <c r="R997" s="15"/>
      <c r="S997" s="15"/>
      <c r="T997" s="15"/>
      <c r="U997" s="15"/>
      <c r="V997" s="1"/>
      <c r="W997" s="1"/>
      <c r="X997" s="1"/>
      <c r="Y997" s="1"/>
      <c r="Z997" s="1"/>
      <c r="AA997" s="1"/>
      <c r="AB997" s="246"/>
    </row>
    <row r="998" spans="2:28" ht="15.75">
      <c r="B998" s="11"/>
      <c r="C998" s="369"/>
      <c r="D998" s="1">
        <f>IF(OR(G998&lt;=0,G998&gt;G958),1,0)</f>
        <v>0</v>
      </c>
      <c r="E998" s="451" t="s">
        <v>116</v>
      </c>
      <c r="F998" s="7" t="s">
        <v>14</v>
      </c>
      <c r="G998" s="464">
        <v>15</v>
      </c>
      <c r="H998" s="272"/>
      <c r="I998" s="12" t="s">
        <v>12</v>
      </c>
      <c r="J998" s="404"/>
      <c r="K998" s="15"/>
      <c r="L998" s="298"/>
      <c r="M998" s="375"/>
      <c r="N998" s="15">
        <f>IF(OR(Q998&lt;1,Q998&gt;$G$12),1,0)</f>
        <v>0</v>
      </c>
      <c r="O998" s="463" t="s">
        <v>117</v>
      </c>
      <c r="P998" s="459" t="s">
        <v>86</v>
      </c>
      <c r="Q998" s="556">
        <v>12</v>
      </c>
      <c r="R998" s="15"/>
      <c r="S998" s="12" t="s">
        <v>12</v>
      </c>
      <c r="T998" s="15"/>
      <c r="U998" s="15"/>
      <c r="V998" s="1"/>
      <c r="W998" s="1"/>
      <c r="X998" s="1"/>
      <c r="Y998" s="1"/>
      <c r="Z998" s="1"/>
      <c r="AA998" s="1"/>
      <c r="AB998" s="246"/>
    </row>
    <row r="999" spans="2:28" ht="16.5" thickBot="1">
      <c r="B999" s="11"/>
      <c r="C999" s="372"/>
      <c r="D999" s="1">
        <f>IF(OR(G999&lt;0,G999=""),1,0)</f>
        <v>0</v>
      </c>
      <c r="E999" s="451" t="s">
        <v>118</v>
      </c>
      <c r="F999" s="7" t="s">
        <v>19</v>
      </c>
      <c r="G999" s="485">
        <v>7.6638765941485373E-2</v>
      </c>
      <c r="H999" s="291"/>
      <c r="I999" s="12" t="s">
        <v>12</v>
      </c>
      <c r="J999" s="404"/>
      <c r="K999" s="15"/>
      <c r="L999" s="298"/>
      <c r="M999" s="326"/>
      <c r="N999" s="15"/>
      <c r="O999" s="465" t="s">
        <v>119</v>
      </c>
      <c r="P999" s="456" t="str">
        <f>$F$16</f>
        <v>$/kW</v>
      </c>
      <c r="Q999" s="531">
        <v>21</v>
      </c>
      <c r="R999" s="15"/>
      <c r="S999" s="12" t="s">
        <v>12</v>
      </c>
      <c r="T999" s="15"/>
      <c r="U999" s="15"/>
      <c r="V999" s="1"/>
      <c r="W999" s="1"/>
      <c r="X999" s="1"/>
      <c r="Y999" s="1"/>
      <c r="Z999" s="1"/>
      <c r="AA999" s="1"/>
      <c r="AB999" s="246"/>
    </row>
    <row r="1000" spans="2:28" ht="16.5" thickBot="1">
      <c r="B1000" s="11"/>
      <c r="C1000" s="369"/>
      <c r="D1000" s="1">
        <f>IF(OR(G1000&lt;0,G1000=""),1,0)</f>
        <v>0</v>
      </c>
      <c r="E1000" s="486" t="s">
        <v>120</v>
      </c>
      <c r="F1000" s="466" t="s">
        <v>19</v>
      </c>
      <c r="G1000" s="487">
        <v>0.02</v>
      </c>
      <c r="H1000" s="270"/>
      <c r="I1000" s="12" t="s">
        <v>12</v>
      </c>
      <c r="J1000" s="403"/>
      <c r="K1000" s="15"/>
      <c r="L1000" s="298"/>
      <c r="M1000" s="375"/>
      <c r="N1000" s="15">
        <f>IF(OR(Q1000&lt;Q998,Q1000&gt;$G$12),1,0)</f>
        <v>0</v>
      </c>
      <c r="O1000" s="529" t="s">
        <v>121</v>
      </c>
      <c r="P1000" s="24" t="s">
        <v>86</v>
      </c>
      <c r="Q1000" s="530">
        <v>12</v>
      </c>
      <c r="R1000" s="15"/>
      <c r="S1000" s="12" t="s">
        <v>12</v>
      </c>
      <c r="T1000" s="15"/>
      <c r="U1000" s="15"/>
      <c r="V1000" s="1"/>
      <c r="W1000" s="1"/>
      <c r="X1000" s="1"/>
      <c r="Y1000" s="1"/>
      <c r="Z1000" s="1"/>
      <c r="AA1000" s="1"/>
      <c r="AB1000" s="246"/>
    </row>
    <row r="1001" spans="2:28" ht="16.5" thickBot="1">
      <c r="B1001" s="11"/>
      <c r="C1001" s="369"/>
      <c r="D1001" s="1"/>
      <c r="E1001" s="483" t="s">
        <v>122</v>
      </c>
      <c r="F1001" s="24"/>
      <c r="G1001" s="484">
        <v>1</v>
      </c>
      <c r="H1001" s="279"/>
      <c r="I1001" s="12" t="s">
        <v>12</v>
      </c>
      <c r="J1001" s="403"/>
      <c r="K1001" s="15"/>
      <c r="L1001" s="298"/>
      <c r="M1001" s="326"/>
      <c r="N1001" s="15"/>
      <c r="O1001" s="465" t="s">
        <v>123</v>
      </c>
      <c r="P1001" s="456" t="str">
        <f>$F$16</f>
        <v>$/kW</v>
      </c>
      <c r="Q1001" s="531">
        <v>0</v>
      </c>
      <c r="R1001" s="15"/>
      <c r="S1001" s="12" t="s">
        <v>12</v>
      </c>
      <c r="T1001" s="15"/>
      <c r="U1001" s="15"/>
      <c r="V1001" s="1"/>
      <c r="W1001" s="1"/>
      <c r="X1001" s="1"/>
      <c r="Y1001" s="1"/>
      <c r="Z1001" s="1"/>
      <c r="AA1001" s="1"/>
      <c r="AB1001" s="246"/>
    </row>
    <row r="1002" spans="2:28" ht="15.75">
      <c r="B1002" s="11"/>
      <c r="C1002" s="1"/>
      <c r="D1002" s="1"/>
      <c r="E1002" s="451" t="s">
        <v>124</v>
      </c>
      <c r="F1002" s="248">
        <f>MAX('[2]Cash Flow'!G991:AJ991)</f>
        <v>0</v>
      </c>
      <c r="G1002" s="477"/>
      <c r="H1002" s="280"/>
      <c r="I1002" s="12" t="s">
        <v>12</v>
      </c>
      <c r="J1002" s="403"/>
      <c r="K1002" s="15"/>
      <c r="L1002" s="298"/>
      <c r="M1002" s="375"/>
      <c r="N1002" s="15">
        <f>IF(OR(Q1002&lt;Q1000,Q1002&gt;$G$12),1,0)</f>
        <v>0</v>
      </c>
      <c r="O1002" s="474" t="s">
        <v>125</v>
      </c>
      <c r="P1002" s="8" t="s">
        <v>86</v>
      </c>
      <c r="Q1002" s="530">
        <v>12</v>
      </c>
      <c r="R1002" s="15"/>
      <c r="S1002" s="12" t="s">
        <v>12</v>
      </c>
      <c r="T1002" s="15"/>
      <c r="U1002" s="15"/>
      <c r="V1002" s="1"/>
      <c r="W1002" s="1"/>
      <c r="X1002" s="1"/>
      <c r="Y1002" s="1"/>
      <c r="Z1002" s="1"/>
      <c r="AA1002" s="1"/>
      <c r="AB1002" s="246"/>
    </row>
    <row r="1003" spans="2:28" ht="16.5" thickBot="1">
      <c r="B1003" s="11"/>
      <c r="C1003" s="369"/>
      <c r="D1003" s="1"/>
      <c r="E1003" s="451" t="s">
        <v>126</v>
      </c>
      <c r="F1003" s="8" t="s">
        <v>127</v>
      </c>
      <c r="G1003" s="478"/>
      <c r="H1003" s="406"/>
      <c r="I1003" s="12" t="s">
        <v>12</v>
      </c>
      <c r="J1003" s="404"/>
      <c r="K1003" s="15"/>
      <c r="L1003" s="298"/>
      <c r="M1003" s="326"/>
      <c r="N1003" s="15"/>
      <c r="O1003" s="465" t="s">
        <v>128</v>
      </c>
      <c r="P1003" s="456" t="str">
        <f>$F$16</f>
        <v>$/kW</v>
      </c>
      <c r="Q1003" s="531">
        <v>0</v>
      </c>
      <c r="R1003" s="15"/>
      <c r="S1003" s="12" t="s">
        <v>12</v>
      </c>
      <c r="T1003" s="1"/>
      <c r="U1003" s="1"/>
      <c r="V1003" s="1"/>
      <c r="W1003" s="1"/>
      <c r="X1003" s="1"/>
      <c r="Y1003" s="1"/>
      <c r="Z1003" s="1"/>
      <c r="AA1003" s="1"/>
      <c r="AB1003" s="246"/>
    </row>
    <row r="1004" spans="2:28" ht="15.75">
      <c r="B1004" s="11"/>
      <c r="C1004" s="369"/>
      <c r="D1004" s="1"/>
      <c r="E1004" s="451" t="s">
        <v>129</v>
      </c>
      <c r="F1004" s="8"/>
      <c r="G1004" s="680">
        <v>1.25</v>
      </c>
      <c r="H1004" s="279"/>
      <c r="I1004" s="12" t="s">
        <v>12</v>
      </c>
      <c r="J1004" s="403"/>
      <c r="K1004" s="15"/>
      <c r="L1004" s="298"/>
      <c r="M1004" s="375"/>
      <c r="N1004" s="15">
        <f>IF(OR(Q1004&lt;Q1002,Q1004&gt;$G$12),1,0)</f>
        <v>0</v>
      </c>
      <c r="O1004" s="474" t="s">
        <v>130</v>
      </c>
      <c r="P1004" s="8" t="s">
        <v>86</v>
      </c>
      <c r="Q1004" s="530">
        <v>12</v>
      </c>
      <c r="R1004" s="15"/>
      <c r="S1004" s="12" t="s">
        <v>12</v>
      </c>
      <c r="T1004" s="1"/>
      <c r="U1004" s="1"/>
      <c r="V1004" s="1"/>
      <c r="W1004" s="1"/>
      <c r="X1004" s="1"/>
      <c r="Y1004" s="1"/>
      <c r="Z1004" s="1"/>
      <c r="AA1004" s="1"/>
      <c r="AB1004" s="246"/>
    </row>
    <row r="1005" spans="2:28" ht="16.5" thickBot="1">
      <c r="B1005" s="11"/>
      <c r="C1005" s="1"/>
      <c r="D1005" s="1"/>
      <c r="E1005" s="451" t="s">
        <v>131</v>
      </c>
      <c r="F1005" s="248"/>
      <c r="G1005" s="477"/>
      <c r="H1005" s="280"/>
      <c r="I1005" s="12" t="s">
        <v>12</v>
      </c>
      <c r="J1005" s="403"/>
      <c r="K1005" s="15"/>
      <c r="L1005" s="298"/>
      <c r="M1005" s="326"/>
      <c r="N1005" s="15"/>
      <c r="O1005" s="465" t="s">
        <v>132</v>
      </c>
      <c r="P1005" s="456" t="str">
        <f>$F$16</f>
        <v>$/kW</v>
      </c>
      <c r="Q1005" s="531">
        <v>0</v>
      </c>
      <c r="R1005" s="15"/>
      <c r="S1005" s="12" t="s">
        <v>12</v>
      </c>
      <c r="T1005" s="1"/>
      <c r="U1005" s="1"/>
      <c r="V1005" s="1"/>
      <c r="W1005" s="1"/>
      <c r="X1005" s="1"/>
      <c r="Y1005" s="1"/>
      <c r="Z1005" s="1"/>
      <c r="AA1005" s="1"/>
      <c r="AB1005" s="246"/>
    </row>
    <row r="1006" spans="2:28" ht="16.5" thickBot="1">
      <c r="B1006" s="11"/>
      <c r="C1006" s="369"/>
      <c r="D1006" s="1"/>
      <c r="E1006" s="455" t="s">
        <v>133</v>
      </c>
      <c r="F1006" s="456" t="s">
        <v>127</v>
      </c>
      <c r="G1006" s="479"/>
      <c r="H1006" s="406"/>
      <c r="I1006" s="12" t="s">
        <v>12</v>
      </c>
      <c r="J1006" s="403"/>
      <c r="K1006" s="15"/>
      <c r="L1006" s="298"/>
      <c r="M1006" s="1"/>
      <c r="N1006" s="1"/>
      <c r="O1006" s="1"/>
      <c r="P1006" s="1"/>
      <c r="Q1006" s="1"/>
      <c r="R1006" s="1"/>
      <c r="S1006" s="1"/>
      <c r="T1006" s="1"/>
      <c r="U1006" s="1"/>
      <c r="V1006" s="1"/>
      <c r="W1006" s="1"/>
      <c r="X1006" s="1"/>
      <c r="Y1006" s="1"/>
      <c r="Z1006" s="1"/>
      <c r="AA1006" s="1"/>
      <c r="AB1006" s="246"/>
    </row>
    <row r="1007" spans="2:28" ht="16.5" thickBot="1">
      <c r="B1007" s="11"/>
      <c r="C1007" s="1"/>
      <c r="D1007" s="1"/>
      <c r="E1007" s="449" t="s">
        <v>134</v>
      </c>
      <c r="F1007" s="450" t="s">
        <v>19</v>
      </c>
      <c r="G1007" s="488"/>
      <c r="H1007" s="292"/>
      <c r="I1007" s="12" t="s">
        <v>12</v>
      </c>
      <c r="J1007" s="403"/>
      <c r="K1007" s="15"/>
      <c r="L1007" s="298"/>
      <c r="M1007" s="15"/>
      <c r="N1007" s="15"/>
      <c r="O1007" s="5" t="s">
        <v>135</v>
      </c>
      <c r="P1007" s="347" t="s">
        <v>6</v>
      </c>
      <c r="Q1007" s="411" t="s">
        <v>7</v>
      </c>
      <c r="R1007" s="15"/>
      <c r="S1007" s="15"/>
      <c r="T1007" s="15"/>
      <c r="U1007" s="15"/>
      <c r="V1007" s="1"/>
      <c r="W1007" s="1"/>
      <c r="X1007" s="1"/>
      <c r="Y1007" s="1"/>
      <c r="Z1007" s="1"/>
      <c r="AA1007" s="1"/>
      <c r="AB1007" s="246"/>
    </row>
    <row r="1008" spans="2:28" ht="16.5" thickBot="1">
      <c r="B1008" s="11"/>
      <c r="C1008" s="369"/>
      <c r="D1008" s="1">
        <f>IF(OR(G1008&lt;0,G1008=""),1,0)</f>
        <v>0</v>
      </c>
      <c r="E1008" s="489" t="s">
        <v>136</v>
      </c>
      <c r="F1008" s="466" t="s">
        <v>19</v>
      </c>
      <c r="G1008" s="722">
        <v>0.10025000000000001</v>
      </c>
      <c r="H1008" s="291"/>
      <c r="I1008" s="12" t="s">
        <v>12</v>
      </c>
      <c r="J1008" s="403"/>
      <c r="K1008" s="15"/>
      <c r="L1008" s="298"/>
      <c r="M1008" s="15"/>
      <c r="N1008" s="15"/>
      <c r="O1008" s="532" t="s">
        <v>137</v>
      </c>
      <c r="P1008" s="533"/>
      <c r="Q1008" s="534"/>
      <c r="R1008" s="15"/>
      <c r="S1008" s="15"/>
      <c r="T1008" s="15"/>
      <c r="U1008" s="1"/>
      <c r="V1008" s="1"/>
      <c r="W1008" s="1"/>
      <c r="X1008" s="1"/>
      <c r="Y1008" s="1"/>
      <c r="Z1008" s="1"/>
      <c r="AA1008" s="1"/>
      <c r="AB1008" s="246"/>
    </row>
    <row r="1009" spans="2:28" ht="15.75">
      <c r="B1009" s="11"/>
      <c r="C1009" s="1"/>
      <c r="D1009" s="1"/>
      <c r="E1009" s="449" t="s">
        <v>138</v>
      </c>
      <c r="F1009" s="450" t="s">
        <v>19</v>
      </c>
      <c r="G1009" s="681"/>
      <c r="H1009" s="1"/>
      <c r="I1009" s="12" t="s">
        <v>12</v>
      </c>
      <c r="J1009" s="246"/>
      <c r="K1009" s="15"/>
      <c r="L1009" s="298"/>
      <c r="M1009" s="374"/>
      <c r="N1009" s="15"/>
      <c r="O1009" s="535" t="s">
        <v>139</v>
      </c>
      <c r="P1009" s="23"/>
      <c r="Q1009" s="511" t="s">
        <v>140</v>
      </c>
      <c r="R1009" s="15"/>
      <c r="S1009" s="12" t="s">
        <v>12</v>
      </c>
      <c r="T1009" s="15"/>
      <c r="U1009" s="15"/>
      <c r="V1009" s="1"/>
      <c r="W1009" s="1"/>
      <c r="X1009" s="1"/>
      <c r="Y1009" s="1"/>
      <c r="Z1009" s="1"/>
      <c r="AA1009" s="1"/>
      <c r="AB1009" s="246"/>
    </row>
    <row r="1010" spans="2:28" ht="16.5" thickBot="1">
      <c r="B1010" s="11"/>
      <c r="C1010" s="369"/>
      <c r="D1010" s="1"/>
      <c r="E1010" s="486" t="s">
        <v>141</v>
      </c>
      <c r="F1010" s="466" t="s">
        <v>47</v>
      </c>
      <c r="G1010" s="490">
        <v>0</v>
      </c>
      <c r="H1010" s="288"/>
      <c r="I1010" s="12" t="s">
        <v>12</v>
      </c>
      <c r="J1010" s="246"/>
      <c r="K1010" s="15"/>
      <c r="L1010" s="298"/>
      <c r="M1010" s="375"/>
      <c r="N1010" s="15"/>
      <c r="O1010" s="465" t="s">
        <v>142</v>
      </c>
      <c r="P1010" s="456" t="s">
        <v>47</v>
      </c>
      <c r="Q1010" s="588">
        <v>0</v>
      </c>
      <c r="R1010" s="15"/>
      <c r="S1010" s="12" t="s">
        <v>12</v>
      </c>
      <c r="T1010" s="15"/>
      <c r="U1010" s="385"/>
      <c r="V1010" s="1"/>
      <c r="W1010" s="1"/>
      <c r="X1010" s="1"/>
      <c r="Y1010" s="1"/>
      <c r="Z1010" s="1"/>
      <c r="AA1010" s="1"/>
      <c r="AB1010" s="246"/>
    </row>
    <row r="1011" spans="2:28" ht="16.5" thickBot="1">
      <c r="B1011" s="11"/>
      <c r="C1011" s="1"/>
      <c r="D1011" s="1"/>
      <c r="E1011" s="1"/>
      <c r="F1011" s="1"/>
      <c r="G1011" s="1"/>
      <c r="H1011" s="1"/>
      <c r="I1011" s="1"/>
      <c r="J1011" s="246"/>
      <c r="K1011" s="15"/>
      <c r="L1011" s="298"/>
      <c r="M1011" s="1"/>
      <c r="N1011" s="1"/>
      <c r="O1011" s="1"/>
      <c r="P1011" s="1"/>
      <c r="Q1011" s="1"/>
      <c r="R1011" s="1"/>
      <c r="S1011" s="1"/>
      <c r="T1011" s="1"/>
      <c r="U1011" s="385"/>
      <c r="V1011" s="1"/>
      <c r="W1011" s="1"/>
      <c r="X1011" s="1"/>
      <c r="Y1011" s="1"/>
      <c r="Z1011" s="1"/>
      <c r="AA1011" s="1"/>
      <c r="AB1011" s="246"/>
    </row>
    <row r="1012" spans="2:28" ht="16.5" thickBot="1">
      <c r="B1012" s="298"/>
      <c r="C1012" s="1"/>
      <c r="D1012" s="1"/>
      <c r="E1012" s="314" t="s">
        <v>143</v>
      </c>
      <c r="F1012" s="22"/>
      <c r="G1012" s="315"/>
      <c r="H1012" s="1"/>
      <c r="I1012" s="1"/>
      <c r="J1012" s="246"/>
      <c r="K1012" s="1"/>
      <c r="L1012" s="298"/>
      <c r="M1012" s="15"/>
      <c r="N1012" s="15"/>
      <c r="O1012" s="5" t="s">
        <v>144</v>
      </c>
      <c r="P1012" s="347" t="s">
        <v>6</v>
      </c>
      <c r="Q1012" s="411" t="s">
        <v>7</v>
      </c>
      <c r="R1012" s="15"/>
      <c r="S1012" s="15"/>
      <c r="T1012" s="15"/>
      <c r="U1012" s="378"/>
      <c r="V1012" s="1"/>
      <c r="W1012" s="1"/>
      <c r="X1012" s="1"/>
      <c r="Y1012" s="1"/>
      <c r="Z1012" s="1"/>
      <c r="AA1012" s="1"/>
      <c r="AB1012" s="246"/>
    </row>
    <row r="1013" spans="2:28" ht="15.75">
      <c r="B1013" s="298"/>
      <c r="C1013" s="1"/>
      <c r="D1013" s="1"/>
      <c r="E1013" s="449" t="s">
        <v>145</v>
      </c>
      <c r="F1013" s="574"/>
      <c r="G1013" s="491"/>
      <c r="H1013" s="1"/>
      <c r="I1013" s="12" t="s">
        <v>12</v>
      </c>
      <c r="J1013" s="246"/>
      <c r="K1013" s="15"/>
      <c r="L1013" s="298"/>
      <c r="M1013" s="15"/>
      <c r="N1013" s="15"/>
      <c r="O1013" s="536" t="s">
        <v>146</v>
      </c>
      <c r="P1013" s="527"/>
      <c r="Q1013" s="528"/>
      <c r="R1013" s="15"/>
      <c r="S1013" s="15"/>
      <c r="T1013" s="15"/>
      <c r="U1013" s="15"/>
      <c r="V1013" s="1"/>
      <c r="W1013" s="1"/>
      <c r="X1013" s="1"/>
      <c r="Y1013" s="1"/>
      <c r="Z1013" s="1"/>
      <c r="AA1013" s="1"/>
      <c r="AB1013" s="246"/>
    </row>
    <row r="1014" spans="2:28" ht="15.75">
      <c r="B1014" s="298"/>
      <c r="C1014" s="1"/>
      <c r="D1014" s="1"/>
      <c r="E1014" s="451" t="s">
        <v>147</v>
      </c>
      <c r="F1014" s="573"/>
      <c r="G1014" s="467"/>
      <c r="H1014" s="1"/>
      <c r="I1014" s="12" t="s">
        <v>12</v>
      </c>
      <c r="J1014" s="246"/>
      <c r="K1014" s="1"/>
      <c r="L1014" s="298"/>
      <c r="M1014" s="375"/>
      <c r="N1014" s="15"/>
      <c r="O1014" s="451" t="s">
        <v>148</v>
      </c>
      <c r="P1014" s="7" t="s">
        <v>107</v>
      </c>
      <c r="Q1014" s="584">
        <v>0</v>
      </c>
      <c r="R1014" s="15"/>
      <c r="S1014" s="12" t="s">
        <v>12</v>
      </c>
      <c r="T1014" s="15"/>
      <c r="U1014" s="15"/>
      <c r="V1014" s="1"/>
      <c r="W1014" s="1"/>
      <c r="X1014" s="1"/>
      <c r="Y1014" s="1"/>
      <c r="Z1014" s="1"/>
      <c r="AA1014" s="1"/>
      <c r="AB1014" s="246"/>
    </row>
    <row r="1015" spans="2:28" ht="16.5" thickBot="1">
      <c r="B1015" s="11"/>
      <c r="C1015" s="1"/>
      <c r="D1015" s="1"/>
      <c r="E1015" s="492" t="s">
        <v>149</v>
      </c>
      <c r="F1015" s="575"/>
      <c r="G1015" s="493"/>
      <c r="H1015" s="1"/>
      <c r="I1015" s="12" t="s">
        <v>12</v>
      </c>
      <c r="J1015" s="246"/>
      <c r="K1015" s="1"/>
      <c r="L1015" s="298"/>
      <c r="M1015" s="15"/>
      <c r="N1015" s="15"/>
      <c r="O1015" s="455" t="s">
        <v>150</v>
      </c>
      <c r="P1015" s="466" t="s">
        <v>47</v>
      </c>
      <c r="Q1015" s="537"/>
      <c r="R1015" s="15"/>
      <c r="S1015" s="12" t="s">
        <v>12</v>
      </c>
      <c r="T1015" s="15"/>
      <c r="U1015" s="15"/>
      <c r="V1015" s="1"/>
      <c r="W1015" s="1"/>
      <c r="X1015" s="1"/>
      <c r="Y1015" s="1"/>
      <c r="Z1015" s="1"/>
      <c r="AA1015" s="1"/>
      <c r="AB1015" s="246"/>
    </row>
    <row r="1016" spans="2:28" ht="17.25" thickTop="1" thickBot="1">
      <c r="B1016" s="298"/>
      <c r="C1016" s="1"/>
      <c r="D1016" s="1"/>
      <c r="E1016" s="494" t="s">
        <v>44</v>
      </c>
      <c r="F1016" s="462" t="s">
        <v>47</v>
      </c>
      <c r="G1016" s="495"/>
      <c r="H1016" s="1"/>
      <c r="I1016" s="12" t="s">
        <v>12</v>
      </c>
      <c r="J1016" s="246"/>
      <c r="K1016" s="1"/>
      <c r="L1016" s="298"/>
      <c r="M1016" s="15"/>
      <c r="N1016" s="15"/>
      <c r="O1016" s="536" t="s">
        <v>151</v>
      </c>
      <c r="P1016" s="527"/>
      <c r="Q1016" s="538"/>
      <c r="R1016" s="15"/>
      <c r="S1016" s="15"/>
      <c r="T1016" s="15"/>
      <c r="U1016" s="15"/>
      <c r="V1016" s="1"/>
      <c r="W1016" s="1"/>
      <c r="X1016" s="1"/>
      <c r="Y1016" s="1"/>
      <c r="Z1016" s="1"/>
      <c r="AA1016" s="1"/>
      <c r="AB1016" s="246"/>
    </row>
    <row r="1017" spans="2:28" ht="16.5" thickBot="1">
      <c r="B1017" s="11"/>
      <c r="C1017" s="1"/>
      <c r="D1017" s="1"/>
      <c r="E1017" s="1"/>
      <c r="F1017" s="1"/>
      <c r="G1017" s="1"/>
      <c r="H1017" s="1"/>
      <c r="I1017" s="1"/>
      <c r="J1017" s="246"/>
      <c r="K1017" s="1"/>
      <c r="L1017" s="298"/>
      <c r="M1017" s="375"/>
      <c r="N1017" s="15"/>
      <c r="O1017" s="474" t="s">
        <v>152</v>
      </c>
      <c r="P1017" s="7" t="s">
        <v>107</v>
      </c>
      <c r="Q1017" s="584">
        <v>0</v>
      </c>
      <c r="R1017" s="15"/>
      <c r="S1017" s="12" t="s">
        <v>12</v>
      </c>
      <c r="T1017" s="15"/>
      <c r="U1017" s="1"/>
      <c r="V1017" s="1"/>
      <c r="W1017" s="1"/>
      <c r="X1017" s="1"/>
      <c r="Y1017" s="1"/>
      <c r="Z1017" s="1"/>
      <c r="AA1017" s="1"/>
      <c r="AB1017" s="246"/>
    </row>
    <row r="1018" spans="2:28" ht="16.5" thickBot="1">
      <c r="B1018" s="11"/>
      <c r="C1018" s="1"/>
      <c r="D1018" s="1"/>
      <c r="E1018" s="5" t="s">
        <v>153</v>
      </c>
      <c r="F1018" s="347" t="s">
        <v>6</v>
      </c>
      <c r="G1018" s="411" t="s">
        <v>7</v>
      </c>
      <c r="H1018" s="293"/>
      <c r="I1018" s="17"/>
      <c r="J1018" s="246"/>
      <c r="K1018" s="1"/>
      <c r="L1018" s="298"/>
      <c r="M1018" s="15"/>
      <c r="N1018" s="15"/>
      <c r="O1018" s="465" t="s">
        <v>154</v>
      </c>
      <c r="P1018" s="466" t="s">
        <v>47</v>
      </c>
      <c r="Q1018" s="537"/>
      <c r="R1018" s="15"/>
      <c r="S1018" s="12" t="s">
        <v>12</v>
      </c>
      <c r="T1018" s="15"/>
      <c r="U1018" s="15"/>
      <c r="V1018" s="1"/>
      <c r="W1018" s="1"/>
      <c r="X1018" s="1"/>
      <c r="Y1018" s="1"/>
      <c r="Z1018" s="1"/>
      <c r="AA1018" s="1"/>
      <c r="AB1018" s="246"/>
    </row>
    <row r="1019" spans="2:28" ht="16.5" thickBot="1">
      <c r="B1019" s="11"/>
      <c r="C1019" s="373"/>
      <c r="D1019" s="1"/>
      <c r="E1019" s="438" t="s">
        <v>155</v>
      </c>
      <c r="F1019" s="525"/>
      <c r="G1019" s="547" t="s">
        <v>83</v>
      </c>
      <c r="H1019" s="282"/>
      <c r="I1019" s="12" t="s">
        <v>12</v>
      </c>
      <c r="J1019" s="246"/>
      <c r="K1019" s="1"/>
      <c r="L1019" s="298"/>
      <c r="M1019" s="375"/>
      <c r="N1019" s="15"/>
      <c r="O1019" s="540" t="s">
        <v>156</v>
      </c>
      <c r="P1019" s="439" t="s">
        <v>19</v>
      </c>
      <c r="Q1019" s="539">
        <v>0.02</v>
      </c>
      <c r="R1019" s="15"/>
      <c r="S1019" s="12" t="s">
        <v>12</v>
      </c>
      <c r="T1019" s="15"/>
      <c r="U1019" s="1"/>
      <c r="V1019" s="1"/>
      <c r="W1019" s="1"/>
      <c r="X1019" s="1"/>
      <c r="Y1019" s="1"/>
      <c r="Z1019" s="1"/>
      <c r="AA1019" s="1"/>
      <c r="AB1019" s="246"/>
    </row>
    <row r="1020" spans="2:28" ht="16.5" thickBot="1">
      <c r="B1020" s="11"/>
      <c r="C1020" s="369"/>
      <c r="D1020" s="1">
        <f>IF(OR(G1020&lt;0,G1020=""),1,0)</f>
        <v>0</v>
      </c>
      <c r="E1020" s="458" t="s">
        <v>157</v>
      </c>
      <c r="F1020" s="450" t="s">
        <v>19</v>
      </c>
      <c r="G1020" s="548">
        <v>0.21</v>
      </c>
      <c r="H1020" s="270"/>
      <c r="I1020" s="12" t="s">
        <v>12</v>
      </c>
      <c r="J1020" s="403"/>
      <c r="K1020" s="1"/>
      <c r="L1020" s="11"/>
      <c r="M1020" s="1"/>
      <c r="N1020" s="1"/>
      <c r="O1020" s="1"/>
      <c r="P1020" s="1"/>
      <c r="Q1020" s="1"/>
      <c r="R1020" s="1"/>
      <c r="S1020" s="1"/>
      <c r="T1020" s="1"/>
      <c r="U1020" s="1"/>
      <c r="V1020" s="1"/>
      <c r="W1020" s="1"/>
      <c r="X1020" s="1"/>
      <c r="Y1020" s="1"/>
      <c r="Z1020" s="1"/>
      <c r="AA1020" s="1"/>
      <c r="AB1020" s="246"/>
    </row>
    <row r="1021" spans="2:28" ht="16.5" thickBot="1">
      <c r="B1021" s="11"/>
      <c r="C1021" s="373"/>
      <c r="D1021" s="1"/>
      <c r="E1021" s="513" t="s">
        <v>75</v>
      </c>
      <c r="F1021" s="549"/>
      <c r="G1021" s="517" t="s">
        <v>76</v>
      </c>
      <c r="H1021" s="282"/>
      <c r="I1021" s="12" t="s">
        <v>12</v>
      </c>
      <c r="J1021" s="246"/>
      <c r="K1021" s="1"/>
      <c r="L1021" s="11"/>
      <c r="M1021" s="15"/>
      <c r="N1021" s="15"/>
      <c r="O1021" s="348" t="s">
        <v>158</v>
      </c>
      <c r="P1021" s="432" t="s">
        <v>159</v>
      </c>
      <c r="Q1021" s="432"/>
      <c r="R1021" s="432"/>
      <c r="S1021" s="432"/>
      <c r="T1021" s="432"/>
      <c r="U1021" s="432"/>
      <c r="V1021" s="432"/>
      <c r="W1021" s="432"/>
      <c r="X1021" s="432"/>
      <c r="Y1021" s="432"/>
      <c r="Z1021" s="315"/>
      <c r="AA1021" s="1"/>
      <c r="AB1021" s="246"/>
    </row>
    <row r="1022" spans="2:28" ht="15.75">
      <c r="B1022" s="11"/>
      <c r="C1022" s="369"/>
      <c r="D1022" s="1">
        <f>IF(OR(G1022&lt;0,G1022=""),1,0)</f>
        <v>0</v>
      </c>
      <c r="E1022" s="458" t="s">
        <v>160</v>
      </c>
      <c r="F1022" s="450" t="s">
        <v>19</v>
      </c>
      <c r="G1022" s="682">
        <v>0.09</v>
      </c>
      <c r="H1022" s="270"/>
      <c r="I1022" s="12" t="s">
        <v>12</v>
      </c>
      <c r="J1022" s="403"/>
      <c r="K1022" s="1"/>
      <c r="L1022" s="11"/>
      <c r="M1022" s="373"/>
      <c r="N1022" s="15"/>
      <c r="O1022" s="515" t="s">
        <v>161</v>
      </c>
      <c r="P1022" s="496" t="str">
        <f>[2]Input_Dashboard!$D$141</f>
        <v>No</v>
      </c>
      <c r="Q1022" s="1"/>
      <c r="R1022" s="1"/>
      <c r="S1022" s="419" t="s">
        <v>12</v>
      </c>
      <c r="T1022" s="1"/>
      <c r="U1022" s="1"/>
      <c r="V1022" s="1"/>
      <c r="W1022" s="1"/>
      <c r="X1022" s="1"/>
      <c r="Y1022" s="1"/>
      <c r="Z1022" s="246"/>
      <c r="AA1022" s="1"/>
      <c r="AB1022" s="246"/>
    </row>
    <row r="1023" spans="2:28" ht="16.5" thickBot="1">
      <c r="B1023" s="11"/>
      <c r="C1023" s="373"/>
      <c r="D1023" s="1"/>
      <c r="E1023" s="513" t="s">
        <v>162</v>
      </c>
      <c r="F1023" s="549"/>
      <c r="G1023" s="517" t="s">
        <v>76</v>
      </c>
      <c r="H1023" s="282"/>
      <c r="I1023" s="12" t="s">
        <v>12</v>
      </c>
      <c r="J1023" s="403"/>
      <c r="K1023" s="1"/>
      <c r="L1023" s="11"/>
      <c r="M1023" s="375"/>
      <c r="N1023" s="1"/>
      <c r="O1023" s="455" t="s">
        <v>163</v>
      </c>
      <c r="P1023" s="683">
        <f>[2]Input_Dashboard!D1088</f>
        <v>0</v>
      </c>
      <c r="Q1023" s="1"/>
      <c r="R1023" s="1"/>
      <c r="S1023" s="12" t="s">
        <v>12</v>
      </c>
      <c r="T1023" s="1"/>
      <c r="U1023" s="1"/>
      <c r="V1023" s="1"/>
      <c r="W1023" s="1"/>
      <c r="X1023" s="1"/>
      <c r="Y1023" s="1"/>
      <c r="Z1023" s="246"/>
      <c r="AA1023" s="1"/>
      <c r="AB1023" s="246"/>
    </row>
    <row r="1024" spans="2:28" ht="16.5" thickBot="1">
      <c r="B1024" s="11"/>
      <c r="C1024" s="1"/>
      <c r="D1024" s="1"/>
      <c r="E1024" s="550" t="s">
        <v>164</v>
      </c>
      <c r="F1024" s="551" t="s">
        <v>19</v>
      </c>
      <c r="G1024" s="552"/>
      <c r="H1024" s="295"/>
      <c r="I1024" s="12" t="s">
        <v>12</v>
      </c>
      <c r="J1024" s="403"/>
      <c r="K1024" s="1"/>
      <c r="L1024" s="11"/>
      <c r="M1024" s="1"/>
      <c r="N1024" s="1"/>
      <c r="O1024" s="296"/>
      <c r="P1024" s="40"/>
      <c r="Q1024" s="40"/>
      <c r="R1024" s="40"/>
      <c r="S1024" s="40"/>
      <c r="T1024" s="40"/>
      <c r="U1024" s="40"/>
      <c r="V1024" s="40"/>
      <c r="W1024" s="40"/>
      <c r="X1024" s="40"/>
      <c r="Y1024" s="40"/>
      <c r="Z1024" s="305"/>
      <c r="AA1024" s="1"/>
      <c r="AB1024" s="246"/>
    </row>
    <row r="1025" spans="2:28" ht="16.5" thickBot="1">
      <c r="B1025" s="11"/>
      <c r="C1025" s="1"/>
      <c r="D1025" s="1"/>
      <c r="E1025" s="455" t="s">
        <v>158</v>
      </c>
      <c r="F1025" s="498"/>
      <c r="G1025" s="499" t="s">
        <v>165</v>
      </c>
      <c r="H1025" s="55"/>
      <c r="I1025" s="12" t="s">
        <v>12</v>
      </c>
      <c r="J1025" s="246"/>
      <c r="K1025" s="1"/>
      <c r="L1025" s="11"/>
      <c r="M1025" s="15"/>
      <c r="N1025" s="15"/>
      <c r="O1025" s="542" t="s">
        <v>166</v>
      </c>
      <c r="P1025" s="543" t="s">
        <v>167</v>
      </c>
      <c r="Q1025" s="648" t="s">
        <v>168</v>
      </c>
      <c r="R1025" s="775" t="s">
        <v>169</v>
      </c>
      <c r="S1025" s="776"/>
      <c r="T1025" s="777"/>
      <c r="U1025" s="543" t="s">
        <v>170</v>
      </c>
      <c r="V1025" s="543" t="s">
        <v>171</v>
      </c>
      <c r="W1025" s="543" t="s">
        <v>172</v>
      </c>
      <c r="X1025" s="543" t="s">
        <v>173</v>
      </c>
      <c r="Y1025" s="543" t="s">
        <v>174</v>
      </c>
      <c r="Z1025" s="544" t="s">
        <v>175</v>
      </c>
      <c r="AA1025" s="1"/>
      <c r="AB1025" s="246"/>
    </row>
    <row r="1026" spans="2:28" ht="16.5" thickBot="1">
      <c r="B1026" s="11"/>
      <c r="C1026" s="1"/>
      <c r="D1026" s="1"/>
      <c r="E1026" s="1"/>
      <c r="F1026" s="1"/>
      <c r="G1026" s="1"/>
      <c r="H1026" s="1"/>
      <c r="I1026" s="1"/>
      <c r="J1026" s="246"/>
      <c r="K1026" s="1"/>
      <c r="L1026" s="11">
        <f>IF(AND($G$73="Yes",$G$15="Simple"),1,0)</f>
        <v>0</v>
      </c>
      <c r="M1026" s="15"/>
      <c r="N1026" s="230">
        <f>IF(AND($G$15="Simple",SUM(P1026:Z1026)=1),1,IF(AND($G$15="Simple",SUM(P1026:Z1026)&lt;&gt;1),2,0))</f>
        <v>0</v>
      </c>
      <c r="O1026" s="545" t="str">
        <f t="shared" ref="O1026:O1031" si="11">E962</f>
        <v>Total Installed Cost</v>
      </c>
      <c r="P1026" s="590">
        <v>0.94</v>
      </c>
      <c r="Q1026" s="649">
        <v>0</v>
      </c>
      <c r="R1026" s="778">
        <v>1.4999999999999999E-2</v>
      </c>
      <c r="S1026" s="779"/>
      <c r="T1026" s="780"/>
      <c r="U1026" s="590">
        <v>0.01</v>
      </c>
      <c r="V1026" s="590">
        <v>0</v>
      </c>
      <c r="W1026" s="590">
        <v>0</v>
      </c>
      <c r="X1026" s="590">
        <v>0.01</v>
      </c>
      <c r="Y1026" s="590">
        <v>0</v>
      </c>
      <c r="Z1026" s="593">
        <v>2.5000000000000001E-2</v>
      </c>
      <c r="AA1026" s="1"/>
      <c r="AB1026" s="294" t="s">
        <v>12</v>
      </c>
    </row>
    <row r="1027" spans="2:28" ht="16.5" thickBot="1">
      <c r="B1027" s="296"/>
      <c r="C1027" s="40"/>
      <c r="D1027" s="40"/>
      <c r="E1027" s="40"/>
      <c r="F1027" s="40"/>
      <c r="G1027" s="40"/>
      <c r="H1027" s="40"/>
      <c r="I1027" s="40"/>
      <c r="J1027" s="305"/>
      <c r="K1027" s="1"/>
      <c r="L1027" s="11">
        <f>IF(AND($G$73="Yes",$G$15="Intermediate"),1,0)</f>
        <v>1</v>
      </c>
      <c r="M1027" s="15"/>
      <c r="N1027" s="230">
        <f>IF(AND($G$15="Intermediate",SUM(P1027:Z1027)=1),1,IF(AND($G$15="Intermediate",SUM(P1027:Z1027)&lt;&gt;1),2,0))</f>
        <v>1</v>
      </c>
      <c r="O1027" s="595" t="str">
        <f t="shared" si="11"/>
        <v>Generation Equipment</v>
      </c>
      <c r="P1027" s="723">
        <v>0.96</v>
      </c>
      <c r="Q1027" s="724">
        <v>0</v>
      </c>
      <c r="R1027" s="781">
        <v>0.02</v>
      </c>
      <c r="S1027" s="782"/>
      <c r="T1027" s="783"/>
      <c r="U1027" s="725">
        <v>0</v>
      </c>
      <c r="V1027" s="725">
        <v>0</v>
      </c>
      <c r="W1027" s="725">
        <v>0</v>
      </c>
      <c r="X1027" s="725">
        <v>0.02</v>
      </c>
      <c r="Y1027" s="725">
        <v>0</v>
      </c>
      <c r="Z1027" s="726">
        <v>0</v>
      </c>
      <c r="AA1027" s="1"/>
      <c r="AB1027" s="294" t="s">
        <v>12</v>
      </c>
    </row>
    <row r="1028" spans="2:28" ht="15.75">
      <c r="B1028" s="1"/>
      <c r="C1028" s="1"/>
      <c r="D1028" s="1"/>
      <c r="E1028" s="1"/>
      <c r="F1028" s="1"/>
      <c r="G1028" s="1"/>
      <c r="H1028" s="1"/>
      <c r="I1028" s="1"/>
      <c r="J1028" s="1"/>
      <c r="K1028" s="1"/>
      <c r="L1028" s="11">
        <f>IF(AND($G$73="Yes",$G$15="Intermediate"),1,0)</f>
        <v>1</v>
      </c>
      <c r="M1028" s="15"/>
      <c r="N1028" s="230">
        <f>IF(AND($G$15="Intermediate",SUM(P1028:Z1028)=1),1,IF(AND($G$15="Intermediate",SUM(P1028:Z1028)&lt;&gt;1),2,0))</f>
        <v>1</v>
      </c>
      <c r="O1028" s="596" t="str">
        <f t="shared" si="11"/>
        <v>Balance of Plant</v>
      </c>
      <c r="P1028" s="723">
        <v>0.5</v>
      </c>
      <c r="Q1028" s="724">
        <v>0</v>
      </c>
      <c r="R1028" s="784">
        <v>0</v>
      </c>
      <c r="S1028" s="785"/>
      <c r="T1028" s="786"/>
      <c r="U1028" s="724">
        <v>0</v>
      </c>
      <c r="V1028" s="724">
        <v>0</v>
      </c>
      <c r="W1028" s="724">
        <v>0.5</v>
      </c>
      <c r="X1028" s="724">
        <v>0</v>
      </c>
      <c r="Y1028" s="724">
        <v>0</v>
      </c>
      <c r="Z1028" s="727">
        <v>0</v>
      </c>
      <c r="AA1028" s="1"/>
      <c r="AB1028" s="294" t="s">
        <v>12</v>
      </c>
    </row>
    <row r="1029" spans="2:28" ht="15.75">
      <c r="B1029" s="1"/>
      <c r="C1029" s="1"/>
      <c r="D1029" s="1"/>
      <c r="E1029" s="1"/>
      <c r="F1029" s="1"/>
      <c r="G1029" s="1"/>
      <c r="H1029" s="1"/>
      <c r="I1029" s="1"/>
      <c r="J1029" s="1"/>
      <c r="K1029" s="1"/>
      <c r="L1029" s="11">
        <f>IF(AND($G$73="Yes",$G$15="Intermediate"),1,0)</f>
        <v>1</v>
      </c>
      <c r="M1029" s="15"/>
      <c r="N1029" s="230">
        <f>IF(AND($G$15="Intermediate",SUM(P1029:Z1029)=1),1,IF(AND($G$15="Intermediate",SUM(P1029:Z1029)&lt;&gt;1),2,0))</f>
        <v>1</v>
      </c>
      <c r="O1029" s="596" t="str">
        <f t="shared" si="11"/>
        <v>Interconnection</v>
      </c>
      <c r="P1029" s="723">
        <v>0</v>
      </c>
      <c r="Q1029" s="724">
        <v>0</v>
      </c>
      <c r="R1029" s="784">
        <v>0</v>
      </c>
      <c r="S1029" s="785"/>
      <c r="T1029" s="786"/>
      <c r="U1029" s="724">
        <v>0</v>
      </c>
      <c r="V1029" s="724">
        <v>0</v>
      </c>
      <c r="W1029" s="724">
        <v>1</v>
      </c>
      <c r="X1029" s="724">
        <v>0</v>
      </c>
      <c r="Y1029" s="724">
        <v>0</v>
      </c>
      <c r="Z1029" s="727">
        <v>0</v>
      </c>
      <c r="AA1029" s="1"/>
      <c r="AB1029" s="294" t="s">
        <v>12</v>
      </c>
    </row>
    <row r="1030" spans="2:28" ht="15.75">
      <c r="B1030" s="1"/>
      <c r="C1030" s="1"/>
      <c r="D1030" s="1"/>
      <c r="E1030" s="1"/>
      <c r="F1030" s="1"/>
      <c r="G1030" s="1"/>
      <c r="H1030" s="1"/>
      <c r="I1030" s="1"/>
      <c r="J1030" s="1"/>
      <c r="K1030" s="1"/>
      <c r="L1030" s="11">
        <f>IF(AND($G$73="Yes",$G$15="Intermediate"),1,0)</f>
        <v>1</v>
      </c>
      <c r="M1030" s="15"/>
      <c r="N1030" s="230">
        <f>IF(AND($G$15="Intermediate",SUM(P1030:Z1030)=1),1,IF(AND($G$15="Intermediate",SUM(P1030:Z1030)&lt;&gt;1),2,0))</f>
        <v>1</v>
      </c>
      <c r="O1030" s="596" t="str">
        <f t="shared" si="11"/>
        <v>Development Costs &amp; Fee</v>
      </c>
      <c r="P1030" s="723">
        <v>0.8</v>
      </c>
      <c r="Q1030" s="724">
        <v>0</v>
      </c>
      <c r="R1030" s="784">
        <v>0</v>
      </c>
      <c r="S1030" s="785"/>
      <c r="T1030" s="786"/>
      <c r="U1030" s="724">
        <v>0</v>
      </c>
      <c r="V1030" s="724">
        <v>0</v>
      </c>
      <c r="W1030" s="724">
        <v>0.05</v>
      </c>
      <c r="X1030" s="724">
        <v>0.05</v>
      </c>
      <c r="Y1030" s="724">
        <v>0</v>
      </c>
      <c r="Z1030" s="727">
        <v>0.1</v>
      </c>
      <c r="AA1030" s="1"/>
      <c r="AB1030" s="294" t="s">
        <v>12</v>
      </c>
    </row>
    <row r="1031" spans="2:28" ht="16.5" thickBot="1">
      <c r="B1031" s="1"/>
      <c r="C1031" s="1"/>
      <c r="D1031" s="1"/>
      <c r="E1031" s="1"/>
      <c r="F1031" s="1"/>
      <c r="G1031" s="1"/>
      <c r="H1031" s="1"/>
      <c r="I1031" s="1"/>
      <c r="J1031" s="1"/>
      <c r="K1031" s="1"/>
      <c r="L1031" s="11">
        <f>IF(AND($G$73="Yes",$G$15="Intermediate"),1,0)</f>
        <v>1</v>
      </c>
      <c r="M1031" s="15"/>
      <c r="N1031" s="230">
        <f>IF(AND($G$15="Intermediate",SUM(P1031:Z1031)=1),1,IF(AND($G$15="Intermediate",SUM(P1031:Z1031)&lt;&gt;1),2,0))</f>
        <v>1</v>
      </c>
      <c r="O1031" s="597" t="str">
        <f t="shared" si="11"/>
        <v>Reserves &amp; Financing Costs</v>
      </c>
      <c r="P1031" s="728">
        <v>0</v>
      </c>
      <c r="Q1031" s="729">
        <v>0</v>
      </c>
      <c r="R1031" s="766">
        <v>0</v>
      </c>
      <c r="S1031" s="767"/>
      <c r="T1031" s="768"/>
      <c r="U1031" s="729">
        <v>0</v>
      </c>
      <c r="V1031" s="729">
        <v>0</v>
      </c>
      <c r="W1031" s="729">
        <v>0</v>
      </c>
      <c r="X1031" s="729">
        <v>0.5</v>
      </c>
      <c r="Y1031" s="729">
        <v>0</v>
      </c>
      <c r="Z1031" s="730">
        <v>0.5</v>
      </c>
      <c r="AA1031" s="1"/>
      <c r="AB1031" s="294" t="s">
        <v>12</v>
      </c>
    </row>
    <row r="1032" spans="2:28" ht="16.5" thickBot="1">
      <c r="B1032" s="1"/>
      <c r="C1032" s="1"/>
      <c r="D1032" s="1"/>
      <c r="E1032" s="1"/>
      <c r="F1032" s="1"/>
      <c r="G1032" s="1"/>
      <c r="H1032" s="1"/>
      <c r="I1032" s="1"/>
      <c r="J1032" s="1"/>
      <c r="K1032" s="1"/>
      <c r="L1032" s="296">
        <f>IF(AND($G$73="Yes",$G$15="Complex"),1,0)</f>
        <v>0</v>
      </c>
      <c r="M1032" s="647"/>
      <c r="N1032" s="647"/>
      <c r="O1032" s="546" t="s">
        <v>176</v>
      </c>
      <c r="P1032" s="591"/>
      <c r="Q1032" s="592"/>
      <c r="R1032" s="769"/>
      <c r="S1032" s="770"/>
      <c r="T1032" s="771"/>
      <c r="U1032" s="591"/>
      <c r="V1032" s="591"/>
      <c r="W1032" s="591"/>
      <c r="X1032" s="591"/>
      <c r="Y1032" s="591"/>
      <c r="Z1032" s="594"/>
      <c r="AA1032" s="40"/>
      <c r="AB1032" s="421" t="s">
        <v>12</v>
      </c>
    </row>
    <row r="1034" spans="2:28" ht="36.75" thickBot="1">
      <c r="E1034" s="731" t="s">
        <v>189</v>
      </c>
    </row>
    <row r="1035" spans="2:28" ht="18.75" thickBot="1">
      <c r="B1035" s="413"/>
      <c r="C1035" s="772" t="s">
        <v>1</v>
      </c>
      <c r="D1035" s="772"/>
      <c r="E1035" s="772"/>
      <c r="F1035" s="772"/>
      <c r="G1035" s="772"/>
      <c r="H1035" s="772"/>
      <c r="I1035" s="772"/>
      <c r="J1035" s="772"/>
      <c r="K1035" s="772"/>
      <c r="L1035" s="773"/>
      <c r="M1035" s="773"/>
      <c r="N1035" s="773"/>
      <c r="O1035" s="773"/>
      <c r="P1035" s="773"/>
      <c r="Q1035" s="773"/>
      <c r="R1035" s="773"/>
      <c r="S1035" s="773"/>
      <c r="T1035" s="773"/>
      <c r="U1035" s="328"/>
      <c r="V1035" s="329"/>
      <c r="W1035" s="329"/>
      <c r="X1035" s="329"/>
      <c r="Y1035" s="329"/>
      <c r="Z1035" s="329"/>
      <c r="AA1035" s="329"/>
      <c r="AB1035" s="330"/>
    </row>
    <row r="1036" spans="2:28" ht="18">
      <c r="B1036" s="11"/>
      <c r="C1036" s="266"/>
      <c r="D1036" s="266"/>
      <c r="E1036" s="266"/>
      <c r="F1036" s="266"/>
      <c r="G1036" s="266"/>
      <c r="H1036" s="266"/>
      <c r="I1036" s="266"/>
      <c r="J1036" s="266"/>
      <c r="K1036" s="341"/>
      <c r="L1036" s="265"/>
      <c r="M1036" s="266"/>
      <c r="N1036" s="266"/>
      <c r="O1036" s="266"/>
      <c r="P1036" s="266"/>
      <c r="Q1036" s="266"/>
      <c r="R1036" s="266"/>
      <c r="S1036" s="266"/>
      <c r="T1036" s="266"/>
      <c r="U1036" s="266"/>
      <c r="V1036" s="267"/>
      <c r="W1036" s="267"/>
      <c r="X1036" s="267"/>
      <c r="Y1036" s="267"/>
      <c r="Z1036" s="267"/>
      <c r="AA1036" s="267"/>
      <c r="AB1036" s="297"/>
    </row>
    <row r="1037" spans="2:28" ht="18.75" thickBot="1">
      <c r="B1037" s="11"/>
      <c r="C1037" s="401" t="s">
        <v>2</v>
      </c>
      <c r="D1037" s="14"/>
      <c r="E1037" s="1"/>
      <c r="F1037" s="15"/>
      <c r="G1037" s="1"/>
      <c r="H1037" s="392"/>
      <c r="I1037" s="414" t="s">
        <v>3</v>
      </c>
      <c r="J1037" s="1"/>
      <c r="K1037" s="342"/>
      <c r="L1037" s="298"/>
      <c r="M1037" s="401" t="s">
        <v>2</v>
      </c>
      <c r="N1037" s="15"/>
      <c r="O1037" s="774" t="s">
        <v>4</v>
      </c>
      <c r="P1037" s="774"/>
      <c r="Q1037" s="420"/>
      <c r="R1037" s="15"/>
      <c r="S1037" s="401" t="s">
        <v>3</v>
      </c>
      <c r="T1037" s="393"/>
      <c r="U1037" s="14"/>
      <c r="V1037" s="1"/>
      <c r="W1037" s="1"/>
      <c r="X1037" s="1"/>
      <c r="Y1037" s="1"/>
      <c r="Z1037" s="1"/>
      <c r="AA1037" s="1"/>
      <c r="AB1037" s="246"/>
    </row>
    <row r="1038" spans="2:28" ht="18.75" thickBot="1">
      <c r="B1038" s="415"/>
      <c r="C1038" s="267"/>
      <c r="D1038" s="267"/>
      <c r="E1038" s="20"/>
      <c r="F1038" s="16"/>
      <c r="G1038" s="19"/>
      <c r="H1038" s="416"/>
      <c r="I1038" s="417"/>
      <c r="J1038" s="418"/>
      <c r="K1038" s="15"/>
      <c r="L1038" s="415"/>
      <c r="M1038" s="267"/>
      <c r="N1038" s="267"/>
      <c r="O1038" s="267"/>
      <c r="P1038" s="267"/>
      <c r="Q1038" s="267"/>
      <c r="R1038" s="267"/>
      <c r="S1038" s="267"/>
      <c r="T1038" s="267"/>
      <c r="U1038" s="267"/>
      <c r="V1038" s="267"/>
      <c r="W1038" s="267"/>
      <c r="X1038" s="267"/>
      <c r="Y1038" s="267"/>
      <c r="Z1038" s="267"/>
      <c r="AA1038" s="267"/>
      <c r="AB1038" s="297"/>
    </row>
    <row r="1039" spans="2:28" ht="21" thickBot="1">
      <c r="B1039" s="11"/>
      <c r="C1039" s="1"/>
      <c r="D1039" s="1"/>
      <c r="E1039" s="2" t="s">
        <v>5</v>
      </c>
      <c r="F1039" s="347" t="s">
        <v>6</v>
      </c>
      <c r="G1039" s="411" t="s">
        <v>7</v>
      </c>
      <c r="H1039" s="57"/>
      <c r="I1039" s="17"/>
      <c r="J1039" s="402"/>
      <c r="K1039" s="15"/>
      <c r="L1039" s="11"/>
      <c r="M1039" s="1"/>
      <c r="N1039" s="1"/>
      <c r="O1039" s="2" t="s">
        <v>8</v>
      </c>
      <c r="P1039" s="347" t="s">
        <v>6</v>
      </c>
      <c r="Q1039" s="411" t="s">
        <v>7</v>
      </c>
      <c r="R1039" s="1"/>
      <c r="S1039" s="1"/>
      <c r="T1039" s="1"/>
      <c r="U1039" s="645" t="s">
        <v>9</v>
      </c>
      <c r="V1039" s="1"/>
      <c r="W1039" s="1"/>
      <c r="X1039" s="1"/>
      <c r="Y1039" s="1"/>
      <c r="Z1039" s="1"/>
      <c r="AA1039" s="1"/>
      <c r="AB1039" s="246"/>
    </row>
    <row r="1040" spans="2:28" ht="15.75">
      <c r="B1040" s="11"/>
      <c r="C1040" s="317"/>
      <c r="D1040" s="1"/>
      <c r="E1040" s="458" t="s">
        <v>10</v>
      </c>
      <c r="F1040" s="450" t="s">
        <v>11</v>
      </c>
      <c r="G1040" s="717">
        <v>3000</v>
      </c>
      <c r="H1040" s="269"/>
      <c r="I1040" s="12" t="s">
        <v>12</v>
      </c>
      <c r="J1040" s="403"/>
      <c r="K1040" s="15"/>
      <c r="L1040" s="11"/>
      <c r="M1040" s="371"/>
      <c r="N1040" s="1">
        <f>IF(OR(Q1040&lt;=0,Q1040&gt;G1044),1,0)</f>
        <v>0</v>
      </c>
      <c r="O1040" s="458" t="s">
        <v>13</v>
      </c>
      <c r="P1040" s="450" t="s">
        <v>14</v>
      </c>
      <c r="Q1040" s="667">
        <v>20</v>
      </c>
      <c r="R1040" s="272"/>
      <c r="S1040" s="12" t="s">
        <v>12</v>
      </c>
      <c r="T1040" s="340"/>
      <c r="U1040" s="656" t="s">
        <v>15</v>
      </c>
      <c r="V1040" s="657" t="s">
        <v>16</v>
      </c>
      <c r="W1040" s="658" t="s">
        <v>17</v>
      </c>
      <c r="X1040" s="1"/>
      <c r="Y1040" s="1"/>
      <c r="Z1040" s="1"/>
      <c r="AA1040" s="1"/>
      <c r="AB1040" s="246"/>
    </row>
    <row r="1041" spans="2:28" ht="15.75">
      <c r="B1041" s="11"/>
      <c r="C1041" s="370"/>
      <c r="D1041" s="1">
        <f>IF(OR(G1041&lt;=0,G1041&gt;1),1,0)</f>
        <v>0</v>
      </c>
      <c r="E1041" s="451" t="s">
        <v>18</v>
      </c>
      <c r="F1041" s="7" t="s">
        <v>19</v>
      </c>
      <c r="G1041" s="472">
        <v>0.21</v>
      </c>
      <c r="H1041" s="270"/>
      <c r="I1041" s="12" t="s">
        <v>12</v>
      </c>
      <c r="J1041" s="403"/>
      <c r="K1041" s="15"/>
      <c r="L1041" s="11"/>
      <c r="M1041" s="317"/>
      <c r="N1041" s="1"/>
      <c r="O1041" s="451" t="s">
        <v>20</v>
      </c>
      <c r="P1041" s="7" t="s">
        <v>19</v>
      </c>
      <c r="Q1041" s="472">
        <v>0</v>
      </c>
      <c r="R1041" s="270">
        <v>0</v>
      </c>
      <c r="S1041" s="12" t="s">
        <v>12</v>
      </c>
      <c r="T1041" s="340"/>
      <c r="U1041" s="474" t="s">
        <v>21</v>
      </c>
      <c r="V1041" s="633" t="s">
        <v>22</v>
      </c>
      <c r="W1041" s="646" t="s">
        <v>190</v>
      </c>
      <c r="X1041" s="1"/>
      <c r="Y1041" s="1"/>
      <c r="Z1041" s="1"/>
      <c r="AA1041" s="1"/>
      <c r="AB1041" s="246"/>
    </row>
    <row r="1042" spans="2:28" ht="16.5" thickBot="1">
      <c r="B1042" s="11"/>
      <c r="C1042" s="285"/>
      <c r="D1042" s="1"/>
      <c r="E1042" s="451" t="s">
        <v>24</v>
      </c>
      <c r="F1042" s="8" t="s">
        <v>25</v>
      </c>
      <c r="G1042" s="473"/>
      <c r="H1042" s="271"/>
      <c r="I1042" s="12" t="s">
        <v>12</v>
      </c>
      <c r="J1042" s="403"/>
      <c r="K1042" s="15"/>
      <c r="L1042" s="11"/>
      <c r="M1042" s="316"/>
      <c r="N1042" s="1"/>
      <c r="O1042" s="461" t="s">
        <v>26</v>
      </c>
      <c r="P1042" s="466" t="s">
        <v>19</v>
      </c>
      <c r="Q1042" s="472">
        <v>0</v>
      </c>
      <c r="R1042" s="270"/>
      <c r="S1042" s="12" t="s">
        <v>12</v>
      </c>
      <c r="T1042" s="340"/>
      <c r="U1042" s="451" t="s">
        <v>27</v>
      </c>
      <c r="V1042" s="633" t="s">
        <v>22</v>
      </c>
      <c r="W1042" s="646" t="s">
        <v>178</v>
      </c>
      <c r="X1042" s="1"/>
      <c r="Y1042" s="1"/>
      <c r="Z1042" s="1"/>
      <c r="AA1042" s="1"/>
      <c r="AB1042" s="246"/>
    </row>
    <row r="1043" spans="2:28" ht="16.5" thickBot="1">
      <c r="B1043" s="11"/>
      <c r="C1043" s="369"/>
      <c r="D1043" s="1">
        <f>IF(OR(G1043&lt;0,G1043&gt;1),1,0)</f>
        <v>0</v>
      </c>
      <c r="E1043" s="453" t="s">
        <v>29</v>
      </c>
      <c r="F1043" s="7" t="s">
        <v>19</v>
      </c>
      <c r="G1043" s="472">
        <v>5.0000000000000001E-3</v>
      </c>
      <c r="H1043" s="270"/>
      <c r="I1043" s="12" t="s">
        <v>12</v>
      </c>
      <c r="J1043" s="403"/>
      <c r="K1043" s="15"/>
      <c r="L1043" s="298"/>
      <c r="M1043" s="15"/>
      <c r="N1043" s="15"/>
      <c r="O1043" s="15"/>
      <c r="P1043" s="15"/>
      <c r="Q1043" s="15"/>
      <c r="R1043" s="15"/>
      <c r="S1043" s="15"/>
      <c r="T1043" s="15"/>
      <c r="U1043" s="639"/>
      <c r="V1043" s="636"/>
      <c r="W1043" s="640"/>
      <c r="X1043" s="123"/>
      <c r="Y1043" s="123"/>
      <c r="Z1043" s="123"/>
      <c r="AA1043" s="1"/>
      <c r="AB1043" s="246"/>
    </row>
    <row r="1044" spans="2:28" ht="16.5" thickBot="1">
      <c r="B1044" s="11"/>
      <c r="C1044" s="371"/>
      <c r="D1044" s="1">
        <f>IF(OR(G1044&lt;1,G1044&gt;30),1,0)</f>
        <v>0</v>
      </c>
      <c r="E1044" s="455" t="s">
        <v>30</v>
      </c>
      <c r="F1044" s="466" t="s">
        <v>14</v>
      </c>
      <c r="G1044" s="581">
        <v>30</v>
      </c>
      <c r="H1044" s="272"/>
      <c r="I1044" s="12" t="s">
        <v>12</v>
      </c>
      <c r="J1044" s="403"/>
      <c r="K1044" s="15"/>
      <c r="L1044" s="298"/>
      <c r="M1044" s="1"/>
      <c r="N1044" s="1"/>
      <c r="O1044" s="2" t="s">
        <v>31</v>
      </c>
      <c r="P1044" s="3"/>
      <c r="Q1044" s="4"/>
      <c r="R1044" s="15"/>
      <c r="S1044" s="12" t="s">
        <v>12</v>
      </c>
      <c r="T1044" s="123"/>
      <c r="U1044" s="474" t="s">
        <v>32</v>
      </c>
      <c r="V1044" s="634" t="s">
        <v>33</v>
      </c>
      <c r="W1044" s="669">
        <v>37.5</v>
      </c>
      <c r="X1044" s="178"/>
      <c r="Y1044" s="178"/>
      <c r="Z1044" s="178"/>
      <c r="AA1044" s="1"/>
      <c r="AB1044" s="246"/>
    </row>
    <row r="1045" spans="2:28" ht="16.5" thickBot="1">
      <c r="B1045" s="11"/>
      <c r="C1045" s="1"/>
      <c r="D1045" s="1"/>
      <c r="E1045" s="1"/>
      <c r="F1045" s="1"/>
      <c r="G1045" s="17"/>
      <c r="H1045" s="17"/>
      <c r="I1045" s="13"/>
      <c r="J1045" s="403"/>
      <c r="K1045" s="15"/>
      <c r="L1045" s="298"/>
      <c r="M1045" s="369"/>
      <c r="N1045" s="1"/>
      <c r="O1045" s="500" t="s">
        <v>34</v>
      </c>
      <c r="P1045" s="501"/>
      <c r="Q1045" s="502" t="s">
        <v>35</v>
      </c>
      <c r="R1045" s="1"/>
      <c r="S1045" s="345" t="s">
        <v>12</v>
      </c>
      <c r="T1045" s="346">
        <f>IF(Q1040&lt;G1044,1,0)</f>
        <v>1</v>
      </c>
      <c r="U1045" s="641" t="s">
        <v>36</v>
      </c>
      <c r="V1045" s="635" t="s">
        <v>19</v>
      </c>
      <c r="W1045" s="670">
        <v>0.02</v>
      </c>
      <c r="X1045" s="1"/>
      <c r="Y1045" s="123"/>
      <c r="Z1045" s="123"/>
      <c r="AA1045" s="1"/>
      <c r="AB1045" s="246"/>
    </row>
    <row r="1046" spans="2:28" ht="16.5" thickBot="1">
      <c r="B1046" s="11"/>
      <c r="C1046" s="1"/>
      <c r="D1046" s="1"/>
      <c r="E1046" s="10" t="s">
        <v>37</v>
      </c>
      <c r="F1046" s="347" t="s">
        <v>6</v>
      </c>
      <c r="G1046" s="411" t="s">
        <v>7</v>
      </c>
      <c r="H1046" s="283"/>
      <c r="I1046" s="13"/>
      <c r="J1046" s="403"/>
      <c r="K1046" s="15"/>
      <c r="L1046" s="298"/>
      <c r="M1046" s="369"/>
      <c r="N1046" s="1">
        <f>IF(OR(Q1046&lt;=0,Q1046=""),1,0)</f>
        <v>0</v>
      </c>
      <c r="O1046" s="503" t="s">
        <v>38</v>
      </c>
      <c r="P1046" s="343" t="s">
        <v>39</v>
      </c>
      <c r="Q1046" s="504">
        <v>5</v>
      </c>
      <c r="R1046" s="1"/>
      <c r="S1046" s="345" t="s">
        <v>12</v>
      </c>
      <c r="T1046" s="346">
        <f>IF(AND($Q$8&lt;$G$12,$Q$13="Year One"),1,0)</f>
        <v>0</v>
      </c>
      <c r="U1046" s="642"/>
      <c r="V1046" s="637"/>
      <c r="W1046" s="643"/>
      <c r="X1046" s="1"/>
      <c r="Y1046" s="123"/>
      <c r="Z1046" s="123"/>
      <c r="AA1046" s="1"/>
      <c r="AB1046" s="246"/>
    </row>
    <row r="1047" spans="2:28" ht="16.5" thickBot="1">
      <c r="B1047" s="11"/>
      <c r="C1047" s="318"/>
      <c r="D1047" s="1"/>
      <c r="E1047" s="438" t="s">
        <v>40</v>
      </c>
      <c r="F1047" s="439"/>
      <c r="G1047" s="440" t="s">
        <v>41</v>
      </c>
      <c r="H1047" s="281"/>
      <c r="I1047" s="12" t="s">
        <v>12</v>
      </c>
      <c r="J1047" s="403"/>
      <c r="K1047" s="15"/>
      <c r="L1047" s="298"/>
      <c r="M1047" s="369"/>
      <c r="N1047" s="1">
        <f>IF(OR(Q1047&lt;=0,Q1047=""),1,0)</f>
        <v>0</v>
      </c>
      <c r="O1047" s="505" t="s">
        <v>42</v>
      </c>
      <c r="P1047" s="344" t="s">
        <v>19</v>
      </c>
      <c r="Q1047" s="506">
        <v>0.03</v>
      </c>
      <c r="R1047" s="1"/>
      <c r="S1047" s="368" t="s">
        <v>12</v>
      </c>
      <c r="T1047" s="346">
        <f>IF(AND($Q$8&lt;$G$12,$Q$13="Year One"),1,0)</f>
        <v>0</v>
      </c>
      <c r="U1047" s="451" t="s">
        <v>43</v>
      </c>
      <c r="V1047" s="633" t="s">
        <v>19</v>
      </c>
      <c r="W1047" s="581">
        <v>0</v>
      </c>
      <c r="X1047" s="1"/>
      <c r="Y1047" s="123"/>
      <c r="Z1047" s="123"/>
      <c r="AA1047" s="1"/>
      <c r="AB1047" s="246"/>
    </row>
    <row r="1048" spans="2:28" ht="16.5" thickBot="1">
      <c r="B1048" s="11"/>
      <c r="C1048" s="319"/>
      <c r="D1048" s="1"/>
      <c r="E1048" s="441" t="s">
        <v>44</v>
      </c>
      <c r="F1048" s="442" t="s">
        <v>33</v>
      </c>
      <c r="G1048" s="443">
        <v>2500</v>
      </c>
      <c r="H1048" s="273"/>
      <c r="I1048" s="366" t="s">
        <v>12</v>
      </c>
      <c r="J1048" s="404"/>
      <c r="K1048" s="15"/>
      <c r="L1048" s="298"/>
      <c r="M1048" s="1"/>
      <c r="N1048" s="1"/>
      <c r="O1048" s="507" t="str">
        <f>IF(OR($Q$13="Year One",$Q$8=$G$12),"","Click Here for Complex Input Worksheet")</f>
        <v>Click Here for Complex Input Worksheet</v>
      </c>
      <c r="P1048" s="508"/>
      <c r="Q1048" s="509"/>
      <c r="R1048" s="1"/>
      <c r="S1048" s="366" t="s">
        <v>12</v>
      </c>
      <c r="T1048" s="346">
        <f>IF(AND($Q$8&lt;$G$12,$Q$13="Year-by-Year"),1,0)</f>
        <v>1</v>
      </c>
      <c r="U1048" s="451" t="s">
        <v>45</v>
      </c>
      <c r="V1048" s="633" t="s">
        <v>19</v>
      </c>
      <c r="W1048" s="670">
        <v>0.02</v>
      </c>
      <c r="X1048" s="123"/>
      <c r="Y1048" s="123"/>
      <c r="Z1048" s="123"/>
      <c r="AA1048" s="1"/>
      <c r="AB1048" s="246"/>
    </row>
    <row r="1049" spans="2:28" ht="16.5" thickBot="1">
      <c r="B1049" s="11"/>
      <c r="C1049" s="320"/>
      <c r="D1049" s="1"/>
      <c r="E1049" s="444" t="s">
        <v>46</v>
      </c>
      <c r="F1049" s="343" t="s">
        <v>47</v>
      </c>
      <c r="G1049" s="718">
        <v>10645200</v>
      </c>
      <c r="H1049" s="274"/>
      <c r="I1049" s="366" t="s">
        <v>12</v>
      </c>
      <c r="J1049" s="403"/>
      <c r="K1049" s="15"/>
      <c r="L1049" s="298"/>
      <c r="M1049" s="1"/>
      <c r="N1049" s="1"/>
      <c r="O1049" s="1"/>
      <c r="P1049" s="1"/>
      <c r="Q1049" s="1"/>
      <c r="R1049" s="1"/>
      <c r="S1049" s="1"/>
      <c r="T1049" s="179"/>
      <c r="U1049" s="644"/>
      <c r="V1049" s="638"/>
      <c r="W1049" s="643"/>
      <c r="X1049" s="123"/>
      <c r="Y1049" s="123"/>
      <c r="Z1049" s="123"/>
      <c r="AA1049" s="1"/>
      <c r="AB1049" s="246"/>
    </row>
    <row r="1050" spans="2:28" ht="16.5" thickBot="1">
      <c r="B1050" s="11"/>
      <c r="C1050" s="376"/>
      <c r="D1050" s="1"/>
      <c r="E1050" s="444" t="s">
        <v>48</v>
      </c>
      <c r="F1050" s="343" t="s">
        <v>47</v>
      </c>
      <c r="G1050" s="718">
        <v>0</v>
      </c>
      <c r="H1050" s="274"/>
      <c r="I1050" s="366" t="s">
        <v>12</v>
      </c>
      <c r="J1050" s="403"/>
      <c r="K1050" s="15"/>
      <c r="L1050" s="298"/>
      <c r="M1050" s="1"/>
      <c r="N1050" s="1"/>
      <c r="O1050" s="5" t="s">
        <v>49</v>
      </c>
      <c r="P1050" s="347" t="s">
        <v>6</v>
      </c>
      <c r="Q1050" s="411" t="s">
        <v>7</v>
      </c>
      <c r="R1050" s="120"/>
      <c r="S1050" s="13"/>
      <c r="T1050" s="179"/>
      <c r="U1050" s="641" t="s">
        <v>50</v>
      </c>
      <c r="V1050" s="257" t="s">
        <v>47</v>
      </c>
      <c r="W1050" s="581">
        <v>0</v>
      </c>
      <c r="X1050" s="123"/>
      <c r="Y1050" s="1"/>
      <c r="Z1050" s="1"/>
      <c r="AA1050" s="1"/>
      <c r="AB1050" s="246"/>
    </row>
    <row r="1051" spans="2:28" ht="16.5" thickBot="1">
      <c r="B1051" s="11"/>
      <c r="C1051" s="376"/>
      <c r="D1051" s="1"/>
      <c r="E1051" s="444" t="s">
        <v>51</v>
      </c>
      <c r="F1051" s="343" t="s">
        <v>47</v>
      </c>
      <c r="G1051" s="718">
        <v>0</v>
      </c>
      <c r="H1051" s="274"/>
      <c r="I1051" s="366" t="s">
        <v>12</v>
      </c>
      <c r="J1051" s="403"/>
      <c r="K1051" s="15"/>
      <c r="L1051" s="298"/>
      <c r="M1051" s="374"/>
      <c r="N1051" s="1"/>
      <c r="O1051" s="518" t="s">
        <v>52</v>
      </c>
      <c r="P1051" s="519"/>
      <c r="Q1051" s="520" t="s">
        <v>53</v>
      </c>
      <c r="R1051" s="1"/>
      <c r="S1051" s="12" t="s">
        <v>12</v>
      </c>
      <c r="T1051" s="1"/>
      <c r="U1051" s="489" t="s">
        <v>54</v>
      </c>
      <c r="V1051" s="719" t="s">
        <v>55</v>
      </c>
      <c r="W1051" s="720">
        <v>0</v>
      </c>
      <c r="X1051" s="1"/>
      <c r="Y1051" s="1"/>
      <c r="Z1051" s="1"/>
      <c r="AA1051" s="1"/>
      <c r="AB1051" s="246"/>
    </row>
    <row r="1052" spans="2:28" ht="15.75">
      <c r="B1052" s="11"/>
      <c r="C1052" s="376"/>
      <c r="D1052" s="1"/>
      <c r="E1052" s="604" t="s">
        <v>56</v>
      </c>
      <c r="F1052" s="343" t="s">
        <v>47</v>
      </c>
      <c r="G1052" s="721">
        <v>0</v>
      </c>
      <c r="H1052" s="274"/>
      <c r="I1052" s="366" t="s">
        <v>12</v>
      </c>
      <c r="J1052" s="403"/>
      <c r="K1052" s="15"/>
      <c r="L1052" s="298"/>
      <c r="M1052" s="374"/>
      <c r="N1052" s="1"/>
      <c r="O1052" s="458" t="s">
        <v>57</v>
      </c>
      <c r="P1052" s="450"/>
      <c r="Q1052" s="496" t="s">
        <v>58</v>
      </c>
      <c r="R1052" s="15"/>
      <c r="S1052" s="12" t="s">
        <v>12</v>
      </c>
      <c r="T1052" s="15"/>
      <c r="U1052" s="1"/>
      <c r="V1052" s="1"/>
      <c r="W1052" s="1"/>
      <c r="X1052" s="1"/>
      <c r="Y1052" s="1"/>
      <c r="Z1052" s="1"/>
      <c r="AA1052" s="1"/>
      <c r="AB1052" s="246"/>
    </row>
    <row r="1053" spans="2:28" ht="15.75">
      <c r="B1053" s="11"/>
      <c r="C1053" s="321"/>
      <c r="D1053" s="1"/>
      <c r="E1053" s="444" t="s">
        <v>59</v>
      </c>
      <c r="F1053" s="343" t="s">
        <v>47</v>
      </c>
      <c r="G1053" s="445"/>
      <c r="H1053" s="275"/>
      <c r="I1053" s="366" t="s">
        <v>12</v>
      </c>
      <c r="J1053" s="403"/>
      <c r="K1053" s="15"/>
      <c r="L1053" s="298"/>
      <c r="M1053" s="374"/>
      <c r="N1053" s="1">
        <f>IF(OR(Q1053&lt;0,Q1053&gt;1,Q1053=""),1,0)</f>
        <v>0</v>
      </c>
      <c r="O1053" s="468" t="s">
        <v>60</v>
      </c>
      <c r="P1053" s="6" t="s">
        <v>19</v>
      </c>
      <c r="Q1053" s="674">
        <v>0.3</v>
      </c>
      <c r="R1053" s="15"/>
      <c r="S1053" s="12" t="s">
        <v>12</v>
      </c>
      <c r="T1053" s="15"/>
      <c r="U1053" s="1"/>
      <c r="V1053" s="1"/>
      <c r="W1053" s="1"/>
      <c r="X1053" s="1"/>
      <c r="Y1053" s="1"/>
      <c r="Z1053" s="1"/>
      <c r="AA1053" s="1"/>
      <c r="AB1053" s="246"/>
    </row>
    <row r="1054" spans="2:28" ht="16.5" thickBot="1">
      <c r="B1054" s="11"/>
      <c r="C1054" s="321"/>
      <c r="D1054" s="1"/>
      <c r="E1054" s="446" t="s">
        <v>61</v>
      </c>
      <c r="F1054" s="447" t="str">
        <f>IF($G$15="Complex","$","")</f>
        <v/>
      </c>
      <c r="G1054" s="448"/>
      <c r="H1054" s="276"/>
      <c r="I1054" s="366" t="s">
        <v>12</v>
      </c>
      <c r="J1054" s="403"/>
      <c r="K1054" s="15"/>
      <c r="L1054" s="298"/>
      <c r="M1054" s="369"/>
      <c r="N1054" s="1">
        <f>IF(OR(Q1054&lt;0,Q1054&gt;1,Q1054=""),1,0)</f>
        <v>0</v>
      </c>
      <c r="O1054" s="483" t="s">
        <v>63</v>
      </c>
      <c r="P1054" s="24" t="s">
        <v>19</v>
      </c>
      <c r="Q1054" s="674">
        <v>1</v>
      </c>
      <c r="R1054" s="121"/>
      <c r="S1054" s="12" t="s">
        <v>12</v>
      </c>
      <c r="T1054" s="367">
        <f>IF(AND($Q$19="Cost-Based",$Q$20="ITC"),1,0)</f>
        <v>1</v>
      </c>
      <c r="U1054" s="1"/>
      <c r="V1054" s="1"/>
      <c r="W1054" s="1"/>
      <c r="X1054" s="1"/>
      <c r="Y1054" s="1"/>
      <c r="Z1054" s="1"/>
      <c r="AA1054" s="1"/>
      <c r="AB1054" s="246"/>
    </row>
    <row r="1055" spans="2:28" ht="16.5" thickBot="1">
      <c r="B1055" s="11"/>
      <c r="C1055" s="323"/>
      <c r="D1055" s="1"/>
      <c r="E1055" s="449" t="s">
        <v>44</v>
      </c>
      <c r="F1055" s="450" t="s">
        <v>47</v>
      </c>
      <c r="G1055" s="675"/>
      <c r="H1055" s="276"/>
      <c r="I1055" s="12" t="s">
        <v>12</v>
      </c>
      <c r="J1055" s="403"/>
      <c r="K1055" s="15"/>
      <c r="L1055" s="298"/>
      <c r="M1055" s="1"/>
      <c r="N1055" s="1"/>
      <c r="O1055" s="455" t="s">
        <v>64</v>
      </c>
      <c r="P1055" s="462" t="s">
        <v>47</v>
      </c>
      <c r="Q1055" s="676"/>
      <c r="R1055" s="121"/>
      <c r="S1055" s="12" t="s">
        <v>12</v>
      </c>
      <c r="T1055" s="15"/>
      <c r="U1055" s="1"/>
      <c r="V1055" s="1"/>
      <c r="W1055" s="1"/>
      <c r="X1055" s="1"/>
      <c r="Y1055" s="1"/>
      <c r="Z1055" s="1"/>
      <c r="AA1055" s="1"/>
      <c r="AB1055" s="246"/>
    </row>
    <row r="1056" spans="2:28" ht="15.75">
      <c r="B1056" s="11"/>
      <c r="C1056" s="323"/>
      <c r="D1056" s="1"/>
      <c r="E1056" s="451" t="s">
        <v>44</v>
      </c>
      <c r="F1056" s="8" t="str">
        <f>F1048</f>
        <v>$/kW</v>
      </c>
      <c r="G1056" s="452"/>
      <c r="H1056" s="284"/>
      <c r="I1056" s="12" t="s">
        <v>12</v>
      </c>
      <c r="J1056" s="403"/>
      <c r="K1056" s="15"/>
      <c r="L1056" s="298"/>
      <c r="M1056" s="374"/>
      <c r="N1056" s="1"/>
      <c r="O1056" s="449" t="s">
        <v>65</v>
      </c>
      <c r="P1056" s="522"/>
      <c r="Q1056" s="510" t="s">
        <v>66</v>
      </c>
      <c r="R1056" s="1"/>
      <c r="S1056" s="12" t="s">
        <v>12</v>
      </c>
      <c r="T1056" s="1"/>
      <c r="U1056" s="1"/>
      <c r="V1056" s="1"/>
      <c r="W1056" s="1"/>
      <c r="X1056" s="1"/>
      <c r="Y1056" s="1"/>
      <c r="Z1056" s="1"/>
      <c r="AA1056" s="1"/>
      <c r="AB1056" s="246"/>
    </row>
    <row r="1057" spans="2:28" ht="15.75">
      <c r="B1057" s="11"/>
      <c r="C1057" s="322"/>
      <c r="D1057" s="1"/>
      <c r="E1057" s="453" t="s">
        <v>67</v>
      </c>
      <c r="F1057" s="7" t="s">
        <v>47</v>
      </c>
      <c r="G1057" s="454"/>
      <c r="H1057" s="277"/>
      <c r="I1057" s="12" t="s">
        <v>12</v>
      </c>
      <c r="J1057" s="403"/>
      <c r="K1057" s="15"/>
      <c r="L1057" s="298"/>
      <c r="M1057" s="369"/>
      <c r="N1057" s="1"/>
      <c r="O1057" s="451" t="s">
        <v>68</v>
      </c>
      <c r="P1057" s="8" t="s">
        <v>39</v>
      </c>
      <c r="Q1057" s="512">
        <v>1.5</v>
      </c>
      <c r="R1057" s="15"/>
      <c r="S1057" s="12" t="s">
        <v>12</v>
      </c>
      <c r="T1057" s="15"/>
      <c r="U1057" s="1"/>
      <c r="V1057" s="1"/>
      <c r="W1057" s="1"/>
      <c r="X1057" s="1"/>
      <c r="Y1057" s="1"/>
      <c r="Z1057" s="1"/>
      <c r="AA1057" s="1"/>
      <c r="AB1057" s="246"/>
    </row>
    <row r="1058" spans="2:28" ht="15.75">
      <c r="B1058" s="11"/>
      <c r="C1058" s="322"/>
      <c r="D1058" s="1"/>
      <c r="E1058" s="453" t="s">
        <v>69</v>
      </c>
      <c r="F1058" s="7" t="s">
        <v>47</v>
      </c>
      <c r="G1058" s="452"/>
      <c r="H1058" s="276"/>
      <c r="I1058" s="12" t="s">
        <v>12</v>
      </c>
      <c r="J1058" s="403"/>
      <c r="K1058" s="15"/>
      <c r="L1058" s="298"/>
      <c r="M1058" s="369"/>
      <c r="N1058" s="1">
        <f>IF(OR(Q1058&lt;0,Q1058&gt;G1044),1,0)</f>
        <v>0</v>
      </c>
      <c r="O1058" s="451" t="s">
        <v>70</v>
      </c>
      <c r="P1058" s="8" t="s">
        <v>71</v>
      </c>
      <c r="Q1058" s="464">
        <v>10</v>
      </c>
      <c r="R1058" s="15"/>
      <c r="S1058" s="12" t="s">
        <v>12</v>
      </c>
      <c r="T1058" s="15"/>
      <c r="U1058" s="1"/>
      <c r="V1058" s="1"/>
      <c r="W1058" s="1"/>
      <c r="X1058" s="1"/>
      <c r="Y1058" s="1"/>
      <c r="Z1058" s="1"/>
      <c r="AA1058" s="1"/>
      <c r="AB1058" s="246"/>
    </row>
    <row r="1059" spans="2:28" ht="16.5" thickBot="1">
      <c r="B1059" s="11"/>
      <c r="C1059" s="323"/>
      <c r="D1059" s="1"/>
      <c r="E1059" s="455" t="s">
        <v>69</v>
      </c>
      <c r="F1059" s="456" t="str">
        <f>F1048</f>
        <v>$/kW</v>
      </c>
      <c r="G1059" s="457"/>
      <c r="H1059" s="284"/>
      <c r="I1059" s="12" t="s">
        <v>12</v>
      </c>
      <c r="J1059" s="403"/>
      <c r="K1059" s="15"/>
      <c r="L1059" s="298"/>
      <c r="M1059" s="369"/>
      <c r="N1059" s="1"/>
      <c r="O1059" s="451" t="s">
        <v>72</v>
      </c>
      <c r="P1059" s="6" t="s">
        <v>19</v>
      </c>
      <c r="Q1059" s="497">
        <v>0.02</v>
      </c>
      <c r="R1059" s="15"/>
      <c r="S1059" s="12" t="s">
        <v>12</v>
      </c>
      <c r="T1059" s="15"/>
      <c r="U1059" s="1"/>
      <c r="V1059" s="1"/>
      <c r="W1059" s="1"/>
      <c r="X1059" s="1"/>
      <c r="Y1059" s="1"/>
      <c r="Z1059" s="1"/>
      <c r="AA1059" s="1"/>
      <c r="AB1059" s="246"/>
    </row>
    <row r="1060" spans="2:28" ht="16.5" thickBot="1">
      <c r="B1060" s="11"/>
      <c r="C1060" s="324"/>
      <c r="D1060" s="1"/>
      <c r="E1060" s="18"/>
      <c r="F1060" s="1"/>
      <c r="G1060" s="1"/>
      <c r="H1060" s="1"/>
      <c r="I1060" s="17"/>
      <c r="J1060" s="403"/>
      <c r="K1060" s="15"/>
      <c r="L1060" s="298"/>
      <c r="M1060" s="369"/>
      <c r="N1060" s="1">
        <f>IF(OR(Q1060&lt;0,Q1060&gt;1),1,0)</f>
        <v>0</v>
      </c>
      <c r="O1060" s="455" t="s">
        <v>73</v>
      </c>
      <c r="P1060" s="462" t="s">
        <v>19</v>
      </c>
      <c r="Q1060" s="523">
        <v>1</v>
      </c>
      <c r="R1060" s="15"/>
      <c r="S1060" s="12" t="s">
        <v>12</v>
      </c>
      <c r="T1060" s="15"/>
      <c r="U1060" s="1"/>
      <c r="V1060" s="1"/>
      <c r="W1060" s="1"/>
      <c r="X1060" s="1"/>
      <c r="Y1060" s="1"/>
      <c r="Z1060" s="1"/>
      <c r="AA1060" s="1"/>
      <c r="AB1060" s="246"/>
    </row>
    <row r="1061" spans="2:28" ht="16.5" thickBot="1">
      <c r="B1061" s="11"/>
      <c r="C1061" s="1"/>
      <c r="D1061" s="1"/>
      <c r="E1061" s="5" t="s">
        <v>74</v>
      </c>
      <c r="F1061" s="347" t="s">
        <v>6</v>
      </c>
      <c r="G1061" s="411" t="s">
        <v>7</v>
      </c>
      <c r="H1061" s="285"/>
      <c r="I1061" s="17"/>
      <c r="J1061" s="403"/>
      <c r="K1061" s="15"/>
      <c r="L1061" s="298"/>
      <c r="M1061" s="1"/>
      <c r="N1061" s="1"/>
      <c r="O1061" s="296" t="s">
        <v>75</v>
      </c>
      <c r="P1061" s="521"/>
      <c r="Q1061" s="514" t="s">
        <v>76</v>
      </c>
      <c r="R1061" s="121"/>
      <c r="S1061" s="12" t="s">
        <v>12</v>
      </c>
      <c r="T1061" s="15"/>
      <c r="U1061" s="1"/>
      <c r="V1061" s="1"/>
      <c r="W1061" s="1"/>
      <c r="X1061" s="1"/>
      <c r="Y1061" s="1"/>
      <c r="Z1061" s="1"/>
      <c r="AA1061" s="1"/>
      <c r="AB1061" s="246"/>
    </row>
    <row r="1062" spans="2:28" ht="16.5" thickBot="1">
      <c r="B1062" s="11"/>
      <c r="C1062" s="318"/>
      <c r="D1062" s="1"/>
      <c r="E1062" s="553" t="s">
        <v>40</v>
      </c>
      <c r="F1062" s="554"/>
      <c r="G1062" s="555" t="s">
        <v>41</v>
      </c>
      <c r="H1062" s="281"/>
      <c r="I1062" s="12" t="s">
        <v>12</v>
      </c>
      <c r="J1062" s="403"/>
      <c r="K1062" s="15"/>
      <c r="L1062" s="11"/>
      <c r="M1062" s="1"/>
      <c r="N1062" s="1"/>
      <c r="O1062" s="415"/>
      <c r="P1062" s="267"/>
      <c r="Q1062" s="297"/>
      <c r="R1062" s="1"/>
      <c r="S1062" s="1"/>
      <c r="T1062" s="1"/>
      <c r="U1062" s="1"/>
      <c r="V1062" s="1"/>
      <c r="W1062" s="1"/>
      <c r="X1062" s="1"/>
      <c r="Y1062" s="1"/>
      <c r="Z1062" s="1"/>
      <c r="AA1062" s="1"/>
      <c r="AB1062" s="246"/>
    </row>
    <row r="1063" spans="2:28" ht="15.75">
      <c r="B1063" s="11"/>
      <c r="C1063" s="325"/>
      <c r="D1063" s="1"/>
      <c r="E1063" s="458" t="s">
        <v>77</v>
      </c>
      <c r="F1063" s="459" t="s">
        <v>78</v>
      </c>
      <c r="G1063" s="460">
        <v>26.5</v>
      </c>
      <c r="H1063" s="286"/>
      <c r="I1063" s="12" t="s">
        <v>12</v>
      </c>
      <c r="J1063" s="403"/>
      <c r="K1063" s="15"/>
      <c r="L1063" s="298"/>
      <c r="M1063" s="369"/>
      <c r="N1063" s="1"/>
      <c r="O1063" s="515" t="s">
        <v>79</v>
      </c>
      <c r="P1063" s="459" t="s">
        <v>47</v>
      </c>
      <c r="Q1063" s="516">
        <v>0</v>
      </c>
      <c r="R1063" s="121"/>
      <c r="S1063" s="12" t="s">
        <v>12</v>
      </c>
      <c r="T1063" s="1"/>
      <c r="U1063" s="1"/>
      <c r="V1063" s="1"/>
      <c r="W1063" s="1"/>
      <c r="X1063" s="1"/>
      <c r="Y1063" s="1"/>
      <c r="Z1063" s="1"/>
      <c r="AA1063" s="1"/>
      <c r="AB1063" s="246"/>
    </row>
    <row r="1064" spans="2:28" ht="16.5" thickBot="1">
      <c r="B1064" s="11"/>
      <c r="C1064" s="369"/>
      <c r="D1064" s="1"/>
      <c r="E1064" s="453" t="s">
        <v>80</v>
      </c>
      <c r="F1064" s="7" t="s">
        <v>81</v>
      </c>
      <c r="G1064" s="512">
        <v>0</v>
      </c>
      <c r="H1064" s="287"/>
      <c r="I1064" s="12" t="s">
        <v>12</v>
      </c>
      <c r="J1064" s="403"/>
      <c r="K1064" s="15"/>
      <c r="L1064" s="298"/>
      <c r="M1064" s="374"/>
      <c r="N1064" s="1"/>
      <c r="O1064" s="455" t="s">
        <v>82</v>
      </c>
      <c r="P1064" s="466"/>
      <c r="Q1064" s="517" t="s">
        <v>83</v>
      </c>
      <c r="R1064" s="21"/>
      <c r="S1064" s="12" t="s">
        <v>12</v>
      </c>
      <c r="T1064" s="1"/>
      <c r="U1064" s="1"/>
      <c r="V1064" s="1"/>
      <c r="W1064" s="1"/>
      <c r="X1064" s="1"/>
      <c r="Y1064" s="1"/>
      <c r="Z1064" s="1"/>
      <c r="AA1064" s="1"/>
      <c r="AB1064" s="246"/>
    </row>
    <row r="1065" spans="2:28" ht="16.5" thickBot="1">
      <c r="B1065" s="11"/>
      <c r="C1065" s="326"/>
      <c r="D1065" s="15"/>
      <c r="E1065" s="474" t="s">
        <v>84</v>
      </c>
      <c r="F1065" s="7" t="s">
        <v>19</v>
      </c>
      <c r="G1065" s="475">
        <v>0.02</v>
      </c>
      <c r="H1065" s="270"/>
      <c r="I1065" s="12" t="s">
        <v>12</v>
      </c>
      <c r="J1065" s="404"/>
      <c r="K1065" s="15"/>
      <c r="L1065" s="298"/>
      <c r="M1065" s="1"/>
      <c r="N1065" s="1"/>
      <c r="O1065" s="1"/>
      <c r="P1065" s="1"/>
      <c r="Q1065" s="1"/>
      <c r="R1065" s="1"/>
      <c r="S1065" s="1"/>
      <c r="T1065" s="1"/>
      <c r="U1065" s="1"/>
      <c r="V1065" s="1"/>
      <c r="W1065" s="1"/>
      <c r="X1065" s="1"/>
      <c r="Y1065" s="1"/>
      <c r="Z1065" s="1"/>
      <c r="AA1065" s="1"/>
      <c r="AB1065" s="246"/>
    </row>
    <row r="1066" spans="2:28" ht="16.5" thickBot="1">
      <c r="B1066" s="11"/>
      <c r="C1066" s="317"/>
      <c r="D1066" s="1"/>
      <c r="E1066" s="451" t="s">
        <v>85</v>
      </c>
      <c r="F1066" s="7" t="s">
        <v>86</v>
      </c>
      <c r="G1066" s="582">
        <v>10</v>
      </c>
      <c r="H1066" s="272"/>
      <c r="I1066" s="12" t="s">
        <v>12</v>
      </c>
      <c r="J1066" s="404"/>
      <c r="K1066" s="15"/>
      <c r="L1066" s="298"/>
      <c r="M1066" s="1"/>
      <c r="N1066" s="1"/>
      <c r="O1066" s="5" t="s">
        <v>87</v>
      </c>
      <c r="P1066" s="347" t="s">
        <v>6</v>
      </c>
      <c r="Q1066" s="411" t="s">
        <v>7</v>
      </c>
      <c r="R1066" s="15"/>
      <c r="S1066" s="1"/>
      <c r="T1066" s="412"/>
      <c r="U1066" s="677"/>
      <c r="V1066" s="1"/>
      <c r="W1066" s="1"/>
      <c r="X1066" s="1"/>
      <c r="Y1066" s="1"/>
      <c r="Z1066" s="1"/>
      <c r="AA1066" s="1"/>
      <c r="AB1066" s="246"/>
    </row>
    <row r="1067" spans="2:28" ht="16.5" thickBot="1">
      <c r="B1067" s="11"/>
      <c r="C1067" s="326"/>
      <c r="D1067" s="15"/>
      <c r="E1067" s="465" t="s">
        <v>88</v>
      </c>
      <c r="F1067" s="466" t="s">
        <v>19</v>
      </c>
      <c r="G1067" s="475">
        <v>0.02</v>
      </c>
      <c r="H1067" s="278"/>
      <c r="I1067" s="12" t="s">
        <v>12</v>
      </c>
      <c r="J1067" s="403"/>
      <c r="K1067" s="15"/>
      <c r="L1067" s="298"/>
      <c r="M1067" s="374"/>
      <c r="N1067" s="1"/>
      <c r="O1067" s="568" t="s">
        <v>89</v>
      </c>
      <c r="P1067" s="569"/>
      <c r="Q1067" s="570" t="s">
        <v>90</v>
      </c>
      <c r="R1067" s="1"/>
      <c r="S1067" s="12" t="s">
        <v>12</v>
      </c>
      <c r="T1067" s="1"/>
      <c r="U1067" s="1"/>
      <c r="V1067" s="1"/>
      <c r="W1067" s="1"/>
      <c r="X1067" s="1"/>
      <c r="Y1067" s="1"/>
      <c r="Z1067" s="1"/>
      <c r="AA1067" s="1"/>
      <c r="AB1067" s="246"/>
    </row>
    <row r="1068" spans="2:28" ht="15.75">
      <c r="B1068" s="11"/>
      <c r="C1068" s="369"/>
      <c r="D1068" s="1"/>
      <c r="E1068" s="483" t="s">
        <v>91</v>
      </c>
      <c r="F1068" s="6" t="s">
        <v>19</v>
      </c>
      <c r="G1068" s="470">
        <v>2.9399999999999999E-3</v>
      </c>
      <c r="H1068" s="270"/>
      <c r="I1068" s="366" t="s">
        <v>12</v>
      </c>
      <c r="J1068" s="403"/>
      <c r="K1068" s="15"/>
      <c r="L1068" s="298"/>
      <c r="M1068" s="369"/>
      <c r="N1068" s="1">
        <f>IF(OR(Q1068&lt;0,Q1068&gt;1),1,0)</f>
        <v>0</v>
      </c>
      <c r="O1068" s="458" t="s">
        <v>92</v>
      </c>
      <c r="P1068" s="450" t="s">
        <v>19</v>
      </c>
      <c r="Q1068" s="600">
        <v>0</v>
      </c>
      <c r="R1068" s="15">
        <f>IF(OR($Q$35="Performance-Based",$Q$35="Neither"),1,0)</f>
        <v>1</v>
      </c>
      <c r="S1068" s="12" t="s">
        <v>12</v>
      </c>
      <c r="T1068" s="15"/>
      <c r="U1068" s="1"/>
      <c r="V1068" s="1"/>
      <c r="W1068" s="1"/>
      <c r="X1068" s="1"/>
      <c r="Y1068" s="1"/>
      <c r="Z1068" s="1"/>
      <c r="AA1068" s="1"/>
      <c r="AB1068" s="246"/>
    </row>
    <row r="1069" spans="2:28" ht="15.75">
      <c r="B1069" s="11"/>
      <c r="C1069" s="1"/>
      <c r="D1069" s="1"/>
      <c r="E1069" s="451" t="s">
        <v>93</v>
      </c>
      <c r="F1069" s="7" t="s">
        <v>47</v>
      </c>
      <c r="G1069" s="467"/>
      <c r="H1069" s="275"/>
      <c r="I1069" s="366" t="s">
        <v>12</v>
      </c>
      <c r="J1069" s="403"/>
      <c r="K1069" s="15"/>
      <c r="L1069" s="298"/>
      <c r="M1069" s="369"/>
      <c r="N1069" s="1">
        <f>IF(OR(Q1069&lt;0,Q1069&gt;1),1,0)</f>
        <v>0</v>
      </c>
      <c r="O1069" s="453" t="s">
        <v>94</v>
      </c>
      <c r="P1069" s="7" t="s">
        <v>19</v>
      </c>
      <c r="Q1069" s="601">
        <v>0</v>
      </c>
      <c r="R1069" s="15"/>
      <c r="S1069" s="12" t="s">
        <v>12</v>
      </c>
      <c r="T1069" s="15"/>
      <c r="U1069" s="15"/>
      <c r="V1069" s="1"/>
      <c r="W1069" s="1"/>
      <c r="X1069" s="1"/>
      <c r="Y1069" s="1"/>
      <c r="Z1069" s="1"/>
      <c r="AA1069" s="1"/>
      <c r="AB1069" s="246"/>
    </row>
    <row r="1070" spans="2:28" ht="15.75">
      <c r="B1070" s="11"/>
      <c r="C1070" s="369"/>
      <c r="D1070" s="1"/>
      <c r="E1070" s="468" t="s">
        <v>95</v>
      </c>
      <c r="F1070" s="6" t="s">
        <v>96</v>
      </c>
      <c r="G1070" s="469">
        <v>18000</v>
      </c>
      <c r="H1070" s="288"/>
      <c r="I1070" s="366" t="s">
        <v>12</v>
      </c>
      <c r="J1070" s="404"/>
      <c r="K1070" s="15"/>
      <c r="L1070" s="298"/>
      <c r="M1070" s="369"/>
      <c r="N1070" s="1">
        <f>IF(OR(Q1070&lt;1,Q1070&gt;G1044),1,0)</f>
        <v>1</v>
      </c>
      <c r="O1070" s="451" t="s">
        <v>97</v>
      </c>
      <c r="P1070" s="8" t="s">
        <v>71</v>
      </c>
      <c r="Q1070" s="602">
        <v>0</v>
      </c>
      <c r="R1070" s="15"/>
      <c r="S1070" s="12" t="s">
        <v>12</v>
      </c>
      <c r="T1070" s="1"/>
      <c r="U1070" s="678"/>
      <c r="V1070" s="1"/>
      <c r="W1070" s="1"/>
      <c r="X1070" s="1"/>
      <c r="Y1070" s="1"/>
      <c r="Z1070" s="1"/>
      <c r="AA1070" s="1"/>
      <c r="AB1070" s="246"/>
    </row>
    <row r="1071" spans="2:28" ht="16.5" thickBot="1">
      <c r="B1071" s="11"/>
      <c r="C1071" s="369"/>
      <c r="D1071" s="1"/>
      <c r="E1071" s="451" t="s">
        <v>98</v>
      </c>
      <c r="F1071" s="6" t="s">
        <v>33</v>
      </c>
      <c r="G1071" s="603">
        <v>5</v>
      </c>
      <c r="H1071" s="288"/>
      <c r="I1071" s="366" t="s">
        <v>12</v>
      </c>
      <c r="J1071" s="403"/>
      <c r="K1071" s="15"/>
      <c r="L1071" s="11"/>
      <c r="M1071" s="1"/>
      <c r="N1071" s="1"/>
      <c r="O1071" s="455" t="s">
        <v>50</v>
      </c>
      <c r="P1071" s="456" t="s">
        <v>47</v>
      </c>
      <c r="Q1071" s="572">
        <v>0</v>
      </c>
      <c r="R1071" s="1"/>
      <c r="S1071" s="12" t="s">
        <v>12</v>
      </c>
      <c r="T1071" s="1"/>
      <c r="U1071" s="1"/>
      <c r="V1071" s="1"/>
      <c r="W1071" s="1"/>
      <c r="X1071" s="1"/>
      <c r="Y1071" s="1"/>
      <c r="Z1071" s="1"/>
      <c r="AA1071" s="1"/>
      <c r="AB1071" s="246"/>
    </row>
    <row r="1072" spans="2:28" ht="15.75">
      <c r="B1072" s="11"/>
      <c r="C1072" s="369"/>
      <c r="D1072" s="1"/>
      <c r="E1072" s="451" t="s">
        <v>43</v>
      </c>
      <c r="F1072" s="6" t="s">
        <v>19</v>
      </c>
      <c r="G1072" s="583">
        <v>0</v>
      </c>
      <c r="H1072" s="1"/>
      <c r="I1072" s="366" t="s">
        <v>12</v>
      </c>
      <c r="J1072" s="403"/>
      <c r="K1072" s="15"/>
      <c r="L1072" s="298"/>
      <c r="M1072" s="374"/>
      <c r="N1072" s="1"/>
      <c r="O1072" s="483" t="s">
        <v>99</v>
      </c>
      <c r="P1072" s="6"/>
      <c r="Q1072" s="571" t="s">
        <v>66</v>
      </c>
      <c r="R1072" s="15">
        <f>IF(OR($Q$35="Cost-Based",$Q$35="Neither"),1,0)</f>
        <v>1</v>
      </c>
      <c r="S1072" s="12" t="s">
        <v>12</v>
      </c>
      <c r="T1072" s="15"/>
      <c r="U1072" s="21"/>
      <c r="V1072" s="1"/>
      <c r="W1072" s="1"/>
      <c r="X1072" s="1"/>
      <c r="Y1072" s="1"/>
      <c r="Z1072" s="1"/>
      <c r="AA1072" s="1"/>
      <c r="AB1072" s="246"/>
    </row>
    <row r="1073" spans="2:28" ht="15.75">
      <c r="B1073" s="11"/>
      <c r="C1073" s="369"/>
      <c r="D1073" s="1"/>
      <c r="E1073" s="451" t="s">
        <v>100</v>
      </c>
      <c r="F1073" s="6" t="s">
        <v>96</v>
      </c>
      <c r="G1073" s="469">
        <v>162000</v>
      </c>
      <c r="H1073" s="288"/>
      <c r="I1073" s="366" t="s">
        <v>12</v>
      </c>
      <c r="J1073" s="403"/>
      <c r="K1073" s="15"/>
      <c r="L1073" s="298"/>
      <c r="M1073" s="374"/>
      <c r="N1073" s="1"/>
      <c r="O1073" s="451" t="s">
        <v>101</v>
      </c>
      <c r="P1073" s="8"/>
      <c r="Q1073" s="511" t="s">
        <v>102</v>
      </c>
      <c r="R1073" s="346">
        <f>IF(OR($Q$35="Cost-Based",$Q$35="Neither",$Q$40="Tax Credit"),1,0)</f>
        <v>1</v>
      </c>
      <c r="S1073" s="12" t="s">
        <v>12</v>
      </c>
      <c r="T1073" s="1"/>
      <c r="U1073" s="21"/>
      <c r="V1073" s="1"/>
      <c r="W1073" s="1"/>
      <c r="X1073" s="1"/>
      <c r="Y1073" s="1"/>
      <c r="Z1073" s="1"/>
      <c r="AA1073" s="1"/>
      <c r="AB1073" s="246"/>
    </row>
    <row r="1074" spans="2:28" ht="15.75">
      <c r="B1074" s="11"/>
      <c r="C1074" s="369"/>
      <c r="D1074" s="1"/>
      <c r="E1074" s="453" t="s">
        <v>103</v>
      </c>
      <c r="F1074" s="6" t="s">
        <v>19</v>
      </c>
      <c r="G1074" s="470">
        <v>0.02</v>
      </c>
      <c r="H1074" s="270"/>
      <c r="I1074" s="366" t="s">
        <v>12</v>
      </c>
      <c r="J1074" s="403"/>
      <c r="K1074" s="15"/>
      <c r="L1074" s="298"/>
      <c r="M1074" s="369"/>
      <c r="N1074" s="1"/>
      <c r="O1074" s="451" t="s">
        <v>68</v>
      </c>
      <c r="P1074" s="55" t="s">
        <v>39</v>
      </c>
      <c r="Q1074" s="512">
        <v>1.5</v>
      </c>
      <c r="R1074" s="21"/>
      <c r="S1074" s="12" t="s">
        <v>12</v>
      </c>
      <c r="T1074" s="346"/>
      <c r="U1074" s="679"/>
      <c r="V1074" s="1"/>
      <c r="W1074" s="1"/>
      <c r="X1074" s="1"/>
      <c r="Y1074" s="1"/>
      <c r="Z1074" s="1"/>
      <c r="AA1074" s="1"/>
      <c r="AB1074" s="246"/>
    </row>
    <row r="1075" spans="2:28" ht="16.5" thickBot="1">
      <c r="B1075" s="11"/>
      <c r="C1075" s="1"/>
      <c r="D1075" s="1"/>
      <c r="E1075" s="455"/>
      <c r="F1075" s="466"/>
      <c r="G1075" s="471"/>
      <c r="H1075" s="275"/>
      <c r="I1075" s="366" t="s">
        <v>12</v>
      </c>
      <c r="J1075" s="246"/>
      <c r="K1075" s="15"/>
      <c r="L1075" s="298"/>
      <c r="M1075" s="369"/>
      <c r="N1075" s="1">
        <f>IF(OR(Q1075&lt;0,Q1075&gt;G1044),1,0)</f>
        <v>0</v>
      </c>
      <c r="O1075" s="451" t="s">
        <v>70</v>
      </c>
      <c r="P1075" s="8" t="s">
        <v>71</v>
      </c>
      <c r="Q1075" s="464">
        <v>10</v>
      </c>
      <c r="R1075" s="21"/>
      <c r="S1075" s="12" t="s">
        <v>12</v>
      </c>
      <c r="T1075" s="1"/>
      <c r="U1075" s="21"/>
      <c r="V1075" s="1"/>
      <c r="W1075" s="1"/>
      <c r="X1075" s="1"/>
      <c r="Y1075" s="1"/>
      <c r="Z1075" s="1"/>
      <c r="AA1075" s="1"/>
      <c r="AB1075" s="246"/>
    </row>
    <row r="1076" spans="2:28" ht="16.5" thickBot="1">
      <c r="B1076" s="11"/>
      <c r="C1076" s="327"/>
      <c r="D1076" s="1"/>
      <c r="E1076" s="1"/>
      <c r="F1076" s="1"/>
      <c r="G1076" s="1"/>
      <c r="H1076" s="1"/>
      <c r="I1076" s="17"/>
      <c r="J1076" s="403"/>
      <c r="K1076" s="15"/>
      <c r="L1076" s="298"/>
      <c r="M1076" s="369"/>
      <c r="N1076" s="1"/>
      <c r="O1076" s="451" t="s">
        <v>72</v>
      </c>
      <c r="P1076" s="6" t="s">
        <v>19</v>
      </c>
      <c r="Q1076" s="497">
        <v>0.02</v>
      </c>
      <c r="R1076" s="15"/>
      <c r="S1076" s="12" t="s">
        <v>12</v>
      </c>
      <c r="T1076" s="346"/>
      <c r="U1076" s="21"/>
      <c r="V1076" s="1"/>
      <c r="W1076" s="1"/>
      <c r="X1076" s="1"/>
      <c r="Y1076" s="1"/>
      <c r="Z1076" s="1"/>
      <c r="AA1076" s="1"/>
      <c r="AB1076" s="246"/>
    </row>
    <row r="1077" spans="2:28" ht="16.5" thickBot="1">
      <c r="B1077" s="11"/>
      <c r="C1077" s="327"/>
      <c r="D1077" s="1"/>
      <c r="E1077" s="5" t="s">
        <v>104</v>
      </c>
      <c r="F1077" s="347" t="s">
        <v>6</v>
      </c>
      <c r="G1077" s="411" t="s">
        <v>7</v>
      </c>
      <c r="H1077" s="289"/>
      <c r="I1077" s="17"/>
      <c r="J1077" s="403"/>
      <c r="K1077" s="15"/>
      <c r="L1077" s="298"/>
      <c r="M1077" s="369"/>
      <c r="N1077" s="1">
        <f>IF(OR(Q1077&lt;0,Q1077&gt;1),1,0)</f>
        <v>0</v>
      </c>
      <c r="O1077" s="455" t="s">
        <v>105</v>
      </c>
      <c r="P1077" s="462" t="s">
        <v>19</v>
      </c>
      <c r="Q1077" s="523">
        <v>1</v>
      </c>
      <c r="R1077" s="15"/>
      <c r="S1077" s="12" t="s">
        <v>12</v>
      </c>
      <c r="T1077" s="21"/>
      <c r="U1077" s="15"/>
      <c r="V1077" s="1"/>
      <c r="W1077" s="1"/>
      <c r="X1077" s="1"/>
      <c r="Y1077" s="1"/>
      <c r="Z1077" s="1"/>
      <c r="AA1077" s="1"/>
      <c r="AB1077" s="246"/>
    </row>
    <row r="1078" spans="2:28" ht="16.5" thickBot="1">
      <c r="B1078" s="11"/>
      <c r="C1078" s="372"/>
      <c r="D1078" s="1"/>
      <c r="E1078" s="463" t="s">
        <v>106</v>
      </c>
      <c r="F1078" s="450" t="s">
        <v>107</v>
      </c>
      <c r="G1078" s="556">
        <v>0</v>
      </c>
      <c r="H1078" s="289"/>
      <c r="I1078" s="12" t="s">
        <v>12</v>
      </c>
      <c r="J1078" s="403"/>
      <c r="K1078" s="15"/>
      <c r="L1078" s="298"/>
      <c r="M1078" s="15"/>
      <c r="N1078" s="15"/>
      <c r="O1078" s="524" t="s">
        <v>108</v>
      </c>
      <c r="P1078" s="525"/>
      <c r="Q1078" s="526" t="s">
        <v>76</v>
      </c>
      <c r="R1078" s="15">
        <f>IF($Q$35="Neither",1,0)</f>
        <v>1</v>
      </c>
      <c r="S1078" s="12" t="s">
        <v>12</v>
      </c>
      <c r="T1078" s="21"/>
      <c r="U1078" s="15"/>
      <c r="V1078" s="1"/>
      <c r="W1078" s="1"/>
      <c r="X1078" s="1"/>
      <c r="Y1078" s="1"/>
      <c r="Z1078" s="1"/>
      <c r="AA1078" s="1"/>
      <c r="AB1078" s="246"/>
    </row>
    <row r="1079" spans="2:28" ht="16.5" thickBot="1">
      <c r="B1079" s="11"/>
      <c r="C1079" s="372"/>
      <c r="D1079" s="1"/>
      <c r="E1079" s="474" t="s">
        <v>109</v>
      </c>
      <c r="F1079" s="7" t="s">
        <v>19</v>
      </c>
      <c r="G1079" s="548">
        <v>0</v>
      </c>
      <c r="H1079" s="289"/>
      <c r="I1079" s="12" t="s">
        <v>12</v>
      </c>
      <c r="J1079" s="403"/>
      <c r="K1079" s="15"/>
      <c r="L1079" s="11"/>
      <c r="M1079" s="1"/>
      <c r="N1079" s="1"/>
      <c r="O1079" s="415"/>
      <c r="P1079" s="267"/>
      <c r="Q1079" s="297"/>
      <c r="R1079" s="1"/>
      <c r="S1079" s="1"/>
      <c r="T1079" s="1"/>
      <c r="U1079" s="15"/>
      <c r="V1079" s="1"/>
      <c r="W1079" s="1"/>
      <c r="X1079" s="1"/>
      <c r="Y1079" s="1"/>
      <c r="Z1079" s="1"/>
      <c r="AA1079" s="1"/>
      <c r="AB1079" s="246"/>
    </row>
    <row r="1080" spans="2:28" ht="16.5" thickBot="1">
      <c r="B1080" s="11"/>
      <c r="C1080" s="327"/>
      <c r="D1080" s="1"/>
      <c r="E1080" s="465" t="s">
        <v>110</v>
      </c>
      <c r="F1080" s="456" t="s">
        <v>47</v>
      </c>
      <c r="G1080" s="471"/>
      <c r="H1080" s="289"/>
      <c r="I1080" s="12" t="s">
        <v>12</v>
      </c>
      <c r="J1080" s="403"/>
      <c r="K1080" s="15"/>
      <c r="L1080" s="298"/>
      <c r="M1080" s="369"/>
      <c r="N1080" s="15"/>
      <c r="O1080" s="515" t="s">
        <v>111</v>
      </c>
      <c r="P1080" s="450" t="s">
        <v>47</v>
      </c>
      <c r="Q1080" s="516">
        <v>0</v>
      </c>
      <c r="R1080" s="1"/>
      <c r="S1080" s="12" t="s">
        <v>12</v>
      </c>
      <c r="T1080" s="15"/>
      <c r="U1080" s="15"/>
      <c r="V1080" s="1"/>
      <c r="W1080" s="1"/>
      <c r="X1080" s="1"/>
      <c r="Y1080" s="1"/>
      <c r="Z1080" s="1"/>
      <c r="AA1080" s="1"/>
      <c r="AB1080" s="246"/>
    </row>
    <row r="1081" spans="2:28" ht="16.5" thickBot="1">
      <c r="B1081" s="11"/>
      <c r="C1081" s="1"/>
      <c r="D1081" s="1"/>
      <c r="E1081" s="1"/>
      <c r="F1081" s="1"/>
      <c r="G1081" s="182"/>
      <c r="H1081" s="182"/>
      <c r="I1081" s="17"/>
      <c r="J1081" s="403"/>
      <c r="K1081" s="15"/>
      <c r="L1081" s="298"/>
      <c r="M1081" s="374"/>
      <c r="N1081" s="1"/>
      <c r="O1081" s="455" t="s">
        <v>112</v>
      </c>
      <c r="P1081" s="466"/>
      <c r="Q1081" s="517" t="s">
        <v>83</v>
      </c>
      <c r="R1081" s="21"/>
      <c r="S1081" s="12" t="s">
        <v>12</v>
      </c>
      <c r="T1081" s="15"/>
      <c r="U1081" s="15"/>
      <c r="V1081" s="1"/>
      <c r="W1081" s="1"/>
      <c r="X1081" s="1"/>
      <c r="Y1081" s="1"/>
      <c r="Z1081" s="1"/>
      <c r="AA1081" s="1"/>
      <c r="AB1081" s="246"/>
    </row>
    <row r="1082" spans="2:28" ht="16.5" thickBot="1">
      <c r="B1082" s="11"/>
      <c r="C1082" s="327"/>
      <c r="D1082" s="1"/>
      <c r="E1082" s="480" t="s">
        <v>113</v>
      </c>
      <c r="F1082" s="481" t="s">
        <v>6</v>
      </c>
      <c r="G1082" s="482" t="s">
        <v>7</v>
      </c>
      <c r="H1082" s="289"/>
      <c r="I1082" s="405"/>
      <c r="J1082" s="403"/>
      <c r="K1082" s="15"/>
      <c r="L1082" s="298"/>
      <c r="M1082" s="1"/>
      <c r="N1082" s="1"/>
      <c r="O1082" s="1"/>
      <c r="P1082" s="1"/>
      <c r="Q1082" s="1"/>
      <c r="R1082" s="1"/>
      <c r="S1082" s="1"/>
      <c r="T1082" s="15"/>
      <c r="U1082" s="300"/>
      <c r="V1082" s="1"/>
      <c r="W1082" s="1"/>
      <c r="X1082" s="1"/>
      <c r="Y1082" s="1"/>
      <c r="Z1082" s="1"/>
      <c r="AA1082" s="1"/>
      <c r="AB1082" s="246"/>
    </row>
    <row r="1083" spans="2:28" ht="16.5" thickBot="1">
      <c r="B1083" s="11"/>
      <c r="C1083" s="369"/>
      <c r="D1083" s="1">
        <f>IF(OR(G1083="",G1083&lt;0,G1083&gt;1),1,0)</f>
        <v>0</v>
      </c>
      <c r="E1083" s="449" t="s">
        <v>114</v>
      </c>
      <c r="F1083" s="450" t="s">
        <v>19</v>
      </c>
      <c r="G1083" s="476">
        <v>0.42</v>
      </c>
      <c r="H1083" s="290"/>
      <c r="I1083" s="12" t="s">
        <v>12</v>
      </c>
      <c r="J1083" s="404"/>
      <c r="K1083" s="15"/>
      <c r="L1083" s="298"/>
      <c r="M1083" s="15"/>
      <c r="N1083" s="15"/>
      <c r="O1083" s="5" t="s">
        <v>115</v>
      </c>
      <c r="P1083" s="22"/>
      <c r="Q1083" s="411"/>
      <c r="R1083" s="15"/>
      <c r="S1083" s="15"/>
      <c r="T1083" s="15"/>
      <c r="U1083" s="15"/>
      <c r="V1083" s="1"/>
      <c r="W1083" s="1"/>
      <c r="X1083" s="1"/>
      <c r="Y1083" s="1"/>
      <c r="Z1083" s="1"/>
      <c r="AA1083" s="1"/>
      <c r="AB1083" s="246"/>
    </row>
    <row r="1084" spans="2:28" ht="15.75">
      <c r="B1084" s="11"/>
      <c r="C1084" s="369"/>
      <c r="D1084" s="1">
        <f>IF(OR(G1084&lt;=0,G1084&gt;G1044),1,0)</f>
        <v>0</v>
      </c>
      <c r="E1084" s="451" t="s">
        <v>116</v>
      </c>
      <c r="F1084" s="7" t="s">
        <v>14</v>
      </c>
      <c r="G1084" s="464">
        <v>15</v>
      </c>
      <c r="H1084" s="272"/>
      <c r="I1084" s="12" t="s">
        <v>12</v>
      </c>
      <c r="J1084" s="404"/>
      <c r="K1084" s="15"/>
      <c r="L1084" s="298"/>
      <c r="M1084" s="375"/>
      <c r="N1084" s="15">
        <f>IF(OR(Q1084&lt;1,Q1084&gt;$G$12),1,0)</f>
        <v>0</v>
      </c>
      <c r="O1084" s="463" t="s">
        <v>117</v>
      </c>
      <c r="P1084" s="459" t="s">
        <v>86</v>
      </c>
      <c r="Q1084" s="556">
        <v>12</v>
      </c>
      <c r="R1084" s="15"/>
      <c r="S1084" s="12" t="s">
        <v>12</v>
      </c>
      <c r="T1084" s="15"/>
      <c r="U1084" s="15"/>
      <c r="V1084" s="1"/>
      <c r="W1084" s="1"/>
      <c r="X1084" s="1"/>
      <c r="Y1084" s="1"/>
      <c r="Z1084" s="1"/>
      <c r="AA1084" s="1"/>
      <c r="AB1084" s="246"/>
    </row>
    <row r="1085" spans="2:28" ht="16.5" thickBot="1">
      <c r="B1085" s="11"/>
      <c r="C1085" s="372"/>
      <c r="D1085" s="1">
        <f>IF(OR(G1085&lt;0,G1085=""),1,0)</f>
        <v>0</v>
      </c>
      <c r="E1085" s="451" t="s">
        <v>118</v>
      </c>
      <c r="F1085" s="7" t="s">
        <v>19</v>
      </c>
      <c r="G1085" s="485">
        <v>7.9012953238309577E-2</v>
      </c>
      <c r="H1085" s="291"/>
      <c r="I1085" s="12" t="s">
        <v>12</v>
      </c>
      <c r="J1085" s="404"/>
      <c r="K1085" s="15"/>
      <c r="L1085" s="298"/>
      <c r="M1085" s="326"/>
      <c r="N1085" s="15"/>
      <c r="O1085" s="465" t="s">
        <v>119</v>
      </c>
      <c r="P1085" s="456" t="str">
        <f>$F$16</f>
        <v>$/kW</v>
      </c>
      <c r="Q1085" s="531">
        <v>0</v>
      </c>
      <c r="R1085" s="15"/>
      <c r="S1085" s="12" t="s">
        <v>12</v>
      </c>
      <c r="T1085" s="15"/>
      <c r="U1085" s="15"/>
      <c r="V1085" s="1"/>
      <c r="W1085" s="1"/>
      <c r="X1085" s="1"/>
      <c r="Y1085" s="1"/>
      <c r="Z1085" s="1"/>
      <c r="AA1085" s="1"/>
      <c r="AB1085" s="246"/>
    </row>
    <row r="1086" spans="2:28" ht="16.5" thickBot="1">
      <c r="B1086" s="11"/>
      <c r="C1086" s="369"/>
      <c r="D1086" s="1">
        <f>IF(OR(G1086&lt;0,G1086=""),1,0)</f>
        <v>0</v>
      </c>
      <c r="E1086" s="486" t="s">
        <v>120</v>
      </c>
      <c r="F1086" s="466" t="s">
        <v>19</v>
      </c>
      <c r="G1086" s="487">
        <v>0.01</v>
      </c>
      <c r="H1086" s="270"/>
      <c r="I1086" s="12" t="s">
        <v>12</v>
      </c>
      <c r="J1086" s="403"/>
      <c r="K1086" s="15"/>
      <c r="L1086" s="298"/>
      <c r="M1086" s="375"/>
      <c r="N1086" s="15">
        <f>IF(OR(Q1086&lt;Q1084,Q1086&gt;$G$12),1,0)</f>
        <v>0</v>
      </c>
      <c r="O1086" s="529" t="s">
        <v>121</v>
      </c>
      <c r="P1086" s="24" t="s">
        <v>86</v>
      </c>
      <c r="Q1086" s="530">
        <v>15</v>
      </c>
      <c r="R1086" s="15"/>
      <c r="S1086" s="12" t="s">
        <v>12</v>
      </c>
      <c r="T1086" s="15"/>
      <c r="U1086" s="15"/>
      <c r="V1086" s="1"/>
      <c r="W1086" s="1"/>
      <c r="X1086" s="1"/>
      <c r="Y1086" s="1"/>
      <c r="Z1086" s="1"/>
      <c r="AA1086" s="1"/>
      <c r="AB1086" s="246"/>
    </row>
    <row r="1087" spans="2:28" ht="16.5" thickBot="1">
      <c r="B1087" s="11"/>
      <c r="C1087" s="369"/>
      <c r="D1087" s="1"/>
      <c r="E1087" s="483" t="s">
        <v>122</v>
      </c>
      <c r="F1087" s="24"/>
      <c r="G1087" s="484">
        <v>1</v>
      </c>
      <c r="H1087" s="279"/>
      <c r="I1087" s="12" t="s">
        <v>12</v>
      </c>
      <c r="J1087" s="403"/>
      <c r="K1087" s="15"/>
      <c r="L1087" s="298"/>
      <c r="M1087" s="326"/>
      <c r="N1087" s="15"/>
      <c r="O1087" s="465" t="s">
        <v>123</v>
      </c>
      <c r="P1087" s="456" t="str">
        <f>$F$16</f>
        <v>$/kW</v>
      </c>
      <c r="Q1087" s="531">
        <v>30</v>
      </c>
      <c r="R1087" s="15"/>
      <c r="S1087" s="12" t="s">
        <v>12</v>
      </c>
      <c r="T1087" s="15"/>
      <c r="U1087" s="15"/>
      <c r="V1087" s="1"/>
      <c r="W1087" s="1"/>
      <c r="X1087" s="1"/>
      <c r="Y1087" s="1"/>
      <c r="Z1087" s="1"/>
      <c r="AA1087" s="1"/>
      <c r="AB1087" s="246"/>
    </row>
    <row r="1088" spans="2:28" ht="15.75">
      <c r="B1088" s="11"/>
      <c r="C1088" s="1"/>
      <c r="D1088" s="1"/>
      <c r="E1088" s="451" t="s">
        <v>124</v>
      </c>
      <c r="F1088" s="248">
        <f>MAX('[2]Cash Flow'!G1077:AJ1077)</f>
        <v>0</v>
      </c>
      <c r="G1088" s="477"/>
      <c r="H1088" s="280"/>
      <c r="I1088" s="12" t="s">
        <v>12</v>
      </c>
      <c r="J1088" s="403"/>
      <c r="K1088" s="15"/>
      <c r="L1088" s="298"/>
      <c r="M1088" s="375"/>
      <c r="N1088" s="15">
        <f>IF(OR(Q1088&lt;Q1086,Q1088&gt;$G$12),1,0)</f>
        <v>0</v>
      </c>
      <c r="O1088" s="474" t="s">
        <v>125</v>
      </c>
      <c r="P1088" s="8" t="s">
        <v>86</v>
      </c>
      <c r="Q1088" s="530">
        <v>18</v>
      </c>
      <c r="R1088" s="15"/>
      <c r="S1088" s="12" t="s">
        <v>12</v>
      </c>
      <c r="T1088" s="15"/>
      <c r="U1088" s="15"/>
      <c r="V1088" s="1"/>
      <c r="W1088" s="1"/>
      <c r="X1088" s="1"/>
      <c r="Y1088" s="1"/>
      <c r="Z1088" s="1"/>
      <c r="AA1088" s="1"/>
      <c r="AB1088" s="246"/>
    </row>
    <row r="1089" spans="2:28" ht="16.5" thickBot="1">
      <c r="B1089" s="11"/>
      <c r="C1089" s="369"/>
      <c r="D1089" s="1"/>
      <c r="E1089" s="451" t="s">
        <v>126</v>
      </c>
      <c r="F1089" s="8" t="s">
        <v>127</v>
      </c>
      <c r="G1089" s="478"/>
      <c r="H1089" s="406"/>
      <c r="I1089" s="12" t="s">
        <v>12</v>
      </c>
      <c r="J1089" s="404"/>
      <c r="K1089" s="15"/>
      <c r="L1089" s="298"/>
      <c r="M1089" s="326"/>
      <c r="N1089" s="15"/>
      <c r="O1089" s="465" t="s">
        <v>128</v>
      </c>
      <c r="P1089" s="456" t="str">
        <f>$F$16</f>
        <v>$/kW</v>
      </c>
      <c r="Q1089" s="531">
        <v>0</v>
      </c>
      <c r="R1089" s="15"/>
      <c r="S1089" s="12" t="s">
        <v>12</v>
      </c>
      <c r="T1089" s="1"/>
      <c r="U1089" s="1"/>
      <c r="V1089" s="1"/>
      <c r="W1089" s="1"/>
      <c r="X1089" s="1"/>
      <c r="Y1089" s="1"/>
      <c r="Z1089" s="1"/>
      <c r="AA1089" s="1"/>
      <c r="AB1089" s="246"/>
    </row>
    <row r="1090" spans="2:28" ht="15.75">
      <c r="B1090" s="11"/>
      <c r="C1090" s="369"/>
      <c r="D1090" s="1"/>
      <c r="E1090" s="451" t="s">
        <v>129</v>
      </c>
      <c r="F1090" s="8"/>
      <c r="G1090" s="680">
        <v>1.35</v>
      </c>
      <c r="H1090" s="279"/>
      <c r="I1090" s="12" t="s">
        <v>12</v>
      </c>
      <c r="J1090" s="403"/>
      <c r="K1090" s="15"/>
      <c r="L1090" s="298"/>
      <c r="M1090" s="375"/>
      <c r="N1090" s="15">
        <f>IF(OR(Q1090&lt;Q1088,Q1090&gt;$G$12),1,0)</f>
        <v>0</v>
      </c>
      <c r="O1090" s="474" t="s">
        <v>130</v>
      </c>
      <c r="P1090" s="8" t="s">
        <v>86</v>
      </c>
      <c r="Q1090" s="530">
        <v>19</v>
      </c>
      <c r="R1090" s="15"/>
      <c r="S1090" s="12" t="s">
        <v>12</v>
      </c>
      <c r="T1090" s="1"/>
      <c r="U1090" s="1"/>
      <c r="V1090" s="1"/>
      <c r="W1090" s="1"/>
      <c r="X1090" s="1"/>
      <c r="Y1090" s="1"/>
      <c r="Z1090" s="1"/>
      <c r="AA1090" s="1"/>
      <c r="AB1090" s="246"/>
    </row>
    <row r="1091" spans="2:28" ht="16.5" thickBot="1">
      <c r="B1091" s="11"/>
      <c r="C1091" s="1"/>
      <c r="D1091" s="1"/>
      <c r="E1091" s="451" t="s">
        <v>131</v>
      </c>
      <c r="F1091" s="248"/>
      <c r="G1091" s="477"/>
      <c r="H1091" s="280"/>
      <c r="I1091" s="12" t="s">
        <v>12</v>
      </c>
      <c r="J1091" s="403"/>
      <c r="K1091" s="15"/>
      <c r="L1091" s="298"/>
      <c r="M1091" s="326"/>
      <c r="N1091" s="15"/>
      <c r="O1091" s="465" t="s">
        <v>132</v>
      </c>
      <c r="P1091" s="456" t="str">
        <f>$F$16</f>
        <v>$/kW</v>
      </c>
      <c r="Q1091" s="531">
        <v>30</v>
      </c>
      <c r="R1091" s="15"/>
      <c r="S1091" s="12" t="s">
        <v>12</v>
      </c>
      <c r="T1091" s="1"/>
      <c r="U1091" s="1"/>
      <c r="V1091" s="1"/>
      <c r="W1091" s="1"/>
      <c r="X1091" s="1"/>
      <c r="Y1091" s="1"/>
      <c r="Z1091" s="1"/>
      <c r="AA1091" s="1"/>
      <c r="AB1091" s="246"/>
    </row>
    <row r="1092" spans="2:28" ht="16.5" thickBot="1">
      <c r="B1092" s="11"/>
      <c r="C1092" s="369"/>
      <c r="D1092" s="1"/>
      <c r="E1092" s="455" t="s">
        <v>133</v>
      </c>
      <c r="F1092" s="456" t="s">
        <v>127</v>
      </c>
      <c r="G1092" s="479"/>
      <c r="H1092" s="406"/>
      <c r="I1092" s="12" t="s">
        <v>12</v>
      </c>
      <c r="J1092" s="403"/>
      <c r="K1092" s="15"/>
      <c r="L1092" s="298"/>
      <c r="M1092" s="1"/>
      <c r="N1092" s="1"/>
      <c r="O1092" s="1"/>
      <c r="P1092" s="1"/>
      <c r="Q1092" s="1"/>
      <c r="R1092" s="1"/>
      <c r="S1092" s="1"/>
      <c r="T1092" s="1"/>
      <c r="U1092" s="1"/>
      <c r="V1092" s="1"/>
      <c r="W1092" s="1"/>
      <c r="X1092" s="1"/>
      <c r="Y1092" s="1"/>
      <c r="Z1092" s="1"/>
      <c r="AA1092" s="1"/>
      <c r="AB1092" s="246"/>
    </row>
    <row r="1093" spans="2:28" ht="16.5" thickBot="1">
      <c r="B1093" s="11"/>
      <c r="C1093" s="1"/>
      <c r="D1093" s="1"/>
      <c r="E1093" s="449" t="s">
        <v>134</v>
      </c>
      <c r="F1093" s="450" t="s">
        <v>19</v>
      </c>
      <c r="G1093" s="488"/>
      <c r="H1093" s="292"/>
      <c r="I1093" s="12" t="s">
        <v>12</v>
      </c>
      <c r="J1093" s="403"/>
      <c r="K1093" s="15"/>
      <c r="L1093" s="298"/>
      <c r="M1093" s="15"/>
      <c r="N1093" s="15"/>
      <c r="O1093" s="5" t="s">
        <v>135</v>
      </c>
      <c r="P1093" s="347" t="s">
        <v>6</v>
      </c>
      <c r="Q1093" s="411" t="s">
        <v>7</v>
      </c>
      <c r="R1093" s="15"/>
      <c r="S1093" s="15"/>
      <c r="T1093" s="15"/>
      <c r="U1093" s="15"/>
      <c r="V1093" s="1"/>
      <c r="W1093" s="1"/>
      <c r="X1093" s="1"/>
      <c r="Y1093" s="1"/>
      <c r="Z1093" s="1"/>
      <c r="AA1093" s="1"/>
      <c r="AB1093" s="246"/>
    </row>
    <row r="1094" spans="2:28" ht="16.5" thickBot="1">
      <c r="B1094" s="11"/>
      <c r="C1094" s="369"/>
      <c r="D1094" s="1">
        <f>IF(OR(G1094&lt;0,G1094=""),1,0)</f>
        <v>0</v>
      </c>
      <c r="E1094" s="489" t="s">
        <v>136</v>
      </c>
      <c r="F1094" s="466" t="s">
        <v>19</v>
      </c>
      <c r="G1094" s="722">
        <v>0.10125000000000001</v>
      </c>
      <c r="H1094" s="291"/>
      <c r="I1094" s="12" t="s">
        <v>12</v>
      </c>
      <c r="J1094" s="403"/>
      <c r="K1094" s="15"/>
      <c r="L1094" s="298"/>
      <c r="M1094" s="15"/>
      <c r="N1094" s="15"/>
      <c r="O1094" s="532" t="s">
        <v>137</v>
      </c>
      <c r="P1094" s="533"/>
      <c r="Q1094" s="534"/>
      <c r="R1094" s="15"/>
      <c r="S1094" s="15"/>
      <c r="T1094" s="15"/>
      <c r="U1094" s="1"/>
      <c r="V1094" s="1"/>
      <c r="W1094" s="1"/>
      <c r="X1094" s="1"/>
      <c r="Y1094" s="1"/>
      <c r="Z1094" s="1"/>
      <c r="AA1094" s="1"/>
      <c r="AB1094" s="246"/>
    </row>
    <row r="1095" spans="2:28" ht="15.75">
      <c r="B1095" s="11"/>
      <c r="C1095" s="1"/>
      <c r="D1095" s="1"/>
      <c r="E1095" s="449" t="s">
        <v>138</v>
      </c>
      <c r="F1095" s="450" t="s">
        <v>19</v>
      </c>
      <c r="G1095" s="681"/>
      <c r="H1095" s="1"/>
      <c r="I1095" s="12" t="s">
        <v>12</v>
      </c>
      <c r="J1095" s="246"/>
      <c r="K1095" s="15"/>
      <c r="L1095" s="298"/>
      <c r="M1095" s="374"/>
      <c r="N1095" s="15"/>
      <c r="O1095" s="535" t="s">
        <v>139</v>
      </c>
      <c r="P1095" s="23"/>
      <c r="Q1095" s="511" t="s">
        <v>140</v>
      </c>
      <c r="R1095" s="15"/>
      <c r="S1095" s="12" t="s">
        <v>12</v>
      </c>
      <c r="T1095" s="15"/>
      <c r="U1095" s="15"/>
      <c r="V1095" s="1"/>
      <c r="W1095" s="1"/>
      <c r="X1095" s="1"/>
      <c r="Y1095" s="1"/>
      <c r="Z1095" s="1"/>
      <c r="AA1095" s="1"/>
      <c r="AB1095" s="246"/>
    </row>
    <row r="1096" spans="2:28" ht="16.5" thickBot="1">
      <c r="B1096" s="11"/>
      <c r="C1096" s="369"/>
      <c r="D1096" s="1"/>
      <c r="E1096" s="486" t="s">
        <v>141</v>
      </c>
      <c r="F1096" s="466" t="s">
        <v>47</v>
      </c>
      <c r="G1096" s="490">
        <v>0</v>
      </c>
      <c r="H1096" s="288"/>
      <c r="I1096" s="12" t="s">
        <v>12</v>
      </c>
      <c r="J1096" s="246"/>
      <c r="K1096" s="15"/>
      <c r="L1096" s="298"/>
      <c r="M1096" s="375"/>
      <c r="N1096" s="15"/>
      <c r="O1096" s="465" t="s">
        <v>142</v>
      </c>
      <c r="P1096" s="456" t="s">
        <v>47</v>
      </c>
      <c r="Q1096" s="588">
        <v>0</v>
      </c>
      <c r="R1096" s="15"/>
      <c r="S1096" s="12" t="s">
        <v>12</v>
      </c>
      <c r="T1096" s="15"/>
      <c r="U1096" s="385"/>
      <c r="V1096" s="1"/>
      <c r="W1096" s="1"/>
      <c r="X1096" s="1"/>
      <c r="Y1096" s="1"/>
      <c r="Z1096" s="1"/>
      <c r="AA1096" s="1"/>
      <c r="AB1096" s="246"/>
    </row>
    <row r="1097" spans="2:28" ht="16.5" thickBot="1">
      <c r="B1097" s="11"/>
      <c r="C1097" s="1"/>
      <c r="D1097" s="1"/>
      <c r="E1097" s="1"/>
      <c r="F1097" s="1"/>
      <c r="G1097" s="1"/>
      <c r="H1097" s="1"/>
      <c r="I1097" s="1"/>
      <c r="J1097" s="246"/>
      <c r="K1097" s="15"/>
      <c r="L1097" s="298"/>
      <c r="M1097" s="1"/>
      <c r="N1097" s="1"/>
      <c r="O1097" s="1"/>
      <c r="P1097" s="1"/>
      <c r="Q1097" s="1"/>
      <c r="R1097" s="1"/>
      <c r="S1097" s="1"/>
      <c r="T1097" s="1"/>
      <c r="U1097" s="385"/>
      <c r="V1097" s="1"/>
      <c r="W1097" s="1"/>
      <c r="X1097" s="1"/>
      <c r="Y1097" s="1"/>
      <c r="Z1097" s="1"/>
      <c r="AA1097" s="1"/>
      <c r="AB1097" s="246"/>
    </row>
    <row r="1098" spans="2:28" ht="16.5" thickBot="1">
      <c r="B1098" s="298"/>
      <c r="C1098" s="1"/>
      <c r="D1098" s="1"/>
      <c r="E1098" s="314" t="s">
        <v>143</v>
      </c>
      <c r="F1098" s="22"/>
      <c r="G1098" s="315"/>
      <c r="H1098" s="1"/>
      <c r="I1098" s="1"/>
      <c r="J1098" s="246"/>
      <c r="K1098" s="1"/>
      <c r="L1098" s="298"/>
      <c r="M1098" s="15"/>
      <c r="N1098" s="15"/>
      <c r="O1098" s="5" t="s">
        <v>144</v>
      </c>
      <c r="P1098" s="347" t="s">
        <v>6</v>
      </c>
      <c r="Q1098" s="411" t="s">
        <v>7</v>
      </c>
      <c r="R1098" s="15"/>
      <c r="S1098" s="15"/>
      <c r="T1098" s="15"/>
      <c r="U1098" s="378"/>
      <c r="V1098" s="1"/>
      <c r="W1098" s="1"/>
      <c r="X1098" s="1"/>
      <c r="Y1098" s="1"/>
      <c r="Z1098" s="1"/>
      <c r="AA1098" s="1"/>
      <c r="AB1098" s="246"/>
    </row>
    <row r="1099" spans="2:28" ht="15.75">
      <c r="B1099" s="298"/>
      <c r="C1099" s="1"/>
      <c r="D1099" s="1"/>
      <c r="E1099" s="449" t="s">
        <v>145</v>
      </c>
      <c r="F1099" s="574"/>
      <c r="G1099" s="491"/>
      <c r="H1099" s="1"/>
      <c r="I1099" s="12" t="s">
        <v>12</v>
      </c>
      <c r="J1099" s="246"/>
      <c r="K1099" s="15"/>
      <c r="L1099" s="298"/>
      <c r="M1099" s="15"/>
      <c r="N1099" s="15"/>
      <c r="O1099" s="536" t="s">
        <v>146</v>
      </c>
      <c r="P1099" s="527"/>
      <c r="Q1099" s="528"/>
      <c r="R1099" s="15"/>
      <c r="S1099" s="15"/>
      <c r="T1099" s="15"/>
      <c r="U1099" s="15"/>
      <c r="V1099" s="1"/>
      <c r="W1099" s="1"/>
      <c r="X1099" s="1"/>
      <c r="Y1099" s="1"/>
      <c r="Z1099" s="1"/>
      <c r="AA1099" s="1"/>
      <c r="AB1099" s="246"/>
    </row>
    <row r="1100" spans="2:28" ht="15.75">
      <c r="B1100" s="298"/>
      <c r="C1100" s="1"/>
      <c r="D1100" s="1"/>
      <c r="E1100" s="451" t="s">
        <v>147</v>
      </c>
      <c r="F1100" s="573"/>
      <c r="G1100" s="467"/>
      <c r="H1100" s="1"/>
      <c r="I1100" s="12" t="s">
        <v>12</v>
      </c>
      <c r="J1100" s="246"/>
      <c r="K1100" s="1"/>
      <c r="L1100" s="298"/>
      <c r="M1100" s="375"/>
      <c r="N1100" s="15"/>
      <c r="O1100" s="451" t="s">
        <v>148</v>
      </c>
      <c r="P1100" s="7" t="s">
        <v>107</v>
      </c>
      <c r="Q1100" s="584">
        <v>0</v>
      </c>
      <c r="R1100" s="15"/>
      <c r="S1100" s="12" t="s">
        <v>12</v>
      </c>
      <c r="T1100" s="15"/>
      <c r="U1100" s="15"/>
      <c r="V1100" s="1"/>
      <c r="W1100" s="1"/>
      <c r="X1100" s="1"/>
      <c r="Y1100" s="1"/>
      <c r="Z1100" s="1"/>
      <c r="AA1100" s="1"/>
      <c r="AB1100" s="246"/>
    </row>
    <row r="1101" spans="2:28" ht="16.5" thickBot="1">
      <c r="B1101" s="11"/>
      <c r="C1101" s="1"/>
      <c r="D1101" s="1"/>
      <c r="E1101" s="492" t="s">
        <v>149</v>
      </c>
      <c r="F1101" s="575"/>
      <c r="G1101" s="493"/>
      <c r="H1101" s="1"/>
      <c r="I1101" s="12" t="s">
        <v>12</v>
      </c>
      <c r="J1101" s="246"/>
      <c r="K1101" s="1"/>
      <c r="L1101" s="298"/>
      <c r="M1101" s="15"/>
      <c r="N1101" s="15"/>
      <c r="O1101" s="455" t="s">
        <v>150</v>
      </c>
      <c r="P1101" s="466" t="s">
        <v>47</v>
      </c>
      <c r="Q1101" s="537"/>
      <c r="R1101" s="15"/>
      <c r="S1101" s="12" t="s">
        <v>12</v>
      </c>
      <c r="T1101" s="15"/>
      <c r="U1101" s="15"/>
      <c r="V1101" s="1"/>
      <c r="W1101" s="1"/>
      <c r="X1101" s="1"/>
      <c r="Y1101" s="1"/>
      <c r="Z1101" s="1"/>
      <c r="AA1101" s="1"/>
      <c r="AB1101" s="246"/>
    </row>
    <row r="1102" spans="2:28" ht="17.25" thickTop="1" thickBot="1">
      <c r="B1102" s="298"/>
      <c r="C1102" s="1"/>
      <c r="D1102" s="1"/>
      <c r="E1102" s="494" t="s">
        <v>44</v>
      </c>
      <c r="F1102" s="462" t="s">
        <v>47</v>
      </c>
      <c r="G1102" s="495"/>
      <c r="H1102" s="1"/>
      <c r="I1102" s="12" t="s">
        <v>12</v>
      </c>
      <c r="J1102" s="246"/>
      <c r="K1102" s="1"/>
      <c r="L1102" s="298"/>
      <c r="M1102" s="15"/>
      <c r="N1102" s="15"/>
      <c r="O1102" s="536" t="s">
        <v>151</v>
      </c>
      <c r="P1102" s="527"/>
      <c r="Q1102" s="538"/>
      <c r="R1102" s="15"/>
      <c r="S1102" s="15"/>
      <c r="T1102" s="15"/>
      <c r="U1102" s="15"/>
      <c r="V1102" s="1"/>
      <c r="W1102" s="1"/>
      <c r="X1102" s="1"/>
      <c r="Y1102" s="1"/>
      <c r="Z1102" s="1"/>
      <c r="AA1102" s="1"/>
      <c r="AB1102" s="246"/>
    </row>
    <row r="1103" spans="2:28" ht="16.5" thickBot="1">
      <c r="B1103" s="11"/>
      <c r="C1103" s="1"/>
      <c r="D1103" s="1"/>
      <c r="E1103" s="1"/>
      <c r="F1103" s="1"/>
      <c r="G1103" s="1"/>
      <c r="H1103" s="1"/>
      <c r="I1103" s="1"/>
      <c r="J1103" s="246"/>
      <c r="K1103" s="1"/>
      <c r="L1103" s="298"/>
      <c r="M1103" s="375"/>
      <c r="N1103" s="15"/>
      <c r="O1103" s="474" t="s">
        <v>152</v>
      </c>
      <c r="P1103" s="7" t="s">
        <v>107</v>
      </c>
      <c r="Q1103" s="584">
        <v>0</v>
      </c>
      <c r="R1103" s="15"/>
      <c r="S1103" s="12" t="s">
        <v>12</v>
      </c>
      <c r="T1103" s="15"/>
      <c r="U1103" s="1"/>
      <c r="V1103" s="1"/>
      <c r="W1103" s="1"/>
      <c r="X1103" s="1"/>
      <c r="Y1103" s="1"/>
      <c r="Z1103" s="1"/>
      <c r="AA1103" s="1"/>
      <c r="AB1103" s="246"/>
    </row>
    <row r="1104" spans="2:28" ht="16.5" thickBot="1">
      <c r="B1104" s="11"/>
      <c r="C1104" s="1"/>
      <c r="D1104" s="1"/>
      <c r="E1104" s="5" t="s">
        <v>153</v>
      </c>
      <c r="F1104" s="347" t="s">
        <v>6</v>
      </c>
      <c r="G1104" s="411" t="s">
        <v>7</v>
      </c>
      <c r="H1104" s="293"/>
      <c r="I1104" s="17"/>
      <c r="J1104" s="246"/>
      <c r="K1104" s="1"/>
      <c r="L1104" s="298"/>
      <c r="M1104" s="15"/>
      <c r="N1104" s="15"/>
      <c r="O1104" s="465" t="s">
        <v>154</v>
      </c>
      <c r="P1104" s="466" t="s">
        <v>47</v>
      </c>
      <c r="Q1104" s="537"/>
      <c r="R1104" s="15"/>
      <c r="S1104" s="12" t="s">
        <v>12</v>
      </c>
      <c r="T1104" s="15"/>
      <c r="U1104" s="15"/>
      <c r="V1104" s="1"/>
      <c r="W1104" s="1"/>
      <c r="X1104" s="1"/>
      <c r="Y1104" s="1"/>
      <c r="Z1104" s="1"/>
      <c r="AA1104" s="1"/>
      <c r="AB1104" s="246"/>
    </row>
    <row r="1105" spans="2:28" ht="16.5" thickBot="1">
      <c r="B1105" s="11"/>
      <c r="C1105" s="373"/>
      <c r="D1105" s="1"/>
      <c r="E1105" s="438" t="s">
        <v>155</v>
      </c>
      <c r="F1105" s="525"/>
      <c r="G1105" s="547" t="s">
        <v>83</v>
      </c>
      <c r="H1105" s="282"/>
      <c r="I1105" s="12" t="s">
        <v>12</v>
      </c>
      <c r="J1105" s="246"/>
      <c r="K1105" s="1"/>
      <c r="L1105" s="298"/>
      <c r="M1105" s="375"/>
      <c r="N1105" s="15"/>
      <c r="O1105" s="540" t="s">
        <v>156</v>
      </c>
      <c r="P1105" s="439" t="s">
        <v>19</v>
      </c>
      <c r="Q1105" s="539">
        <v>0.02</v>
      </c>
      <c r="R1105" s="15"/>
      <c r="S1105" s="12" t="s">
        <v>12</v>
      </c>
      <c r="T1105" s="15"/>
      <c r="U1105" s="1"/>
      <c r="V1105" s="1"/>
      <c r="W1105" s="1"/>
      <c r="X1105" s="1"/>
      <c r="Y1105" s="1"/>
      <c r="Z1105" s="1"/>
      <c r="AA1105" s="1"/>
      <c r="AB1105" s="246"/>
    </row>
    <row r="1106" spans="2:28" ht="16.5" thickBot="1">
      <c r="B1106" s="11"/>
      <c r="C1106" s="369"/>
      <c r="D1106" s="1">
        <f>IF(OR(G1106&lt;0,G1106=""),1,0)</f>
        <v>0</v>
      </c>
      <c r="E1106" s="458" t="s">
        <v>157</v>
      </c>
      <c r="F1106" s="450" t="s">
        <v>19</v>
      </c>
      <c r="G1106" s="548">
        <v>0.21</v>
      </c>
      <c r="H1106" s="270"/>
      <c r="I1106" s="12" t="s">
        <v>12</v>
      </c>
      <c r="J1106" s="403"/>
      <c r="K1106" s="1"/>
      <c r="L1106" s="11"/>
      <c r="M1106" s="1"/>
      <c r="N1106" s="1"/>
      <c r="O1106" s="1"/>
      <c r="P1106" s="1"/>
      <c r="Q1106" s="1"/>
      <c r="R1106" s="1"/>
      <c r="S1106" s="1"/>
      <c r="T1106" s="1"/>
      <c r="U1106" s="1"/>
      <c r="V1106" s="1"/>
      <c r="W1106" s="1"/>
      <c r="X1106" s="1"/>
      <c r="Y1106" s="1"/>
      <c r="Z1106" s="1"/>
      <c r="AA1106" s="1"/>
      <c r="AB1106" s="246"/>
    </row>
    <row r="1107" spans="2:28" ht="16.5" thickBot="1">
      <c r="B1107" s="11"/>
      <c r="C1107" s="373"/>
      <c r="D1107" s="1"/>
      <c r="E1107" s="513" t="s">
        <v>75</v>
      </c>
      <c r="F1107" s="549"/>
      <c r="G1107" s="517" t="s">
        <v>76</v>
      </c>
      <c r="H1107" s="282"/>
      <c r="I1107" s="12" t="s">
        <v>12</v>
      </c>
      <c r="J1107" s="246"/>
      <c r="K1107" s="1"/>
      <c r="L1107" s="11"/>
      <c r="M1107" s="15"/>
      <c r="N1107" s="15"/>
      <c r="O1107" s="348" t="s">
        <v>158</v>
      </c>
      <c r="P1107" s="432" t="s">
        <v>159</v>
      </c>
      <c r="Q1107" s="432"/>
      <c r="R1107" s="432"/>
      <c r="S1107" s="432"/>
      <c r="T1107" s="432"/>
      <c r="U1107" s="432"/>
      <c r="V1107" s="432"/>
      <c r="W1107" s="432"/>
      <c r="X1107" s="432"/>
      <c r="Y1107" s="432"/>
      <c r="Z1107" s="315"/>
      <c r="AA1107" s="1"/>
      <c r="AB1107" s="246"/>
    </row>
    <row r="1108" spans="2:28" ht="15.75">
      <c r="B1108" s="11"/>
      <c r="C1108" s="369"/>
      <c r="D1108" s="1">
        <f>IF(OR(G1108&lt;0,G1108=""),1,0)</f>
        <v>0</v>
      </c>
      <c r="E1108" s="458" t="s">
        <v>160</v>
      </c>
      <c r="F1108" s="450" t="s">
        <v>19</v>
      </c>
      <c r="G1108" s="682">
        <v>0.09</v>
      </c>
      <c r="H1108" s="270"/>
      <c r="I1108" s="12" t="s">
        <v>12</v>
      </c>
      <c r="J1108" s="403"/>
      <c r="K1108" s="1"/>
      <c r="L1108" s="11"/>
      <c r="M1108" s="373"/>
      <c r="N1108" s="15"/>
      <c r="O1108" s="515" t="s">
        <v>161</v>
      </c>
      <c r="P1108" s="496" t="s">
        <v>102</v>
      </c>
      <c r="Q1108" s="1"/>
      <c r="R1108" s="1"/>
      <c r="S1108" s="419" t="s">
        <v>12</v>
      </c>
      <c r="T1108" s="1"/>
      <c r="U1108" s="1"/>
      <c r="V1108" s="1"/>
      <c r="W1108" s="1"/>
      <c r="X1108" s="1"/>
      <c r="Y1108" s="1"/>
      <c r="Z1108" s="246"/>
      <c r="AA1108" s="1"/>
      <c r="AB1108" s="246"/>
    </row>
    <row r="1109" spans="2:28" ht="16.5" thickBot="1">
      <c r="B1109" s="11"/>
      <c r="C1109" s="373"/>
      <c r="D1109" s="1"/>
      <c r="E1109" s="513" t="s">
        <v>162</v>
      </c>
      <c r="F1109" s="549"/>
      <c r="G1109" s="517" t="s">
        <v>76</v>
      </c>
      <c r="H1109" s="282"/>
      <c r="I1109" s="12" t="s">
        <v>12</v>
      </c>
      <c r="J1109" s="403"/>
      <c r="K1109" s="1"/>
      <c r="L1109" s="11"/>
      <c r="M1109" s="375"/>
      <c r="N1109" s="1"/>
      <c r="O1109" s="455" t="s">
        <v>163</v>
      </c>
      <c r="P1109" s="683">
        <f>[2]Input_Dashboard!D1174</f>
        <v>0</v>
      </c>
      <c r="Q1109" s="1"/>
      <c r="R1109" s="1"/>
      <c r="S1109" s="12" t="s">
        <v>12</v>
      </c>
      <c r="T1109" s="1"/>
      <c r="U1109" s="1"/>
      <c r="V1109" s="1"/>
      <c r="W1109" s="1"/>
      <c r="X1109" s="1"/>
      <c r="Y1109" s="1"/>
      <c r="Z1109" s="246"/>
      <c r="AA1109" s="1"/>
      <c r="AB1109" s="246"/>
    </row>
    <row r="1110" spans="2:28" ht="16.5" thickBot="1">
      <c r="B1110" s="11"/>
      <c r="C1110" s="1"/>
      <c r="D1110" s="1"/>
      <c r="E1110" s="550" t="s">
        <v>164</v>
      </c>
      <c r="F1110" s="551" t="s">
        <v>19</v>
      </c>
      <c r="G1110" s="552"/>
      <c r="H1110" s="295"/>
      <c r="I1110" s="12" t="s">
        <v>12</v>
      </c>
      <c r="J1110" s="403"/>
      <c r="K1110" s="1"/>
      <c r="L1110" s="11"/>
      <c r="M1110" s="1"/>
      <c r="N1110" s="1"/>
      <c r="O1110" s="296"/>
      <c r="P1110" s="40"/>
      <c r="Q1110" s="40"/>
      <c r="R1110" s="40"/>
      <c r="S1110" s="40"/>
      <c r="T1110" s="40"/>
      <c r="U1110" s="40"/>
      <c r="V1110" s="40"/>
      <c r="W1110" s="40"/>
      <c r="X1110" s="40"/>
      <c r="Y1110" s="40"/>
      <c r="Z1110" s="305"/>
      <c r="AA1110" s="1"/>
      <c r="AB1110" s="246"/>
    </row>
    <row r="1111" spans="2:28" ht="16.5" thickBot="1">
      <c r="B1111" s="11"/>
      <c r="C1111" s="1"/>
      <c r="D1111" s="1"/>
      <c r="E1111" s="455" t="s">
        <v>158</v>
      </c>
      <c r="F1111" s="498"/>
      <c r="G1111" s="499" t="s">
        <v>165</v>
      </c>
      <c r="H1111" s="55"/>
      <c r="I1111" s="12" t="s">
        <v>12</v>
      </c>
      <c r="J1111" s="246"/>
      <c r="K1111" s="1"/>
      <c r="L1111" s="11"/>
      <c r="M1111" s="15"/>
      <c r="N1111" s="15"/>
      <c r="O1111" s="542" t="s">
        <v>166</v>
      </c>
      <c r="P1111" s="543" t="s">
        <v>167</v>
      </c>
      <c r="Q1111" s="648" t="s">
        <v>168</v>
      </c>
      <c r="R1111" s="775" t="s">
        <v>169</v>
      </c>
      <c r="S1111" s="776"/>
      <c r="T1111" s="777"/>
      <c r="U1111" s="543" t="s">
        <v>170</v>
      </c>
      <c r="V1111" s="543" t="s">
        <v>171</v>
      </c>
      <c r="W1111" s="543" t="s">
        <v>172</v>
      </c>
      <c r="X1111" s="543" t="s">
        <v>173</v>
      </c>
      <c r="Y1111" s="543" t="s">
        <v>174</v>
      </c>
      <c r="Z1111" s="544" t="s">
        <v>175</v>
      </c>
      <c r="AA1111" s="1"/>
      <c r="AB1111" s="246"/>
    </row>
    <row r="1112" spans="2:28" ht="16.5" thickBot="1">
      <c r="B1112" s="11"/>
      <c r="C1112" s="1"/>
      <c r="D1112" s="1"/>
      <c r="E1112" s="1"/>
      <c r="F1112" s="1"/>
      <c r="G1112" s="1"/>
      <c r="H1112" s="1"/>
      <c r="I1112" s="1"/>
      <c r="J1112" s="246"/>
      <c r="K1112" s="1"/>
      <c r="L1112" s="11">
        <f>IF(AND($G$73="Yes",$G$15="Simple"),1,0)</f>
        <v>0</v>
      </c>
      <c r="M1112" s="15"/>
      <c r="N1112" s="230">
        <f>IF(AND($G$15="Simple",SUM(P1112:Z1112)=1),1,IF(AND($G$15="Simple",SUM(P1112:Z1112)&lt;&gt;1),2,0))</f>
        <v>0</v>
      </c>
      <c r="O1112" s="545" t="str">
        <f t="shared" ref="O1112:O1117" si="12">E1048</f>
        <v>Total Installed Cost</v>
      </c>
      <c r="P1112" s="590">
        <v>0.94</v>
      </c>
      <c r="Q1112" s="649">
        <v>0</v>
      </c>
      <c r="R1112" s="778">
        <v>1.4999999999999999E-2</v>
      </c>
      <c r="S1112" s="779"/>
      <c r="T1112" s="780"/>
      <c r="U1112" s="590">
        <v>0.01</v>
      </c>
      <c r="V1112" s="590">
        <v>0</v>
      </c>
      <c r="W1112" s="590">
        <v>0</v>
      </c>
      <c r="X1112" s="590">
        <v>0.01</v>
      </c>
      <c r="Y1112" s="590">
        <v>0</v>
      </c>
      <c r="Z1112" s="593">
        <v>2.5000000000000001E-2</v>
      </c>
      <c r="AA1112" s="1"/>
      <c r="AB1112" s="294" t="s">
        <v>12</v>
      </c>
    </row>
    <row r="1113" spans="2:28" ht="16.5" thickBot="1">
      <c r="B1113" s="296"/>
      <c r="C1113" s="40"/>
      <c r="D1113" s="40"/>
      <c r="E1113" s="40"/>
      <c r="F1113" s="40"/>
      <c r="G1113" s="40"/>
      <c r="H1113" s="40"/>
      <c r="I1113" s="40"/>
      <c r="J1113" s="305"/>
      <c r="K1113" s="1"/>
      <c r="L1113" s="11">
        <f>IF(AND($G$73="Yes",$G$15="Intermediate"),1,0)</f>
        <v>1</v>
      </c>
      <c r="M1113" s="15"/>
      <c r="N1113" s="230">
        <f>IF(AND($G$15="Intermediate",SUM(P1113:Z1113)=1),1,IF(AND($G$15="Intermediate",SUM(P1113:Z1113)&lt;&gt;1),2,0))</f>
        <v>1</v>
      </c>
      <c r="O1113" s="595" t="str">
        <f t="shared" si="12"/>
        <v>Generation Equipment</v>
      </c>
      <c r="P1113" s="723">
        <v>0.96</v>
      </c>
      <c r="Q1113" s="724">
        <v>0</v>
      </c>
      <c r="R1113" s="781">
        <v>0.02</v>
      </c>
      <c r="S1113" s="782"/>
      <c r="T1113" s="783"/>
      <c r="U1113" s="725">
        <v>0</v>
      </c>
      <c r="V1113" s="725">
        <v>0</v>
      </c>
      <c r="W1113" s="725">
        <v>0</v>
      </c>
      <c r="X1113" s="725">
        <v>0.02</v>
      </c>
      <c r="Y1113" s="725">
        <v>0</v>
      </c>
      <c r="Z1113" s="726">
        <v>0</v>
      </c>
      <c r="AA1113" s="1"/>
      <c r="AB1113" s="294" t="s">
        <v>12</v>
      </c>
    </row>
    <row r="1114" spans="2:28" ht="15.75">
      <c r="B1114" s="1"/>
      <c r="C1114" s="1"/>
      <c r="D1114" s="1"/>
      <c r="E1114" s="1"/>
      <c r="F1114" s="1"/>
      <c r="G1114" s="1"/>
      <c r="H1114" s="1"/>
      <c r="I1114" s="1"/>
      <c r="J1114" s="1"/>
      <c r="K1114" s="1"/>
      <c r="L1114" s="11">
        <f>IF(AND($G$73="Yes",$G$15="Intermediate"),1,0)</f>
        <v>1</v>
      </c>
      <c r="M1114" s="15"/>
      <c r="N1114" s="230">
        <f>IF(AND($G$15="Intermediate",SUM(P1114:Z1114)=1),1,IF(AND($G$15="Intermediate",SUM(P1114:Z1114)&lt;&gt;1),2,0))</f>
        <v>1</v>
      </c>
      <c r="O1114" s="596" t="str">
        <f t="shared" si="12"/>
        <v>Balance of Plant</v>
      </c>
      <c r="P1114" s="723">
        <v>0.5</v>
      </c>
      <c r="Q1114" s="724">
        <v>0</v>
      </c>
      <c r="R1114" s="784">
        <v>0</v>
      </c>
      <c r="S1114" s="785"/>
      <c r="T1114" s="786"/>
      <c r="U1114" s="724">
        <v>0</v>
      </c>
      <c r="V1114" s="724">
        <v>0</v>
      </c>
      <c r="W1114" s="724">
        <v>0.5</v>
      </c>
      <c r="X1114" s="724">
        <v>0</v>
      </c>
      <c r="Y1114" s="724">
        <v>0</v>
      </c>
      <c r="Z1114" s="727">
        <v>0</v>
      </c>
      <c r="AA1114" s="1"/>
      <c r="AB1114" s="294" t="s">
        <v>12</v>
      </c>
    </row>
    <row r="1115" spans="2:28" ht="15.75">
      <c r="B1115" s="1"/>
      <c r="C1115" s="1"/>
      <c r="D1115" s="1"/>
      <c r="E1115" s="1"/>
      <c r="F1115" s="1"/>
      <c r="G1115" s="1"/>
      <c r="H1115" s="1"/>
      <c r="I1115" s="1"/>
      <c r="J1115" s="1"/>
      <c r="K1115" s="1"/>
      <c r="L1115" s="11">
        <f>IF(AND($G$73="Yes",$G$15="Intermediate"),1,0)</f>
        <v>1</v>
      </c>
      <c r="M1115" s="15"/>
      <c r="N1115" s="230">
        <f>IF(AND($G$15="Intermediate",SUM(P1115:Z1115)=1),1,IF(AND($G$15="Intermediate",SUM(P1115:Z1115)&lt;&gt;1),2,0))</f>
        <v>1</v>
      </c>
      <c r="O1115" s="596" t="str">
        <f t="shared" si="12"/>
        <v>Interconnection</v>
      </c>
      <c r="P1115" s="723">
        <v>0</v>
      </c>
      <c r="Q1115" s="724">
        <v>0</v>
      </c>
      <c r="R1115" s="784">
        <v>0</v>
      </c>
      <c r="S1115" s="785"/>
      <c r="T1115" s="786"/>
      <c r="U1115" s="724">
        <v>0</v>
      </c>
      <c r="V1115" s="724">
        <v>0</v>
      </c>
      <c r="W1115" s="724">
        <v>1</v>
      </c>
      <c r="X1115" s="724">
        <v>0</v>
      </c>
      <c r="Y1115" s="724">
        <v>0</v>
      </c>
      <c r="Z1115" s="727">
        <v>0</v>
      </c>
      <c r="AA1115" s="1"/>
      <c r="AB1115" s="294" t="s">
        <v>12</v>
      </c>
    </row>
    <row r="1116" spans="2:28" ht="15.75">
      <c r="B1116" s="1"/>
      <c r="C1116" s="1"/>
      <c r="D1116" s="1"/>
      <c r="E1116" s="1"/>
      <c r="F1116" s="1"/>
      <c r="G1116" s="1"/>
      <c r="H1116" s="1"/>
      <c r="I1116" s="1"/>
      <c r="J1116" s="1"/>
      <c r="K1116" s="1"/>
      <c r="L1116" s="11">
        <f>IF(AND($G$73="Yes",$G$15="Intermediate"),1,0)</f>
        <v>1</v>
      </c>
      <c r="M1116" s="15"/>
      <c r="N1116" s="230">
        <f>IF(AND($G$15="Intermediate",SUM(P1116:Z1116)=1),1,IF(AND($G$15="Intermediate",SUM(P1116:Z1116)&lt;&gt;1),2,0))</f>
        <v>1</v>
      </c>
      <c r="O1116" s="596" t="str">
        <f t="shared" si="12"/>
        <v>Development Costs &amp; Fee</v>
      </c>
      <c r="P1116" s="723">
        <v>0.8</v>
      </c>
      <c r="Q1116" s="724">
        <v>0</v>
      </c>
      <c r="R1116" s="784">
        <v>0</v>
      </c>
      <c r="S1116" s="785"/>
      <c r="T1116" s="786"/>
      <c r="U1116" s="724">
        <v>0</v>
      </c>
      <c r="V1116" s="724">
        <v>0</v>
      </c>
      <c r="W1116" s="724">
        <v>0.05</v>
      </c>
      <c r="X1116" s="724">
        <v>0.05</v>
      </c>
      <c r="Y1116" s="724">
        <v>0</v>
      </c>
      <c r="Z1116" s="727">
        <v>0.1</v>
      </c>
      <c r="AA1116" s="1"/>
      <c r="AB1116" s="294" t="s">
        <v>12</v>
      </c>
    </row>
    <row r="1117" spans="2:28" ht="16.5" thickBot="1">
      <c r="B1117" s="1"/>
      <c r="C1117" s="1"/>
      <c r="D1117" s="1"/>
      <c r="E1117" s="1"/>
      <c r="F1117" s="1"/>
      <c r="G1117" s="1"/>
      <c r="H1117" s="1"/>
      <c r="I1117" s="1"/>
      <c r="J1117" s="1"/>
      <c r="K1117" s="1"/>
      <c r="L1117" s="11">
        <f>IF(AND($G$73="Yes",$G$15="Intermediate"),1,0)</f>
        <v>1</v>
      </c>
      <c r="M1117" s="15"/>
      <c r="N1117" s="230">
        <f>IF(AND($G$15="Intermediate",SUM(P1117:Z1117)=1),1,IF(AND($G$15="Intermediate",SUM(P1117:Z1117)&lt;&gt;1),2,0))</f>
        <v>1</v>
      </c>
      <c r="O1117" s="597" t="str">
        <f t="shared" si="12"/>
        <v>Reserves &amp; Financing Costs</v>
      </c>
      <c r="P1117" s="728">
        <v>0</v>
      </c>
      <c r="Q1117" s="729">
        <v>0</v>
      </c>
      <c r="R1117" s="766">
        <v>0</v>
      </c>
      <c r="S1117" s="767"/>
      <c r="T1117" s="768"/>
      <c r="U1117" s="729">
        <v>0</v>
      </c>
      <c r="V1117" s="729">
        <v>0</v>
      </c>
      <c r="W1117" s="729">
        <v>0</v>
      </c>
      <c r="X1117" s="729">
        <v>0.5</v>
      </c>
      <c r="Y1117" s="729">
        <v>0</v>
      </c>
      <c r="Z1117" s="730">
        <v>0.5</v>
      </c>
      <c r="AA1117" s="1"/>
      <c r="AB1117" s="294" t="s">
        <v>12</v>
      </c>
    </row>
    <row r="1118" spans="2:28" ht="16.5" thickBot="1">
      <c r="B1118" s="1"/>
      <c r="C1118" s="1"/>
      <c r="D1118" s="1"/>
      <c r="E1118" s="1"/>
      <c r="F1118" s="1"/>
      <c r="G1118" s="1"/>
      <c r="H1118" s="1"/>
      <c r="I1118" s="1"/>
      <c r="J1118" s="1"/>
      <c r="K1118" s="1"/>
      <c r="L1118" s="296">
        <f>IF(AND($G$73="Yes",$G$15="Complex"),1,0)</f>
        <v>0</v>
      </c>
      <c r="M1118" s="647"/>
      <c r="N1118" s="647"/>
      <c r="O1118" s="546" t="s">
        <v>176</v>
      </c>
      <c r="P1118" s="591"/>
      <c r="Q1118" s="592"/>
      <c r="R1118" s="769"/>
      <c r="S1118" s="770"/>
      <c r="T1118" s="771"/>
      <c r="U1118" s="591"/>
      <c r="V1118" s="591"/>
      <c r="W1118" s="591"/>
      <c r="X1118" s="591"/>
      <c r="Y1118" s="591"/>
      <c r="Z1118" s="594"/>
      <c r="AA1118" s="40"/>
      <c r="AB1118" s="421" t="s">
        <v>12</v>
      </c>
    </row>
    <row r="1120" spans="2:28" ht="36.75" thickBot="1">
      <c r="E1120" s="731" t="s">
        <v>191</v>
      </c>
    </row>
    <row r="1121" spans="2:28" ht="18.75" thickBot="1">
      <c r="B1121" s="413"/>
      <c r="C1121" s="772" t="s">
        <v>1</v>
      </c>
      <c r="D1121" s="772"/>
      <c r="E1121" s="772"/>
      <c r="F1121" s="772"/>
      <c r="G1121" s="772"/>
      <c r="H1121" s="772"/>
      <c r="I1121" s="772"/>
      <c r="J1121" s="772"/>
      <c r="K1121" s="772"/>
      <c r="L1121" s="773"/>
      <c r="M1121" s="773"/>
      <c r="N1121" s="773"/>
      <c r="O1121" s="773"/>
      <c r="P1121" s="773"/>
      <c r="Q1121" s="773"/>
      <c r="R1121" s="773"/>
      <c r="S1121" s="773"/>
      <c r="T1121" s="773"/>
      <c r="U1121" s="328"/>
      <c r="V1121" s="329"/>
      <c r="W1121" s="329"/>
      <c r="X1121" s="329"/>
      <c r="Y1121" s="329"/>
      <c r="Z1121" s="329"/>
      <c r="AA1121" s="329"/>
      <c r="AB1121" s="330"/>
    </row>
    <row r="1122" spans="2:28" ht="18">
      <c r="B1122" s="11"/>
      <c r="C1122" s="266"/>
      <c r="D1122" s="266"/>
      <c r="E1122" s="266"/>
      <c r="F1122" s="266"/>
      <c r="G1122" s="266"/>
      <c r="H1122" s="266"/>
      <c r="I1122" s="266"/>
      <c r="J1122" s="266"/>
      <c r="K1122" s="341"/>
      <c r="L1122" s="265"/>
      <c r="M1122" s="266"/>
      <c r="N1122" s="266"/>
      <c r="O1122" s="266"/>
      <c r="P1122" s="266"/>
      <c r="Q1122" s="266"/>
      <c r="R1122" s="266"/>
      <c r="S1122" s="266"/>
      <c r="T1122" s="266"/>
      <c r="U1122" s="266"/>
      <c r="V1122" s="267"/>
      <c r="W1122" s="267"/>
      <c r="X1122" s="267"/>
      <c r="Y1122" s="267"/>
      <c r="Z1122" s="267"/>
      <c r="AA1122" s="267"/>
      <c r="AB1122" s="297"/>
    </row>
    <row r="1123" spans="2:28" ht="18.75" thickBot="1">
      <c r="B1123" s="11"/>
      <c r="C1123" s="401" t="s">
        <v>2</v>
      </c>
      <c r="D1123" s="14"/>
      <c r="E1123" s="1"/>
      <c r="F1123" s="15"/>
      <c r="G1123" s="1"/>
      <c r="H1123" s="392"/>
      <c r="I1123" s="414" t="s">
        <v>3</v>
      </c>
      <c r="J1123" s="1"/>
      <c r="K1123" s="342"/>
      <c r="L1123" s="298"/>
      <c r="M1123" s="401" t="s">
        <v>2</v>
      </c>
      <c r="N1123" s="15"/>
      <c r="O1123" s="774" t="s">
        <v>4</v>
      </c>
      <c r="P1123" s="774"/>
      <c r="Q1123" s="420"/>
      <c r="R1123" s="15"/>
      <c r="S1123" s="401" t="s">
        <v>3</v>
      </c>
      <c r="T1123" s="393"/>
      <c r="U1123" s="14"/>
      <c r="V1123" s="1"/>
      <c r="W1123" s="1"/>
      <c r="X1123" s="1"/>
      <c r="Y1123" s="1"/>
      <c r="Z1123" s="1"/>
      <c r="AA1123" s="1"/>
      <c r="AB1123" s="246"/>
    </row>
    <row r="1124" spans="2:28" ht="18.75" thickBot="1">
      <c r="B1124" s="415"/>
      <c r="C1124" s="267"/>
      <c r="D1124" s="267"/>
      <c r="E1124" s="20"/>
      <c r="F1124" s="16"/>
      <c r="G1124" s="19"/>
      <c r="H1124" s="416"/>
      <c r="I1124" s="417"/>
      <c r="J1124" s="418"/>
      <c r="K1124" s="15"/>
      <c r="L1124" s="415"/>
      <c r="M1124" s="267"/>
      <c r="N1124" s="267"/>
      <c r="O1124" s="267"/>
      <c r="P1124" s="267"/>
      <c r="Q1124" s="267"/>
      <c r="R1124" s="267"/>
      <c r="S1124" s="267"/>
      <c r="T1124" s="267"/>
      <c r="U1124" s="267"/>
      <c r="V1124" s="267"/>
      <c r="W1124" s="267"/>
      <c r="X1124" s="267"/>
      <c r="Y1124" s="267"/>
      <c r="Z1124" s="267"/>
      <c r="AA1124" s="267"/>
      <c r="AB1124" s="297"/>
    </row>
    <row r="1125" spans="2:28" ht="21" thickBot="1">
      <c r="B1125" s="11"/>
      <c r="C1125" s="1"/>
      <c r="D1125" s="1"/>
      <c r="E1125" s="2" t="s">
        <v>5</v>
      </c>
      <c r="F1125" s="347" t="s">
        <v>6</v>
      </c>
      <c r="G1125" s="411" t="s">
        <v>7</v>
      </c>
      <c r="H1125" s="57"/>
      <c r="I1125" s="17"/>
      <c r="J1125" s="402"/>
      <c r="K1125" s="15"/>
      <c r="L1125" s="11"/>
      <c r="M1125" s="1"/>
      <c r="N1125" s="1"/>
      <c r="O1125" s="2" t="s">
        <v>8</v>
      </c>
      <c r="P1125" s="347" t="s">
        <v>6</v>
      </c>
      <c r="Q1125" s="411" t="s">
        <v>7</v>
      </c>
      <c r="R1125" s="1"/>
      <c r="S1125" s="1"/>
      <c r="T1125" s="1"/>
      <c r="U1125" s="645" t="s">
        <v>9</v>
      </c>
      <c r="V1125" s="1"/>
      <c r="W1125" s="1"/>
      <c r="X1125" s="1"/>
      <c r="Y1125" s="1"/>
      <c r="Z1125" s="1"/>
      <c r="AA1125" s="1"/>
      <c r="AB1125" s="246"/>
    </row>
    <row r="1126" spans="2:28" ht="15.75">
      <c r="B1126" s="11"/>
      <c r="C1126" s="317"/>
      <c r="D1126" s="1"/>
      <c r="E1126" s="458" t="s">
        <v>10</v>
      </c>
      <c r="F1126" s="450" t="s">
        <v>11</v>
      </c>
      <c r="G1126" s="717">
        <v>3000</v>
      </c>
      <c r="H1126" s="269"/>
      <c r="I1126" s="12" t="s">
        <v>12</v>
      </c>
      <c r="J1126" s="403"/>
      <c r="K1126" s="15"/>
      <c r="L1126" s="11"/>
      <c r="M1126" s="371"/>
      <c r="N1126" s="1">
        <f>IF(OR(Q1126&lt;=0,Q1126&gt;G1130),1,0)</f>
        <v>0</v>
      </c>
      <c r="O1126" s="458" t="s">
        <v>13</v>
      </c>
      <c r="P1126" s="450" t="s">
        <v>14</v>
      </c>
      <c r="Q1126" s="667">
        <v>20</v>
      </c>
      <c r="R1126" s="272"/>
      <c r="S1126" s="12" t="s">
        <v>12</v>
      </c>
      <c r="T1126" s="340"/>
      <c r="U1126" s="656" t="s">
        <v>15</v>
      </c>
      <c r="V1126" s="657" t="s">
        <v>16</v>
      </c>
      <c r="W1126" s="658" t="s">
        <v>17</v>
      </c>
      <c r="X1126" s="1"/>
      <c r="Y1126" s="1"/>
      <c r="Z1126" s="1"/>
      <c r="AA1126" s="1"/>
      <c r="AB1126" s="246"/>
    </row>
    <row r="1127" spans="2:28" ht="15.75">
      <c r="B1127" s="11"/>
      <c r="C1127" s="370"/>
      <c r="D1127" s="1">
        <f>IF(OR(G1127&lt;=0,G1127&gt;1),1,0)</f>
        <v>0</v>
      </c>
      <c r="E1127" s="451" t="s">
        <v>18</v>
      </c>
      <c r="F1127" s="7" t="s">
        <v>19</v>
      </c>
      <c r="G1127" s="472">
        <v>0.21</v>
      </c>
      <c r="H1127" s="270"/>
      <c r="I1127" s="12" t="s">
        <v>12</v>
      </c>
      <c r="J1127" s="403"/>
      <c r="K1127" s="15"/>
      <c r="L1127" s="11"/>
      <c r="M1127" s="317"/>
      <c r="N1127" s="1"/>
      <c r="O1127" s="451" t="s">
        <v>20</v>
      </c>
      <c r="P1127" s="7" t="s">
        <v>19</v>
      </c>
      <c r="Q1127" s="472">
        <v>0</v>
      </c>
      <c r="R1127" s="270">
        <v>0</v>
      </c>
      <c r="S1127" s="12" t="s">
        <v>12</v>
      </c>
      <c r="T1127" s="340"/>
      <c r="U1127" s="474" t="s">
        <v>21</v>
      </c>
      <c r="V1127" s="633" t="s">
        <v>22</v>
      </c>
      <c r="W1127" s="646" t="s">
        <v>190</v>
      </c>
      <c r="X1127" s="1"/>
      <c r="Y1127" s="1"/>
      <c r="Z1127" s="1"/>
      <c r="AA1127" s="1"/>
      <c r="AB1127" s="246"/>
    </row>
    <row r="1128" spans="2:28" ht="16.5" thickBot="1">
      <c r="B1128" s="11"/>
      <c r="C1128" s="285"/>
      <c r="D1128" s="1"/>
      <c r="E1128" s="451" t="s">
        <v>24</v>
      </c>
      <c r="F1128" s="8" t="s">
        <v>25</v>
      </c>
      <c r="G1128" s="473"/>
      <c r="H1128" s="271"/>
      <c r="I1128" s="12" t="s">
        <v>12</v>
      </c>
      <c r="J1128" s="403"/>
      <c r="K1128" s="15"/>
      <c r="L1128" s="11"/>
      <c r="M1128" s="316"/>
      <c r="N1128" s="1"/>
      <c r="O1128" s="461" t="s">
        <v>26</v>
      </c>
      <c r="P1128" s="466" t="s">
        <v>19</v>
      </c>
      <c r="Q1128" s="472">
        <v>0</v>
      </c>
      <c r="R1128" s="270"/>
      <c r="S1128" s="12" t="s">
        <v>12</v>
      </c>
      <c r="T1128" s="340"/>
      <c r="U1128" s="451" t="s">
        <v>27</v>
      </c>
      <c r="V1128" s="633" t="s">
        <v>22</v>
      </c>
      <c r="W1128" s="646" t="s">
        <v>178</v>
      </c>
      <c r="X1128" s="1"/>
      <c r="Y1128" s="1"/>
      <c r="Z1128" s="1"/>
      <c r="AA1128" s="1"/>
      <c r="AB1128" s="246"/>
    </row>
    <row r="1129" spans="2:28" ht="16.5" thickBot="1">
      <c r="B1129" s="11"/>
      <c r="C1129" s="369"/>
      <c r="D1129" s="1">
        <f>IF(OR(G1129&lt;0,G1129&gt;1),1,0)</f>
        <v>0</v>
      </c>
      <c r="E1129" s="453" t="s">
        <v>29</v>
      </c>
      <c r="F1129" s="7" t="s">
        <v>19</v>
      </c>
      <c r="G1129" s="472">
        <v>5.0000000000000001E-3</v>
      </c>
      <c r="H1129" s="270"/>
      <c r="I1129" s="12" t="s">
        <v>12</v>
      </c>
      <c r="J1129" s="403"/>
      <c r="K1129" s="15"/>
      <c r="L1129" s="298"/>
      <c r="M1129" s="15"/>
      <c r="N1129" s="15"/>
      <c r="O1129" s="15"/>
      <c r="P1129" s="15"/>
      <c r="Q1129" s="15"/>
      <c r="R1129" s="15"/>
      <c r="S1129" s="15"/>
      <c r="T1129" s="15"/>
      <c r="U1129" s="639"/>
      <c r="V1129" s="636"/>
      <c r="W1129" s="640"/>
      <c r="X1129" s="123"/>
      <c r="Y1129" s="123"/>
      <c r="Z1129" s="123"/>
      <c r="AA1129" s="1"/>
      <c r="AB1129" s="246"/>
    </row>
    <row r="1130" spans="2:28" ht="16.5" thickBot="1">
      <c r="B1130" s="11"/>
      <c r="C1130" s="371"/>
      <c r="D1130" s="1">
        <f>IF(OR(G1130&lt;1,G1130&gt;30),1,0)</f>
        <v>0</v>
      </c>
      <c r="E1130" s="455" t="s">
        <v>30</v>
      </c>
      <c r="F1130" s="466" t="s">
        <v>14</v>
      </c>
      <c r="G1130" s="581">
        <v>30</v>
      </c>
      <c r="H1130" s="272"/>
      <c r="I1130" s="12" t="s">
        <v>12</v>
      </c>
      <c r="J1130" s="403"/>
      <c r="K1130" s="15"/>
      <c r="L1130" s="298"/>
      <c r="M1130" s="1"/>
      <c r="N1130" s="1"/>
      <c r="O1130" s="2" t="s">
        <v>31</v>
      </c>
      <c r="P1130" s="3"/>
      <c r="Q1130" s="4"/>
      <c r="R1130" s="15"/>
      <c r="S1130" s="12" t="s">
        <v>12</v>
      </c>
      <c r="T1130" s="123"/>
      <c r="U1130" s="474" t="s">
        <v>32</v>
      </c>
      <c r="V1130" s="634" t="s">
        <v>33</v>
      </c>
      <c r="W1130" s="669">
        <v>37.5</v>
      </c>
      <c r="X1130" s="178"/>
      <c r="Y1130" s="178"/>
      <c r="Z1130" s="178"/>
      <c r="AA1130" s="1"/>
      <c r="AB1130" s="246"/>
    </row>
    <row r="1131" spans="2:28" ht="16.5" thickBot="1">
      <c r="B1131" s="11"/>
      <c r="C1131" s="1"/>
      <c r="D1131" s="1"/>
      <c r="E1131" s="1"/>
      <c r="F1131" s="1"/>
      <c r="G1131" s="17"/>
      <c r="H1131" s="17"/>
      <c r="I1131" s="13"/>
      <c r="J1131" s="403"/>
      <c r="K1131" s="15"/>
      <c r="L1131" s="298"/>
      <c r="M1131" s="369"/>
      <c r="N1131" s="1"/>
      <c r="O1131" s="500" t="s">
        <v>34</v>
      </c>
      <c r="P1131" s="501"/>
      <c r="Q1131" s="502" t="s">
        <v>35</v>
      </c>
      <c r="R1131" s="1"/>
      <c r="S1131" s="345" t="s">
        <v>12</v>
      </c>
      <c r="T1131" s="346">
        <f>IF(Q1126&lt;G1130,1,0)</f>
        <v>1</v>
      </c>
      <c r="U1131" s="641" t="s">
        <v>36</v>
      </c>
      <c r="V1131" s="635" t="s">
        <v>19</v>
      </c>
      <c r="W1131" s="670">
        <v>0.02</v>
      </c>
      <c r="X1131" s="1"/>
      <c r="Y1131" s="123"/>
      <c r="Z1131" s="123"/>
      <c r="AA1131" s="1"/>
      <c r="AB1131" s="246"/>
    </row>
    <row r="1132" spans="2:28" ht="16.5" thickBot="1">
      <c r="B1132" s="11"/>
      <c r="C1132" s="1"/>
      <c r="D1132" s="1"/>
      <c r="E1132" s="10" t="s">
        <v>37</v>
      </c>
      <c r="F1132" s="347" t="s">
        <v>6</v>
      </c>
      <c r="G1132" s="411" t="s">
        <v>7</v>
      </c>
      <c r="H1132" s="283"/>
      <c r="I1132" s="13"/>
      <c r="J1132" s="403"/>
      <c r="K1132" s="15"/>
      <c r="L1132" s="298"/>
      <c r="M1132" s="369"/>
      <c r="N1132" s="1">
        <f>IF(OR(Q1132&lt;=0,Q1132=""),1,0)</f>
        <v>0</v>
      </c>
      <c r="O1132" s="503" t="s">
        <v>38</v>
      </c>
      <c r="P1132" s="343" t="s">
        <v>39</v>
      </c>
      <c r="Q1132" s="504">
        <v>5</v>
      </c>
      <c r="R1132" s="1"/>
      <c r="S1132" s="345" t="s">
        <v>12</v>
      </c>
      <c r="T1132" s="346">
        <f>IF(AND($Q$8&lt;$G$12,$Q$13="Year One"),1,0)</f>
        <v>0</v>
      </c>
      <c r="U1132" s="642"/>
      <c r="V1132" s="637"/>
      <c r="W1132" s="643"/>
      <c r="X1132" s="1"/>
      <c r="Y1132" s="123"/>
      <c r="Z1132" s="123"/>
      <c r="AA1132" s="1"/>
      <c r="AB1132" s="246"/>
    </row>
    <row r="1133" spans="2:28" ht="16.5" thickBot="1">
      <c r="B1133" s="11"/>
      <c r="C1133" s="318"/>
      <c r="D1133" s="1"/>
      <c r="E1133" s="438" t="s">
        <v>40</v>
      </c>
      <c r="F1133" s="439"/>
      <c r="G1133" s="440" t="s">
        <v>41</v>
      </c>
      <c r="H1133" s="281"/>
      <c r="I1133" s="12" t="s">
        <v>12</v>
      </c>
      <c r="J1133" s="403"/>
      <c r="K1133" s="15"/>
      <c r="L1133" s="298"/>
      <c r="M1133" s="369"/>
      <c r="N1133" s="1">
        <f>IF(OR(Q1133&lt;=0,Q1133=""),1,0)</f>
        <v>0</v>
      </c>
      <c r="O1133" s="505" t="s">
        <v>42</v>
      </c>
      <c r="P1133" s="344" t="s">
        <v>19</v>
      </c>
      <c r="Q1133" s="506">
        <v>0.03</v>
      </c>
      <c r="R1133" s="1"/>
      <c r="S1133" s="368" t="s">
        <v>12</v>
      </c>
      <c r="T1133" s="346">
        <f>IF(AND($Q$8&lt;$G$12,$Q$13="Year One"),1,0)</f>
        <v>0</v>
      </c>
      <c r="U1133" s="451" t="s">
        <v>43</v>
      </c>
      <c r="V1133" s="633" t="s">
        <v>19</v>
      </c>
      <c r="W1133" s="581">
        <v>0</v>
      </c>
      <c r="X1133" s="1"/>
      <c r="Y1133" s="123"/>
      <c r="Z1133" s="123"/>
      <c r="AA1133" s="1"/>
      <c r="AB1133" s="246"/>
    </row>
    <row r="1134" spans="2:28" ht="16.5" thickBot="1">
      <c r="B1134" s="11"/>
      <c r="C1134" s="319"/>
      <c r="D1134" s="1"/>
      <c r="E1134" s="441" t="s">
        <v>44</v>
      </c>
      <c r="F1134" s="442" t="s">
        <v>33</v>
      </c>
      <c r="G1134" s="443">
        <v>2500</v>
      </c>
      <c r="H1134" s="273"/>
      <c r="I1134" s="366" t="s">
        <v>12</v>
      </c>
      <c r="J1134" s="404"/>
      <c r="K1134" s="15"/>
      <c r="L1134" s="298"/>
      <c r="M1134" s="1"/>
      <c r="N1134" s="1"/>
      <c r="O1134" s="507" t="str">
        <f>IF(OR($Q$13="Year One",$Q$8=$G$12),"","Click Here for Complex Input Worksheet")</f>
        <v>Click Here for Complex Input Worksheet</v>
      </c>
      <c r="P1134" s="508"/>
      <c r="Q1134" s="509"/>
      <c r="R1134" s="1"/>
      <c r="S1134" s="366" t="s">
        <v>12</v>
      </c>
      <c r="T1134" s="346">
        <f>IF(AND($Q$8&lt;$G$12,$Q$13="Year-by-Year"),1,0)</f>
        <v>1</v>
      </c>
      <c r="U1134" s="451" t="s">
        <v>45</v>
      </c>
      <c r="V1134" s="633" t="s">
        <v>19</v>
      </c>
      <c r="W1134" s="670">
        <v>0.02</v>
      </c>
      <c r="X1134" s="123"/>
      <c r="Y1134" s="123"/>
      <c r="Z1134" s="123"/>
      <c r="AA1134" s="1"/>
      <c r="AB1134" s="246"/>
    </row>
    <row r="1135" spans="2:28" ht="16.5" thickBot="1">
      <c r="B1135" s="11"/>
      <c r="C1135" s="320"/>
      <c r="D1135" s="1"/>
      <c r="E1135" s="444" t="s">
        <v>46</v>
      </c>
      <c r="F1135" s="343" t="s">
        <v>47</v>
      </c>
      <c r="G1135" s="718">
        <v>10945200</v>
      </c>
      <c r="H1135" s="274"/>
      <c r="I1135" s="366" t="s">
        <v>12</v>
      </c>
      <c r="J1135" s="403"/>
      <c r="K1135" s="15"/>
      <c r="L1135" s="298"/>
      <c r="M1135" s="1"/>
      <c r="N1135" s="1"/>
      <c r="O1135" s="1"/>
      <c r="P1135" s="1"/>
      <c r="Q1135" s="1"/>
      <c r="R1135" s="1"/>
      <c r="S1135" s="1"/>
      <c r="T1135" s="179"/>
      <c r="U1135" s="644"/>
      <c r="V1135" s="638"/>
      <c r="W1135" s="643"/>
      <c r="X1135" s="123"/>
      <c r="Y1135" s="123"/>
      <c r="Z1135" s="123"/>
      <c r="AA1135" s="1"/>
      <c r="AB1135" s="246"/>
    </row>
    <row r="1136" spans="2:28" ht="16.5" thickBot="1">
      <c r="B1136" s="11"/>
      <c r="C1136" s="376"/>
      <c r="D1136" s="1"/>
      <c r="E1136" s="444" t="s">
        <v>48</v>
      </c>
      <c r="F1136" s="343" t="s">
        <v>47</v>
      </c>
      <c r="G1136" s="718">
        <v>0</v>
      </c>
      <c r="H1136" s="274"/>
      <c r="I1136" s="366" t="s">
        <v>12</v>
      </c>
      <c r="J1136" s="403"/>
      <c r="K1136" s="15"/>
      <c r="L1136" s="298"/>
      <c r="M1136" s="1"/>
      <c r="N1136" s="1"/>
      <c r="O1136" s="5" t="s">
        <v>49</v>
      </c>
      <c r="P1136" s="347" t="s">
        <v>6</v>
      </c>
      <c r="Q1136" s="411" t="s">
        <v>7</v>
      </c>
      <c r="R1136" s="120"/>
      <c r="S1136" s="13"/>
      <c r="T1136" s="179"/>
      <c r="U1136" s="641" t="s">
        <v>50</v>
      </c>
      <c r="V1136" s="257" t="s">
        <v>47</v>
      </c>
      <c r="W1136" s="581">
        <v>0</v>
      </c>
      <c r="X1136" s="123"/>
      <c r="Y1136" s="1"/>
      <c r="Z1136" s="1"/>
      <c r="AA1136" s="1"/>
      <c r="AB1136" s="246"/>
    </row>
    <row r="1137" spans="2:28" ht="16.5" thickBot="1">
      <c r="B1137" s="11"/>
      <c r="C1137" s="376"/>
      <c r="D1137" s="1"/>
      <c r="E1137" s="444" t="s">
        <v>51</v>
      </c>
      <c r="F1137" s="343" t="s">
        <v>47</v>
      </c>
      <c r="G1137" s="718">
        <v>0</v>
      </c>
      <c r="H1137" s="274"/>
      <c r="I1137" s="366" t="s">
        <v>12</v>
      </c>
      <c r="J1137" s="403"/>
      <c r="K1137" s="15"/>
      <c r="L1137" s="298"/>
      <c r="M1137" s="374"/>
      <c r="N1137" s="1"/>
      <c r="O1137" s="518" t="s">
        <v>52</v>
      </c>
      <c r="P1137" s="519"/>
      <c r="Q1137" s="520" t="s">
        <v>53</v>
      </c>
      <c r="R1137" s="1"/>
      <c r="S1137" s="12" t="s">
        <v>12</v>
      </c>
      <c r="T1137" s="1"/>
      <c r="U1137" s="489" t="s">
        <v>54</v>
      </c>
      <c r="V1137" s="719" t="s">
        <v>55</v>
      </c>
      <c r="W1137" s="720">
        <v>22</v>
      </c>
      <c r="X1137" s="1"/>
      <c r="Y1137" s="1"/>
      <c r="Z1137" s="1"/>
      <c r="AA1137" s="1"/>
      <c r="AB1137" s="246"/>
    </row>
    <row r="1138" spans="2:28" ht="15.75">
      <c r="B1138" s="11"/>
      <c r="C1138" s="376"/>
      <c r="D1138" s="1"/>
      <c r="E1138" s="604" t="s">
        <v>56</v>
      </c>
      <c r="F1138" s="343" t="s">
        <v>47</v>
      </c>
      <c r="G1138" s="721">
        <v>0</v>
      </c>
      <c r="H1138" s="274"/>
      <c r="I1138" s="366" t="s">
        <v>12</v>
      </c>
      <c r="J1138" s="403"/>
      <c r="K1138" s="15"/>
      <c r="L1138" s="298"/>
      <c r="M1138" s="374"/>
      <c r="N1138" s="1"/>
      <c r="O1138" s="458" t="s">
        <v>57</v>
      </c>
      <c r="P1138" s="450"/>
      <c r="Q1138" s="496" t="s">
        <v>58</v>
      </c>
      <c r="R1138" s="15"/>
      <c r="S1138" s="12" t="s">
        <v>12</v>
      </c>
      <c r="T1138" s="15"/>
      <c r="U1138" s="1"/>
      <c r="V1138" s="1"/>
      <c r="W1138" s="1"/>
      <c r="X1138" s="1"/>
      <c r="Y1138" s="1"/>
      <c r="Z1138" s="1"/>
      <c r="AA1138" s="1"/>
      <c r="AB1138" s="246"/>
    </row>
    <row r="1139" spans="2:28" ht="15.75">
      <c r="B1139" s="11"/>
      <c r="C1139" s="321"/>
      <c r="D1139" s="1"/>
      <c r="E1139" s="444" t="s">
        <v>59</v>
      </c>
      <c r="F1139" s="343" t="s">
        <v>47</v>
      </c>
      <c r="G1139" s="445"/>
      <c r="H1139" s="275"/>
      <c r="I1139" s="366" t="s">
        <v>12</v>
      </c>
      <c r="J1139" s="403"/>
      <c r="K1139" s="15"/>
      <c r="L1139" s="298"/>
      <c r="M1139" s="374"/>
      <c r="N1139" s="1">
        <f>IF(OR(Q1139&lt;0,Q1139&gt;1,Q1139=""),1,0)</f>
        <v>0</v>
      </c>
      <c r="O1139" s="468" t="s">
        <v>60</v>
      </c>
      <c r="P1139" s="6" t="s">
        <v>19</v>
      </c>
      <c r="Q1139" s="674">
        <v>0.3</v>
      </c>
      <c r="R1139" s="15"/>
      <c r="S1139" s="12" t="s">
        <v>12</v>
      </c>
      <c r="T1139" s="15"/>
      <c r="U1139" s="1"/>
      <c r="V1139" s="1"/>
      <c r="W1139" s="1"/>
      <c r="X1139" s="1"/>
      <c r="Y1139" s="1"/>
      <c r="Z1139" s="1"/>
      <c r="AA1139" s="1"/>
      <c r="AB1139" s="246"/>
    </row>
    <row r="1140" spans="2:28" ht="16.5" thickBot="1">
      <c r="B1140" s="11"/>
      <c r="C1140" s="321"/>
      <c r="D1140" s="1"/>
      <c r="E1140" s="446" t="s">
        <v>61</v>
      </c>
      <c r="F1140" s="447" t="str">
        <f>IF($G$15="Complex","$","")</f>
        <v/>
      </c>
      <c r="G1140" s="448"/>
      <c r="H1140" s="276"/>
      <c r="I1140" s="366" t="s">
        <v>12</v>
      </c>
      <c r="J1140" s="403"/>
      <c r="K1140" s="15"/>
      <c r="L1140" s="298"/>
      <c r="M1140" s="369"/>
      <c r="N1140" s="1">
        <f>IF(OR(Q1140&lt;0,Q1140&gt;1,Q1140=""),1,0)</f>
        <v>0</v>
      </c>
      <c r="O1140" s="483" t="s">
        <v>63</v>
      </c>
      <c r="P1140" s="24" t="s">
        <v>19</v>
      </c>
      <c r="Q1140" s="674">
        <v>1</v>
      </c>
      <c r="R1140" s="121"/>
      <c r="S1140" s="12" t="s">
        <v>12</v>
      </c>
      <c r="T1140" s="367">
        <f>IF(AND($Q$19="Cost-Based",$Q$20="ITC"),1,0)</f>
        <v>1</v>
      </c>
      <c r="U1140" s="1"/>
      <c r="V1140" s="1"/>
      <c r="W1140" s="1"/>
      <c r="X1140" s="1"/>
      <c r="Y1140" s="1"/>
      <c r="Z1140" s="1"/>
      <c r="AA1140" s="1"/>
      <c r="AB1140" s="246"/>
    </row>
    <row r="1141" spans="2:28" ht="16.5" thickBot="1">
      <c r="B1141" s="11"/>
      <c r="C1141" s="323"/>
      <c r="D1141" s="1"/>
      <c r="E1141" s="449" t="s">
        <v>44</v>
      </c>
      <c r="F1141" s="450" t="s">
        <v>47</v>
      </c>
      <c r="G1141" s="675"/>
      <c r="H1141" s="276"/>
      <c r="I1141" s="12" t="s">
        <v>12</v>
      </c>
      <c r="J1141" s="403"/>
      <c r="K1141" s="15"/>
      <c r="L1141" s="298"/>
      <c r="M1141" s="1"/>
      <c r="N1141" s="1"/>
      <c r="O1141" s="455" t="s">
        <v>64</v>
      </c>
      <c r="P1141" s="462" t="s">
        <v>47</v>
      </c>
      <c r="Q1141" s="676"/>
      <c r="R1141" s="121"/>
      <c r="S1141" s="12" t="s">
        <v>12</v>
      </c>
      <c r="T1141" s="15"/>
      <c r="U1141" s="1"/>
      <c r="V1141" s="1"/>
      <c r="W1141" s="1"/>
      <c r="X1141" s="1"/>
      <c r="Y1141" s="1"/>
      <c r="Z1141" s="1"/>
      <c r="AA1141" s="1"/>
      <c r="AB1141" s="246"/>
    </row>
    <row r="1142" spans="2:28" ht="15.75">
      <c r="B1142" s="11"/>
      <c r="C1142" s="323"/>
      <c r="D1142" s="1"/>
      <c r="E1142" s="451" t="s">
        <v>44</v>
      </c>
      <c r="F1142" s="8" t="str">
        <f>F1134</f>
        <v>$/kW</v>
      </c>
      <c r="G1142" s="452"/>
      <c r="H1142" s="284"/>
      <c r="I1142" s="12" t="s">
        <v>12</v>
      </c>
      <c r="J1142" s="403"/>
      <c r="K1142" s="15"/>
      <c r="L1142" s="298"/>
      <c r="M1142" s="374"/>
      <c r="N1142" s="1"/>
      <c r="O1142" s="449" t="s">
        <v>65</v>
      </c>
      <c r="P1142" s="522"/>
      <c r="Q1142" s="510" t="s">
        <v>66</v>
      </c>
      <c r="R1142" s="1"/>
      <c r="S1142" s="12" t="s">
        <v>12</v>
      </c>
      <c r="T1142" s="1"/>
      <c r="U1142" s="1"/>
      <c r="V1142" s="1"/>
      <c r="W1142" s="1"/>
      <c r="X1142" s="1"/>
      <c r="Y1142" s="1"/>
      <c r="Z1142" s="1"/>
      <c r="AA1142" s="1"/>
      <c r="AB1142" s="246"/>
    </row>
    <row r="1143" spans="2:28" ht="15.75">
      <c r="B1143" s="11"/>
      <c r="C1143" s="322"/>
      <c r="D1143" s="1"/>
      <c r="E1143" s="453" t="s">
        <v>67</v>
      </c>
      <c r="F1143" s="7" t="s">
        <v>47</v>
      </c>
      <c r="G1143" s="454"/>
      <c r="H1143" s="277"/>
      <c r="I1143" s="12" t="s">
        <v>12</v>
      </c>
      <c r="J1143" s="403"/>
      <c r="K1143" s="15"/>
      <c r="L1143" s="298"/>
      <c r="M1143" s="369"/>
      <c r="N1143" s="1"/>
      <c r="O1143" s="451" t="s">
        <v>68</v>
      </c>
      <c r="P1143" s="8" t="s">
        <v>39</v>
      </c>
      <c r="Q1143" s="512">
        <v>1.5</v>
      </c>
      <c r="R1143" s="15"/>
      <c r="S1143" s="12" t="s">
        <v>12</v>
      </c>
      <c r="T1143" s="15"/>
      <c r="U1143" s="1"/>
      <c r="V1143" s="1"/>
      <c r="W1143" s="1"/>
      <c r="X1143" s="1"/>
      <c r="Y1143" s="1"/>
      <c r="Z1143" s="1"/>
      <c r="AA1143" s="1"/>
      <c r="AB1143" s="246"/>
    </row>
    <row r="1144" spans="2:28" ht="15.75">
      <c r="B1144" s="11"/>
      <c r="C1144" s="322"/>
      <c r="D1144" s="1"/>
      <c r="E1144" s="453" t="s">
        <v>69</v>
      </c>
      <c r="F1144" s="7" t="s">
        <v>47</v>
      </c>
      <c r="G1144" s="452"/>
      <c r="H1144" s="276"/>
      <c r="I1144" s="12" t="s">
        <v>12</v>
      </c>
      <c r="J1144" s="403"/>
      <c r="K1144" s="15"/>
      <c r="L1144" s="298"/>
      <c r="M1144" s="369"/>
      <c r="N1144" s="1">
        <f>IF(OR(Q1144&lt;0,Q1144&gt;G1130),1,0)</f>
        <v>0</v>
      </c>
      <c r="O1144" s="451" t="s">
        <v>70</v>
      </c>
      <c r="P1144" s="8" t="s">
        <v>71</v>
      </c>
      <c r="Q1144" s="464">
        <v>10</v>
      </c>
      <c r="R1144" s="15"/>
      <c r="S1144" s="12" t="s">
        <v>12</v>
      </c>
      <c r="T1144" s="15"/>
      <c r="U1144" s="1"/>
      <c r="V1144" s="1"/>
      <c r="W1144" s="1"/>
      <c r="X1144" s="1"/>
      <c r="Y1144" s="1"/>
      <c r="Z1144" s="1"/>
      <c r="AA1144" s="1"/>
      <c r="AB1144" s="246"/>
    </row>
    <row r="1145" spans="2:28" ht="16.5" thickBot="1">
      <c r="B1145" s="11"/>
      <c r="C1145" s="323"/>
      <c r="D1145" s="1"/>
      <c r="E1145" s="455" t="s">
        <v>69</v>
      </c>
      <c r="F1145" s="456" t="str">
        <f>F1134</f>
        <v>$/kW</v>
      </c>
      <c r="G1145" s="457"/>
      <c r="H1145" s="284"/>
      <c r="I1145" s="12" t="s">
        <v>12</v>
      </c>
      <c r="J1145" s="403"/>
      <c r="K1145" s="15"/>
      <c r="L1145" s="298"/>
      <c r="M1145" s="369"/>
      <c r="N1145" s="1"/>
      <c r="O1145" s="451" t="s">
        <v>72</v>
      </c>
      <c r="P1145" s="6" t="s">
        <v>19</v>
      </c>
      <c r="Q1145" s="497">
        <v>0.02</v>
      </c>
      <c r="R1145" s="15"/>
      <c r="S1145" s="12" t="s">
        <v>12</v>
      </c>
      <c r="T1145" s="15"/>
      <c r="U1145" s="1"/>
      <c r="V1145" s="1"/>
      <c r="W1145" s="1"/>
      <c r="X1145" s="1"/>
      <c r="Y1145" s="1"/>
      <c r="Z1145" s="1"/>
      <c r="AA1145" s="1"/>
      <c r="AB1145" s="246"/>
    </row>
    <row r="1146" spans="2:28" ht="16.5" thickBot="1">
      <c r="B1146" s="11"/>
      <c r="C1146" s="324"/>
      <c r="D1146" s="1"/>
      <c r="E1146" s="18"/>
      <c r="F1146" s="1"/>
      <c r="G1146" s="1"/>
      <c r="H1146" s="1"/>
      <c r="I1146" s="17"/>
      <c r="J1146" s="403"/>
      <c r="K1146" s="15"/>
      <c r="L1146" s="298"/>
      <c r="M1146" s="369"/>
      <c r="N1146" s="1">
        <f>IF(OR(Q1146&lt;0,Q1146&gt;1),1,0)</f>
        <v>0</v>
      </c>
      <c r="O1146" s="455" t="s">
        <v>73</v>
      </c>
      <c r="P1146" s="462" t="s">
        <v>19</v>
      </c>
      <c r="Q1146" s="523">
        <v>1</v>
      </c>
      <c r="R1146" s="15"/>
      <c r="S1146" s="12" t="s">
        <v>12</v>
      </c>
      <c r="T1146" s="15"/>
      <c r="U1146" s="1"/>
      <c r="V1146" s="1"/>
      <c r="W1146" s="1"/>
      <c r="X1146" s="1"/>
      <c r="Y1146" s="1"/>
      <c r="Z1146" s="1"/>
      <c r="AA1146" s="1"/>
      <c r="AB1146" s="246"/>
    </row>
    <row r="1147" spans="2:28" ht="16.5" thickBot="1">
      <c r="B1147" s="11"/>
      <c r="C1147" s="1"/>
      <c r="D1147" s="1"/>
      <c r="E1147" s="5" t="s">
        <v>74</v>
      </c>
      <c r="F1147" s="347" t="s">
        <v>6</v>
      </c>
      <c r="G1147" s="411" t="s">
        <v>7</v>
      </c>
      <c r="H1147" s="285"/>
      <c r="I1147" s="17"/>
      <c r="J1147" s="403"/>
      <c r="K1147" s="15"/>
      <c r="L1147" s="298"/>
      <c r="M1147" s="1"/>
      <c r="N1147" s="1"/>
      <c r="O1147" s="296" t="s">
        <v>75</v>
      </c>
      <c r="P1147" s="521"/>
      <c r="Q1147" s="514" t="s">
        <v>76</v>
      </c>
      <c r="R1147" s="121"/>
      <c r="S1147" s="12" t="s">
        <v>12</v>
      </c>
      <c r="T1147" s="15"/>
      <c r="U1147" s="1"/>
      <c r="V1147" s="1"/>
      <c r="W1147" s="1"/>
      <c r="X1147" s="1"/>
      <c r="Y1147" s="1"/>
      <c r="Z1147" s="1"/>
      <c r="AA1147" s="1"/>
      <c r="AB1147" s="246"/>
    </row>
    <row r="1148" spans="2:28" ht="16.5" thickBot="1">
      <c r="B1148" s="11"/>
      <c r="C1148" s="318"/>
      <c r="D1148" s="1"/>
      <c r="E1148" s="553" t="s">
        <v>40</v>
      </c>
      <c r="F1148" s="554"/>
      <c r="G1148" s="555" t="s">
        <v>41</v>
      </c>
      <c r="H1148" s="281"/>
      <c r="I1148" s="12" t="s">
        <v>12</v>
      </c>
      <c r="J1148" s="403"/>
      <c r="K1148" s="15"/>
      <c r="L1148" s="11"/>
      <c r="M1148" s="1"/>
      <c r="N1148" s="1"/>
      <c r="O1148" s="415"/>
      <c r="P1148" s="267"/>
      <c r="Q1148" s="297"/>
      <c r="R1148" s="1"/>
      <c r="S1148" s="1"/>
      <c r="T1148" s="1"/>
      <c r="U1148" s="1"/>
      <c r="V1148" s="1"/>
      <c r="W1148" s="1"/>
      <c r="X1148" s="1"/>
      <c r="Y1148" s="1"/>
      <c r="Z1148" s="1"/>
      <c r="AA1148" s="1"/>
      <c r="AB1148" s="246"/>
    </row>
    <row r="1149" spans="2:28" ht="15.75">
      <c r="B1149" s="11"/>
      <c r="C1149" s="325"/>
      <c r="D1149" s="1"/>
      <c r="E1149" s="458" t="s">
        <v>77</v>
      </c>
      <c r="F1149" s="459" t="s">
        <v>78</v>
      </c>
      <c r="G1149" s="460">
        <v>48.5</v>
      </c>
      <c r="H1149" s="286"/>
      <c r="I1149" s="12" t="s">
        <v>12</v>
      </c>
      <c r="J1149" s="403"/>
      <c r="K1149" s="15"/>
      <c r="L1149" s="298"/>
      <c r="M1149" s="369"/>
      <c r="N1149" s="1"/>
      <c r="O1149" s="515" t="s">
        <v>79</v>
      </c>
      <c r="P1149" s="459" t="s">
        <v>47</v>
      </c>
      <c r="Q1149" s="516">
        <v>0</v>
      </c>
      <c r="R1149" s="121"/>
      <c r="S1149" s="12" t="s">
        <v>12</v>
      </c>
      <c r="T1149" s="1"/>
      <c r="U1149" s="1"/>
      <c r="V1149" s="1"/>
      <c r="W1149" s="1"/>
      <c r="X1149" s="1"/>
      <c r="Y1149" s="1"/>
      <c r="Z1149" s="1"/>
      <c r="AA1149" s="1"/>
      <c r="AB1149" s="246"/>
    </row>
    <row r="1150" spans="2:28" ht="16.5" thickBot="1">
      <c r="B1150" s="11"/>
      <c r="C1150" s="369"/>
      <c r="D1150" s="1"/>
      <c r="E1150" s="453" t="s">
        <v>80</v>
      </c>
      <c r="F1150" s="7" t="s">
        <v>81</v>
      </c>
      <c r="G1150" s="512">
        <v>0</v>
      </c>
      <c r="H1150" s="287"/>
      <c r="I1150" s="12" t="s">
        <v>12</v>
      </c>
      <c r="J1150" s="403"/>
      <c r="K1150" s="15"/>
      <c r="L1150" s="298"/>
      <c r="M1150" s="374"/>
      <c r="N1150" s="1"/>
      <c r="O1150" s="455" t="s">
        <v>82</v>
      </c>
      <c r="P1150" s="466"/>
      <c r="Q1150" s="517" t="s">
        <v>83</v>
      </c>
      <c r="R1150" s="21"/>
      <c r="S1150" s="12" t="s">
        <v>12</v>
      </c>
      <c r="T1150" s="1"/>
      <c r="U1150" s="1"/>
      <c r="V1150" s="1"/>
      <c r="W1150" s="1"/>
      <c r="X1150" s="1"/>
      <c r="Y1150" s="1"/>
      <c r="Z1150" s="1"/>
      <c r="AA1150" s="1"/>
      <c r="AB1150" s="246"/>
    </row>
    <row r="1151" spans="2:28" ht="16.5" thickBot="1">
      <c r="B1151" s="11"/>
      <c r="C1151" s="326"/>
      <c r="D1151" s="15"/>
      <c r="E1151" s="474" t="s">
        <v>84</v>
      </c>
      <c r="F1151" s="7" t="s">
        <v>19</v>
      </c>
      <c r="G1151" s="475">
        <v>0.02</v>
      </c>
      <c r="H1151" s="270"/>
      <c r="I1151" s="12" t="s">
        <v>12</v>
      </c>
      <c r="J1151" s="404"/>
      <c r="K1151" s="15"/>
      <c r="L1151" s="298"/>
      <c r="M1151" s="1"/>
      <c r="N1151" s="1"/>
      <c r="O1151" s="1"/>
      <c r="P1151" s="1"/>
      <c r="Q1151" s="1"/>
      <c r="R1151" s="1"/>
      <c r="S1151" s="1"/>
      <c r="T1151" s="1"/>
      <c r="U1151" s="1"/>
      <c r="V1151" s="1"/>
      <c r="W1151" s="1"/>
      <c r="X1151" s="1"/>
      <c r="Y1151" s="1"/>
      <c r="Z1151" s="1"/>
      <c r="AA1151" s="1"/>
      <c r="AB1151" s="246"/>
    </row>
    <row r="1152" spans="2:28" ht="16.5" thickBot="1">
      <c r="B1152" s="11"/>
      <c r="C1152" s="317"/>
      <c r="D1152" s="1"/>
      <c r="E1152" s="451" t="s">
        <v>85</v>
      </c>
      <c r="F1152" s="7" t="s">
        <v>86</v>
      </c>
      <c r="G1152" s="582">
        <v>10</v>
      </c>
      <c r="H1152" s="272"/>
      <c r="I1152" s="12" t="s">
        <v>12</v>
      </c>
      <c r="J1152" s="404"/>
      <c r="K1152" s="15"/>
      <c r="L1152" s="298"/>
      <c r="M1152" s="1"/>
      <c r="N1152" s="1"/>
      <c r="O1152" s="5" t="s">
        <v>87</v>
      </c>
      <c r="P1152" s="347" t="s">
        <v>6</v>
      </c>
      <c r="Q1152" s="411" t="s">
        <v>7</v>
      </c>
      <c r="R1152" s="15"/>
      <c r="S1152" s="1"/>
      <c r="T1152" s="412"/>
      <c r="U1152" s="677"/>
      <c r="V1152" s="1"/>
      <c r="W1152" s="1"/>
      <c r="X1152" s="1"/>
      <c r="Y1152" s="1"/>
      <c r="Z1152" s="1"/>
      <c r="AA1152" s="1"/>
      <c r="AB1152" s="246"/>
    </row>
    <row r="1153" spans="2:28" ht="16.5" thickBot="1">
      <c r="B1153" s="11"/>
      <c r="C1153" s="326"/>
      <c r="D1153" s="15"/>
      <c r="E1153" s="465" t="s">
        <v>88</v>
      </c>
      <c r="F1153" s="466" t="s">
        <v>19</v>
      </c>
      <c r="G1153" s="475">
        <v>0.02</v>
      </c>
      <c r="H1153" s="278"/>
      <c r="I1153" s="12" t="s">
        <v>12</v>
      </c>
      <c r="J1153" s="403"/>
      <c r="K1153" s="15"/>
      <c r="L1153" s="298"/>
      <c r="M1153" s="374"/>
      <c r="N1153" s="1"/>
      <c r="O1153" s="568" t="s">
        <v>89</v>
      </c>
      <c r="P1153" s="569"/>
      <c r="Q1153" s="570" t="s">
        <v>90</v>
      </c>
      <c r="R1153" s="1"/>
      <c r="S1153" s="12" t="s">
        <v>12</v>
      </c>
      <c r="T1153" s="1"/>
      <c r="U1153" s="1"/>
      <c r="V1153" s="1"/>
      <c r="W1153" s="1"/>
      <c r="X1153" s="1"/>
      <c r="Y1153" s="1"/>
      <c r="Z1153" s="1"/>
      <c r="AA1153" s="1"/>
      <c r="AB1153" s="246"/>
    </row>
    <row r="1154" spans="2:28" ht="15.75">
      <c r="B1154" s="11"/>
      <c r="C1154" s="369"/>
      <c r="D1154" s="1"/>
      <c r="E1154" s="483" t="s">
        <v>91</v>
      </c>
      <c r="F1154" s="6" t="s">
        <v>19</v>
      </c>
      <c r="G1154" s="470">
        <v>2.9399999999999999E-3</v>
      </c>
      <c r="H1154" s="270"/>
      <c r="I1154" s="366" t="s">
        <v>12</v>
      </c>
      <c r="J1154" s="403"/>
      <c r="K1154" s="15"/>
      <c r="L1154" s="298"/>
      <c r="M1154" s="369"/>
      <c r="N1154" s="1">
        <f>IF(OR(Q1154&lt;0,Q1154&gt;1),1,0)</f>
        <v>0</v>
      </c>
      <c r="O1154" s="458" t="s">
        <v>92</v>
      </c>
      <c r="P1154" s="450" t="s">
        <v>19</v>
      </c>
      <c r="Q1154" s="600">
        <v>0</v>
      </c>
      <c r="R1154" s="15">
        <f>IF(OR($Q$35="Performance-Based",$Q$35="Neither"),1,0)</f>
        <v>1</v>
      </c>
      <c r="S1154" s="12" t="s">
        <v>12</v>
      </c>
      <c r="T1154" s="15"/>
      <c r="U1154" s="1"/>
      <c r="V1154" s="1"/>
      <c r="W1154" s="1"/>
      <c r="X1154" s="1"/>
      <c r="Y1154" s="1"/>
      <c r="Z1154" s="1"/>
      <c r="AA1154" s="1"/>
      <c r="AB1154" s="246"/>
    </row>
    <row r="1155" spans="2:28" ht="15.75">
      <c r="B1155" s="11"/>
      <c r="C1155" s="1"/>
      <c r="D1155" s="1"/>
      <c r="E1155" s="451" t="s">
        <v>93</v>
      </c>
      <c r="F1155" s="7" t="s">
        <v>47</v>
      </c>
      <c r="G1155" s="467"/>
      <c r="H1155" s="275"/>
      <c r="I1155" s="366" t="s">
        <v>12</v>
      </c>
      <c r="J1155" s="403"/>
      <c r="K1155" s="15"/>
      <c r="L1155" s="298"/>
      <c r="M1155" s="369"/>
      <c r="N1155" s="1">
        <f>IF(OR(Q1155&lt;0,Q1155&gt;1),1,0)</f>
        <v>0</v>
      </c>
      <c r="O1155" s="453" t="s">
        <v>94</v>
      </c>
      <c r="P1155" s="7" t="s">
        <v>19</v>
      </c>
      <c r="Q1155" s="601">
        <v>0</v>
      </c>
      <c r="R1155" s="15"/>
      <c r="S1155" s="12" t="s">
        <v>12</v>
      </c>
      <c r="T1155" s="15"/>
      <c r="U1155" s="15"/>
      <c r="V1155" s="1"/>
      <c r="W1155" s="1"/>
      <c r="X1155" s="1"/>
      <c r="Y1155" s="1"/>
      <c r="Z1155" s="1"/>
      <c r="AA1155" s="1"/>
      <c r="AB1155" s="246"/>
    </row>
    <row r="1156" spans="2:28" ht="15.75">
      <c r="B1156" s="11"/>
      <c r="C1156" s="369"/>
      <c r="D1156" s="1"/>
      <c r="E1156" s="468" t="s">
        <v>95</v>
      </c>
      <c r="F1156" s="6" t="s">
        <v>96</v>
      </c>
      <c r="G1156" s="469">
        <v>18000</v>
      </c>
      <c r="H1156" s="288"/>
      <c r="I1156" s="366" t="s">
        <v>12</v>
      </c>
      <c r="J1156" s="404"/>
      <c r="K1156" s="15"/>
      <c r="L1156" s="298"/>
      <c r="M1156" s="369"/>
      <c r="N1156" s="1">
        <f>IF(OR(Q1156&lt;1,Q1156&gt;G1130),1,0)</f>
        <v>1</v>
      </c>
      <c r="O1156" s="451" t="s">
        <v>97</v>
      </c>
      <c r="P1156" s="8" t="s">
        <v>71</v>
      </c>
      <c r="Q1156" s="602">
        <v>0</v>
      </c>
      <c r="R1156" s="15"/>
      <c r="S1156" s="12" t="s">
        <v>12</v>
      </c>
      <c r="T1156" s="1"/>
      <c r="U1156" s="678"/>
      <c r="V1156" s="1"/>
      <c r="W1156" s="1"/>
      <c r="X1156" s="1"/>
      <c r="Y1156" s="1"/>
      <c r="Z1156" s="1"/>
      <c r="AA1156" s="1"/>
      <c r="AB1156" s="246"/>
    </row>
    <row r="1157" spans="2:28" ht="16.5" thickBot="1">
      <c r="B1157" s="11"/>
      <c r="C1157" s="369"/>
      <c r="D1157" s="1"/>
      <c r="E1157" s="451" t="s">
        <v>98</v>
      </c>
      <c r="F1157" s="6" t="s">
        <v>33</v>
      </c>
      <c r="G1157" s="603">
        <v>5</v>
      </c>
      <c r="H1157" s="288"/>
      <c r="I1157" s="366" t="s">
        <v>12</v>
      </c>
      <c r="J1157" s="403"/>
      <c r="K1157" s="15"/>
      <c r="L1157" s="11"/>
      <c r="M1157" s="1"/>
      <c r="N1157" s="1"/>
      <c r="O1157" s="455" t="s">
        <v>50</v>
      </c>
      <c r="P1157" s="456" t="s">
        <v>47</v>
      </c>
      <c r="Q1157" s="572">
        <v>0</v>
      </c>
      <c r="R1157" s="1"/>
      <c r="S1157" s="12" t="s">
        <v>12</v>
      </c>
      <c r="T1157" s="1"/>
      <c r="U1157" s="1"/>
      <c r="V1157" s="1"/>
      <c r="W1157" s="1"/>
      <c r="X1157" s="1"/>
      <c r="Y1157" s="1"/>
      <c r="Z1157" s="1"/>
      <c r="AA1157" s="1"/>
      <c r="AB1157" s="246"/>
    </row>
    <row r="1158" spans="2:28" ht="15.75">
      <c r="B1158" s="11"/>
      <c r="C1158" s="369"/>
      <c r="D1158" s="1"/>
      <c r="E1158" s="451" t="s">
        <v>43</v>
      </c>
      <c r="F1158" s="6" t="s">
        <v>19</v>
      </c>
      <c r="G1158" s="583">
        <v>0</v>
      </c>
      <c r="H1158" s="1"/>
      <c r="I1158" s="366" t="s">
        <v>12</v>
      </c>
      <c r="J1158" s="403"/>
      <c r="K1158" s="15"/>
      <c r="L1158" s="298"/>
      <c r="M1158" s="374"/>
      <c r="N1158" s="1"/>
      <c r="O1158" s="483" t="s">
        <v>99</v>
      </c>
      <c r="P1158" s="6"/>
      <c r="Q1158" s="571" t="s">
        <v>66</v>
      </c>
      <c r="R1158" s="15">
        <f>IF(OR($Q$35="Cost-Based",$Q$35="Neither"),1,0)</f>
        <v>1</v>
      </c>
      <c r="S1158" s="12" t="s">
        <v>12</v>
      </c>
      <c r="T1158" s="15"/>
      <c r="U1158" s="21"/>
      <c r="V1158" s="1"/>
      <c r="W1158" s="1"/>
      <c r="X1158" s="1"/>
      <c r="Y1158" s="1"/>
      <c r="Z1158" s="1"/>
      <c r="AA1158" s="1"/>
      <c r="AB1158" s="246"/>
    </row>
    <row r="1159" spans="2:28" ht="15.75">
      <c r="B1159" s="11"/>
      <c r="C1159" s="369"/>
      <c r="D1159" s="1"/>
      <c r="E1159" s="451" t="s">
        <v>100</v>
      </c>
      <c r="F1159" s="6" t="s">
        <v>96</v>
      </c>
      <c r="G1159" s="469">
        <v>162000</v>
      </c>
      <c r="H1159" s="288"/>
      <c r="I1159" s="366" t="s">
        <v>12</v>
      </c>
      <c r="J1159" s="403"/>
      <c r="K1159" s="15"/>
      <c r="L1159" s="298"/>
      <c r="M1159" s="374"/>
      <c r="N1159" s="1"/>
      <c r="O1159" s="451" t="s">
        <v>101</v>
      </c>
      <c r="P1159" s="8"/>
      <c r="Q1159" s="511" t="s">
        <v>102</v>
      </c>
      <c r="R1159" s="346">
        <f>IF(OR($Q$35="Cost-Based",$Q$35="Neither",$Q$40="Tax Credit"),1,0)</f>
        <v>1</v>
      </c>
      <c r="S1159" s="12" t="s">
        <v>12</v>
      </c>
      <c r="T1159" s="1"/>
      <c r="U1159" s="21"/>
      <c r="V1159" s="1"/>
      <c r="W1159" s="1"/>
      <c r="X1159" s="1"/>
      <c r="Y1159" s="1"/>
      <c r="Z1159" s="1"/>
      <c r="AA1159" s="1"/>
      <c r="AB1159" s="246"/>
    </row>
    <row r="1160" spans="2:28" ht="15.75">
      <c r="B1160" s="11"/>
      <c r="C1160" s="369"/>
      <c r="D1160" s="1"/>
      <c r="E1160" s="453" t="s">
        <v>103</v>
      </c>
      <c r="F1160" s="6" t="s">
        <v>19</v>
      </c>
      <c r="G1160" s="470">
        <v>0.02</v>
      </c>
      <c r="H1160" s="270"/>
      <c r="I1160" s="366" t="s">
        <v>12</v>
      </c>
      <c r="J1160" s="403"/>
      <c r="K1160" s="15"/>
      <c r="L1160" s="298"/>
      <c r="M1160" s="369"/>
      <c r="N1160" s="1"/>
      <c r="O1160" s="451" t="s">
        <v>68</v>
      </c>
      <c r="P1160" s="55" t="s">
        <v>39</v>
      </c>
      <c r="Q1160" s="512">
        <v>1.5</v>
      </c>
      <c r="R1160" s="21"/>
      <c r="S1160" s="12" t="s">
        <v>12</v>
      </c>
      <c r="T1160" s="346"/>
      <c r="U1160" s="679"/>
      <c r="V1160" s="1"/>
      <c r="W1160" s="1"/>
      <c r="X1160" s="1"/>
      <c r="Y1160" s="1"/>
      <c r="Z1160" s="1"/>
      <c r="AA1160" s="1"/>
      <c r="AB1160" s="246"/>
    </row>
    <row r="1161" spans="2:28" ht="16.5" thickBot="1">
      <c r="B1161" s="11"/>
      <c r="C1161" s="1"/>
      <c r="D1161" s="1"/>
      <c r="E1161" s="455"/>
      <c r="F1161" s="466"/>
      <c r="G1161" s="471"/>
      <c r="H1161" s="275"/>
      <c r="I1161" s="366" t="s">
        <v>12</v>
      </c>
      <c r="J1161" s="246"/>
      <c r="K1161" s="15"/>
      <c r="L1161" s="298"/>
      <c r="M1161" s="369"/>
      <c r="N1161" s="1">
        <f>IF(OR(Q1161&lt;0,Q1161&gt;G1130),1,0)</f>
        <v>0</v>
      </c>
      <c r="O1161" s="451" t="s">
        <v>70</v>
      </c>
      <c r="P1161" s="8" t="s">
        <v>71</v>
      </c>
      <c r="Q1161" s="464">
        <v>10</v>
      </c>
      <c r="R1161" s="21"/>
      <c r="S1161" s="12" t="s">
        <v>12</v>
      </c>
      <c r="T1161" s="1"/>
      <c r="U1161" s="21"/>
      <c r="V1161" s="1"/>
      <c r="W1161" s="1"/>
      <c r="X1161" s="1"/>
      <c r="Y1161" s="1"/>
      <c r="Z1161" s="1"/>
      <c r="AA1161" s="1"/>
      <c r="AB1161" s="246"/>
    </row>
    <row r="1162" spans="2:28" ht="16.5" thickBot="1">
      <c r="B1162" s="11"/>
      <c r="C1162" s="327"/>
      <c r="D1162" s="1"/>
      <c r="E1162" s="1"/>
      <c r="F1162" s="1"/>
      <c r="G1162" s="1"/>
      <c r="H1162" s="1"/>
      <c r="I1162" s="17"/>
      <c r="J1162" s="403"/>
      <c r="K1162" s="15"/>
      <c r="L1162" s="298"/>
      <c r="M1162" s="369"/>
      <c r="N1162" s="1"/>
      <c r="O1162" s="451" t="s">
        <v>72</v>
      </c>
      <c r="P1162" s="6" t="s">
        <v>19</v>
      </c>
      <c r="Q1162" s="497">
        <v>0.02</v>
      </c>
      <c r="R1162" s="15"/>
      <c r="S1162" s="12" t="s">
        <v>12</v>
      </c>
      <c r="T1162" s="346"/>
      <c r="U1162" s="21"/>
      <c r="V1162" s="1"/>
      <c r="W1162" s="1"/>
      <c r="X1162" s="1"/>
      <c r="Y1162" s="1"/>
      <c r="Z1162" s="1"/>
      <c r="AA1162" s="1"/>
      <c r="AB1162" s="246"/>
    </row>
    <row r="1163" spans="2:28" ht="16.5" thickBot="1">
      <c r="B1163" s="11"/>
      <c r="C1163" s="327"/>
      <c r="D1163" s="1"/>
      <c r="E1163" s="5" t="s">
        <v>104</v>
      </c>
      <c r="F1163" s="347" t="s">
        <v>6</v>
      </c>
      <c r="G1163" s="411" t="s">
        <v>7</v>
      </c>
      <c r="H1163" s="289"/>
      <c r="I1163" s="17"/>
      <c r="J1163" s="403"/>
      <c r="K1163" s="15"/>
      <c r="L1163" s="298"/>
      <c r="M1163" s="369"/>
      <c r="N1163" s="1">
        <f>IF(OR(Q1163&lt;0,Q1163&gt;1),1,0)</f>
        <v>0</v>
      </c>
      <c r="O1163" s="455" t="s">
        <v>105</v>
      </c>
      <c r="P1163" s="462" t="s">
        <v>19</v>
      </c>
      <c r="Q1163" s="523">
        <v>1</v>
      </c>
      <c r="R1163" s="15"/>
      <c r="S1163" s="12" t="s">
        <v>12</v>
      </c>
      <c r="T1163" s="21"/>
      <c r="U1163" s="15"/>
      <c r="V1163" s="1"/>
      <c r="W1163" s="1"/>
      <c r="X1163" s="1"/>
      <c r="Y1163" s="1"/>
      <c r="Z1163" s="1"/>
      <c r="AA1163" s="1"/>
      <c r="AB1163" s="246"/>
    </row>
    <row r="1164" spans="2:28" ht="16.5" thickBot="1">
      <c r="B1164" s="11"/>
      <c r="C1164" s="372"/>
      <c r="D1164" s="1"/>
      <c r="E1164" s="463" t="s">
        <v>106</v>
      </c>
      <c r="F1164" s="450" t="s">
        <v>107</v>
      </c>
      <c r="G1164" s="556">
        <v>0</v>
      </c>
      <c r="H1164" s="289"/>
      <c r="I1164" s="12" t="s">
        <v>12</v>
      </c>
      <c r="J1164" s="403"/>
      <c r="K1164" s="15"/>
      <c r="L1164" s="298"/>
      <c r="M1164" s="15"/>
      <c r="N1164" s="15"/>
      <c r="O1164" s="524" t="s">
        <v>108</v>
      </c>
      <c r="P1164" s="525"/>
      <c r="Q1164" s="526" t="s">
        <v>76</v>
      </c>
      <c r="R1164" s="15">
        <f>IF($Q$35="Neither",1,0)</f>
        <v>1</v>
      </c>
      <c r="S1164" s="12" t="s">
        <v>12</v>
      </c>
      <c r="T1164" s="21"/>
      <c r="U1164" s="15"/>
      <c r="V1164" s="1"/>
      <c r="W1164" s="1"/>
      <c r="X1164" s="1"/>
      <c r="Y1164" s="1"/>
      <c r="Z1164" s="1"/>
      <c r="AA1164" s="1"/>
      <c r="AB1164" s="246"/>
    </row>
    <row r="1165" spans="2:28" ht="16.5" thickBot="1">
      <c r="B1165" s="11"/>
      <c r="C1165" s="372"/>
      <c r="D1165" s="1"/>
      <c r="E1165" s="474" t="s">
        <v>109</v>
      </c>
      <c r="F1165" s="7" t="s">
        <v>19</v>
      </c>
      <c r="G1165" s="548">
        <v>0</v>
      </c>
      <c r="H1165" s="289"/>
      <c r="I1165" s="12" t="s">
        <v>12</v>
      </c>
      <c r="J1165" s="403"/>
      <c r="K1165" s="15"/>
      <c r="L1165" s="11"/>
      <c r="M1165" s="1"/>
      <c r="N1165" s="1"/>
      <c r="O1165" s="415"/>
      <c r="P1165" s="267"/>
      <c r="Q1165" s="297"/>
      <c r="R1165" s="1"/>
      <c r="S1165" s="1"/>
      <c r="T1165" s="1"/>
      <c r="U1165" s="15"/>
      <c r="V1165" s="1"/>
      <c r="W1165" s="1"/>
      <c r="X1165" s="1"/>
      <c r="Y1165" s="1"/>
      <c r="Z1165" s="1"/>
      <c r="AA1165" s="1"/>
      <c r="AB1165" s="246"/>
    </row>
    <row r="1166" spans="2:28" ht="16.5" thickBot="1">
      <c r="B1166" s="11"/>
      <c r="C1166" s="327"/>
      <c r="D1166" s="1"/>
      <c r="E1166" s="465" t="s">
        <v>110</v>
      </c>
      <c r="F1166" s="456" t="s">
        <v>47</v>
      </c>
      <c r="G1166" s="471"/>
      <c r="H1166" s="289"/>
      <c r="I1166" s="12" t="s">
        <v>12</v>
      </c>
      <c r="J1166" s="403"/>
      <c r="K1166" s="15"/>
      <c r="L1166" s="298"/>
      <c r="M1166" s="369"/>
      <c r="N1166" s="15"/>
      <c r="O1166" s="515" t="s">
        <v>111</v>
      </c>
      <c r="P1166" s="450" t="s">
        <v>47</v>
      </c>
      <c r="Q1166" s="516">
        <v>0</v>
      </c>
      <c r="R1166" s="1"/>
      <c r="S1166" s="12" t="s">
        <v>12</v>
      </c>
      <c r="T1166" s="15"/>
      <c r="U1166" s="15"/>
      <c r="V1166" s="1"/>
      <c r="W1166" s="1"/>
      <c r="X1166" s="1"/>
      <c r="Y1166" s="1"/>
      <c r="Z1166" s="1"/>
      <c r="AA1166" s="1"/>
      <c r="AB1166" s="246"/>
    </row>
    <row r="1167" spans="2:28" ht="16.5" thickBot="1">
      <c r="B1167" s="11"/>
      <c r="C1167" s="1"/>
      <c r="D1167" s="1"/>
      <c r="E1167" s="1"/>
      <c r="F1167" s="1"/>
      <c r="G1167" s="182"/>
      <c r="H1167" s="182"/>
      <c r="I1167" s="17"/>
      <c r="J1167" s="403"/>
      <c r="K1167" s="15"/>
      <c r="L1167" s="298"/>
      <c r="M1167" s="374"/>
      <c r="N1167" s="1"/>
      <c r="O1167" s="455" t="s">
        <v>112</v>
      </c>
      <c r="P1167" s="466"/>
      <c r="Q1167" s="517" t="s">
        <v>83</v>
      </c>
      <c r="R1167" s="21"/>
      <c r="S1167" s="12" t="s">
        <v>12</v>
      </c>
      <c r="T1167" s="15"/>
      <c r="U1167" s="15"/>
      <c r="V1167" s="1"/>
      <c r="W1167" s="1"/>
      <c r="X1167" s="1"/>
      <c r="Y1167" s="1"/>
      <c r="Z1167" s="1"/>
      <c r="AA1167" s="1"/>
      <c r="AB1167" s="246"/>
    </row>
    <row r="1168" spans="2:28" ht="16.5" thickBot="1">
      <c r="B1168" s="11"/>
      <c r="C1168" s="327"/>
      <c r="D1168" s="1"/>
      <c r="E1168" s="480" t="s">
        <v>113</v>
      </c>
      <c r="F1168" s="481" t="s">
        <v>6</v>
      </c>
      <c r="G1168" s="482" t="s">
        <v>7</v>
      </c>
      <c r="H1168" s="289"/>
      <c r="I1168" s="405"/>
      <c r="J1168" s="403"/>
      <c r="K1168" s="15"/>
      <c r="L1168" s="298"/>
      <c r="M1168" s="1"/>
      <c r="N1168" s="1"/>
      <c r="O1168" s="1"/>
      <c r="P1168" s="1"/>
      <c r="Q1168" s="1"/>
      <c r="R1168" s="1"/>
      <c r="S1168" s="1"/>
      <c r="T1168" s="15"/>
      <c r="U1168" s="300"/>
      <c r="V1168" s="1"/>
      <c r="W1168" s="1"/>
      <c r="X1168" s="1"/>
      <c r="Y1168" s="1"/>
      <c r="Z1168" s="1"/>
      <c r="AA1168" s="1"/>
      <c r="AB1168" s="246"/>
    </row>
    <row r="1169" spans="2:28" ht="16.5" thickBot="1">
      <c r="B1169" s="11"/>
      <c r="C1169" s="369"/>
      <c r="D1169" s="1">
        <f>IF(OR(G1169="",G1169&lt;0,G1169&gt;1),1,0)</f>
        <v>0</v>
      </c>
      <c r="E1169" s="449" t="s">
        <v>114</v>
      </c>
      <c r="F1169" s="450" t="s">
        <v>19</v>
      </c>
      <c r="G1169" s="476">
        <v>0.42</v>
      </c>
      <c r="H1169" s="290"/>
      <c r="I1169" s="12" t="s">
        <v>12</v>
      </c>
      <c r="J1169" s="404"/>
      <c r="K1169" s="15"/>
      <c r="L1169" s="298"/>
      <c r="M1169" s="15"/>
      <c r="N1169" s="15"/>
      <c r="O1169" s="5" t="s">
        <v>115</v>
      </c>
      <c r="P1169" s="22"/>
      <c r="Q1169" s="411"/>
      <c r="R1169" s="15"/>
      <c r="S1169" s="15"/>
      <c r="T1169" s="15"/>
      <c r="U1169" s="15"/>
      <c r="V1169" s="1"/>
      <c r="W1169" s="1"/>
      <c r="X1169" s="1"/>
      <c r="Y1169" s="1"/>
      <c r="Z1169" s="1"/>
      <c r="AA1169" s="1"/>
      <c r="AB1169" s="246"/>
    </row>
    <row r="1170" spans="2:28" ht="15.75">
      <c r="B1170" s="11"/>
      <c r="C1170" s="369"/>
      <c r="D1170" s="1">
        <f>IF(OR(G1170&lt;=0,G1170&gt;G1130),1,0)</f>
        <v>0</v>
      </c>
      <c r="E1170" s="451" t="s">
        <v>116</v>
      </c>
      <c r="F1170" s="7" t="s">
        <v>14</v>
      </c>
      <c r="G1170" s="464">
        <v>15</v>
      </c>
      <c r="H1170" s="272"/>
      <c r="I1170" s="12" t="s">
        <v>12</v>
      </c>
      <c r="J1170" s="404"/>
      <c r="K1170" s="15"/>
      <c r="L1170" s="298"/>
      <c r="M1170" s="375"/>
      <c r="N1170" s="15">
        <f>IF(OR(Q1170&lt;1,Q1170&gt;$G$12),1,0)</f>
        <v>0</v>
      </c>
      <c r="O1170" s="463" t="s">
        <v>117</v>
      </c>
      <c r="P1170" s="459" t="s">
        <v>86</v>
      </c>
      <c r="Q1170" s="556">
        <v>12</v>
      </c>
      <c r="R1170" s="15"/>
      <c r="S1170" s="12" t="s">
        <v>12</v>
      </c>
      <c r="T1170" s="15"/>
      <c r="U1170" s="15"/>
      <c r="V1170" s="1"/>
      <c r="W1170" s="1"/>
      <c r="X1170" s="1"/>
      <c r="Y1170" s="1"/>
      <c r="Z1170" s="1"/>
      <c r="AA1170" s="1"/>
      <c r="AB1170" s="246"/>
    </row>
    <row r="1171" spans="2:28" ht="16.5" thickBot="1">
      <c r="B1171" s="11"/>
      <c r="C1171" s="372"/>
      <c r="D1171" s="1">
        <f>IF(OR(G1171&lt;0,G1171=""),1,0)</f>
        <v>0</v>
      </c>
      <c r="E1171" s="451" t="s">
        <v>118</v>
      </c>
      <c r="F1171" s="7" t="s">
        <v>19</v>
      </c>
      <c r="G1171" s="485">
        <v>7.9012953238309577E-2</v>
      </c>
      <c r="H1171" s="291"/>
      <c r="I1171" s="12" t="s">
        <v>12</v>
      </c>
      <c r="J1171" s="404"/>
      <c r="K1171" s="15"/>
      <c r="L1171" s="298"/>
      <c r="M1171" s="326"/>
      <c r="N1171" s="15"/>
      <c r="O1171" s="465" t="s">
        <v>119</v>
      </c>
      <c r="P1171" s="456" t="str">
        <f>$F$16</f>
        <v>$/kW</v>
      </c>
      <c r="Q1171" s="531">
        <v>0</v>
      </c>
      <c r="R1171" s="15"/>
      <c r="S1171" s="12" t="s">
        <v>12</v>
      </c>
      <c r="T1171" s="15"/>
      <c r="U1171" s="15"/>
      <c r="V1171" s="1"/>
      <c r="W1171" s="1"/>
      <c r="X1171" s="1"/>
      <c r="Y1171" s="1"/>
      <c r="Z1171" s="1"/>
      <c r="AA1171" s="1"/>
      <c r="AB1171" s="246"/>
    </row>
    <row r="1172" spans="2:28" ht="16.5" thickBot="1">
      <c r="B1172" s="11"/>
      <c r="C1172" s="369"/>
      <c r="D1172" s="1">
        <f>IF(OR(G1172&lt;0,G1172=""),1,0)</f>
        <v>0</v>
      </c>
      <c r="E1172" s="486" t="s">
        <v>120</v>
      </c>
      <c r="F1172" s="466" t="s">
        <v>19</v>
      </c>
      <c r="G1172" s="487">
        <v>0.01</v>
      </c>
      <c r="H1172" s="270"/>
      <c r="I1172" s="12" t="s">
        <v>12</v>
      </c>
      <c r="J1172" s="403"/>
      <c r="K1172" s="15"/>
      <c r="L1172" s="298"/>
      <c r="M1172" s="375"/>
      <c r="N1172" s="15">
        <f>IF(OR(Q1172&lt;Q1170,Q1172&gt;$G$12),1,0)</f>
        <v>0</v>
      </c>
      <c r="O1172" s="529" t="s">
        <v>121</v>
      </c>
      <c r="P1172" s="24" t="s">
        <v>86</v>
      </c>
      <c r="Q1172" s="530">
        <v>15</v>
      </c>
      <c r="R1172" s="15"/>
      <c r="S1172" s="12" t="s">
        <v>12</v>
      </c>
      <c r="T1172" s="15"/>
      <c r="U1172" s="15"/>
      <c r="V1172" s="1"/>
      <c r="W1172" s="1"/>
      <c r="X1172" s="1"/>
      <c r="Y1172" s="1"/>
      <c r="Z1172" s="1"/>
      <c r="AA1172" s="1"/>
      <c r="AB1172" s="246"/>
    </row>
    <row r="1173" spans="2:28" ht="16.5" thickBot="1">
      <c r="B1173" s="11"/>
      <c r="C1173" s="369"/>
      <c r="D1173" s="1"/>
      <c r="E1173" s="483" t="s">
        <v>122</v>
      </c>
      <c r="F1173" s="24"/>
      <c r="G1173" s="484">
        <v>1</v>
      </c>
      <c r="H1173" s="279"/>
      <c r="I1173" s="12" t="s">
        <v>12</v>
      </c>
      <c r="J1173" s="403"/>
      <c r="K1173" s="15"/>
      <c r="L1173" s="298"/>
      <c r="M1173" s="326"/>
      <c r="N1173" s="15"/>
      <c r="O1173" s="465" t="s">
        <v>123</v>
      </c>
      <c r="P1173" s="456" t="str">
        <f>$F$16</f>
        <v>$/kW</v>
      </c>
      <c r="Q1173" s="531">
        <v>30</v>
      </c>
      <c r="R1173" s="15"/>
      <c r="S1173" s="12" t="s">
        <v>12</v>
      </c>
      <c r="T1173" s="15"/>
      <c r="U1173" s="15"/>
      <c r="V1173" s="1"/>
      <c r="W1173" s="1"/>
      <c r="X1173" s="1"/>
      <c r="Y1173" s="1"/>
      <c r="Z1173" s="1"/>
      <c r="AA1173" s="1"/>
      <c r="AB1173" s="246"/>
    </row>
    <row r="1174" spans="2:28" ht="15.75">
      <c r="B1174" s="11"/>
      <c r="C1174" s="1"/>
      <c r="D1174" s="1"/>
      <c r="E1174" s="451" t="s">
        <v>124</v>
      </c>
      <c r="F1174" s="248">
        <f>MAX('[2]Cash Flow'!G1163:AJ1163)</f>
        <v>0</v>
      </c>
      <c r="G1174" s="477"/>
      <c r="H1174" s="280"/>
      <c r="I1174" s="12" t="s">
        <v>12</v>
      </c>
      <c r="J1174" s="403"/>
      <c r="K1174" s="15"/>
      <c r="L1174" s="298"/>
      <c r="M1174" s="375"/>
      <c r="N1174" s="15">
        <f>IF(OR(Q1174&lt;Q1172,Q1174&gt;$G$12),1,0)</f>
        <v>0</v>
      </c>
      <c r="O1174" s="474" t="s">
        <v>125</v>
      </c>
      <c r="P1174" s="8" t="s">
        <v>86</v>
      </c>
      <c r="Q1174" s="530">
        <v>18</v>
      </c>
      <c r="R1174" s="15"/>
      <c r="S1174" s="12" t="s">
        <v>12</v>
      </c>
      <c r="T1174" s="15"/>
      <c r="U1174" s="15"/>
      <c r="V1174" s="1"/>
      <c r="W1174" s="1"/>
      <c r="X1174" s="1"/>
      <c r="Y1174" s="1"/>
      <c r="Z1174" s="1"/>
      <c r="AA1174" s="1"/>
      <c r="AB1174" s="246"/>
    </row>
    <row r="1175" spans="2:28" ht="16.5" thickBot="1">
      <c r="B1175" s="11"/>
      <c r="C1175" s="369"/>
      <c r="D1175" s="1"/>
      <c r="E1175" s="451" t="s">
        <v>126</v>
      </c>
      <c r="F1175" s="8" t="s">
        <v>127</v>
      </c>
      <c r="G1175" s="478"/>
      <c r="H1175" s="406"/>
      <c r="I1175" s="12" t="s">
        <v>12</v>
      </c>
      <c r="J1175" s="404"/>
      <c r="K1175" s="15"/>
      <c r="L1175" s="298"/>
      <c r="M1175" s="326"/>
      <c r="N1175" s="15"/>
      <c r="O1175" s="465" t="s">
        <v>128</v>
      </c>
      <c r="P1175" s="456" t="str">
        <f>$F$16</f>
        <v>$/kW</v>
      </c>
      <c r="Q1175" s="531">
        <v>0</v>
      </c>
      <c r="R1175" s="15"/>
      <c r="S1175" s="12" t="s">
        <v>12</v>
      </c>
      <c r="T1175" s="1"/>
      <c r="U1175" s="1"/>
      <c r="V1175" s="1"/>
      <c r="W1175" s="1"/>
      <c r="X1175" s="1"/>
      <c r="Y1175" s="1"/>
      <c r="Z1175" s="1"/>
      <c r="AA1175" s="1"/>
      <c r="AB1175" s="246"/>
    </row>
    <row r="1176" spans="2:28" ht="15.75">
      <c r="B1176" s="11"/>
      <c r="C1176" s="369"/>
      <c r="D1176" s="1"/>
      <c r="E1176" s="451" t="s">
        <v>129</v>
      </c>
      <c r="F1176" s="8"/>
      <c r="G1176" s="680">
        <v>1.35</v>
      </c>
      <c r="H1176" s="279"/>
      <c r="I1176" s="12" t="s">
        <v>12</v>
      </c>
      <c r="J1176" s="403"/>
      <c r="K1176" s="15"/>
      <c r="L1176" s="298"/>
      <c r="M1176" s="375"/>
      <c r="N1176" s="15">
        <f>IF(OR(Q1176&lt;Q1174,Q1176&gt;$G$12),1,0)</f>
        <v>0</v>
      </c>
      <c r="O1176" s="474" t="s">
        <v>130</v>
      </c>
      <c r="P1176" s="8" t="s">
        <v>86</v>
      </c>
      <c r="Q1176" s="530">
        <v>19</v>
      </c>
      <c r="R1176" s="15"/>
      <c r="S1176" s="12" t="s">
        <v>12</v>
      </c>
      <c r="T1176" s="1"/>
      <c r="U1176" s="1"/>
      <c r="V1176" s="1"/>
      <c r="W1176" s="1"/>
      <c r="X1176" s="1"/>
      <c r="Y1176" s="1"/>
      <c r="Z1176" s="1"/>
      <c r="AA1176" s="1"/>
      <c r="AB1176" s="246"/>
    </row>
    <row r="1177" spans="2:28" ht="16.5" thickBot="1">
      <c r="B1177" s="11"/>
      <c r="C1177" s="1"/>
      <c r="D1177" s="1"/>
      <c r="E1177" s="451" t="s">
        <v>131</v>
      </c>
      <c r="F1177" s="248"/>
      <c r="G1177" s="477"/>
      <c r="H1177" s="280"/>
      <c r="I1177" s="12" t="s">
        <v>12</v>
      </c>
      <c r="J1177" s="403"/>
      <c r="K1177" s="15"/>
      <c r="L1177" s="298"/>
      <c r="M1177" s="326"/>
      <c r="N1177" s="15"/>
      <c r="O1177" s="465" t="s">
        <v>132</v>
      </c>
      <c r="P1177" s="456" t="str">
        <f>$F$16</f>
        <v>$/kW</v>
      </c>
      <c r="Q1177" s="531">
        <v>30</v>
      </c>
      <c r="R1177" s="15"/>
      <c r="S1177" s="12" t="s">
        <v>12</v>
      </c>
      <c r="T1177" s="1"/>
      <c r="U1177" s="1"/>
      <c r="V1177" s="1"/>
      <c r="W1177" s="1"/>
      <c r="X1177" s="1"/>
      <c r="Y1177" s="1"/>
      <c r="Z1177" s="1"/>
      <c r="AA1177" s="1"/>
      <c r="AB1177" s="246"/>
    </row>
    <row r="1178" spans="2:28" ht="16.5" thickBot="1">
      <c r="B1178" s="11"/>
      <c r="C1178" s="369"/>
      <c r="D1178" s="1"/>
      <c r="E1178" s="455" t="s">
        <v>133</v>
      </c>
      <c r="F1178" s="456" t="s">
        <v>127</v>
      </c>
      <c r="G1178" s="479"/>
      <c r="H1178" s="406"/>
      <c r="I1178" s="12" t="s">
        <v>12</v>
      </c>
      <c r="J1178" s="403"/>
      <c r="K1178" s="15"/>
      <c r="L1178" s="298"/>
      <c r="M1178" s="1"/>
      <c r="N1178" s="1"/>
      <c r="O1178" s="1"/>
      <c r="P1178" s="1"/>
      <c r="Q1178" s="1"/>
      <c r="R1178" s="1"/>
      <c r="S1178" s="1"/>
      <c r="T1178" s="1"/>
      <c r="U1178" s="1"/>
      <c r="V1178" s="1"/>
      <c r="W1178" s="1"/>
      <c r="X1178" s="1"/>
      <c r="Y1178" s="1"/>
      <c r="Z1178" s="1"/>
      <c r="AA1178" s="1"/>
      <c r="AB1178" s="246"/>
    </row>
    <row r="1179" spans="2:28" ht="16.5" thickBot="1">
      <c r="B1179" s="11"/>
      <c r="C1179" s="1"/>
      <c r="D1179" s="1"/>
      <c r="E1179" s="449" t="s">
        <v>134</v>
      </c>
      <c r="F1179" s="450" t="s">
        <v>19</v>
      </c>
      <c r="G1179" s="488"/>
      <c r="H1179" s="292"/>
      <c r="I1179" s="12" t="s">
        <v>12</v>
      </c>
      <c r="J1179" s="403"/>
      <c r="K1179" s="15"/>
      <c r="L1179" s="298"/>
      <c r="M1179" s="15"/>
      <c r="N1179" s="15"/>
      <c r="O1179" s="5" t="s">
        <v>135</v>
      </c>
      <c r="P1179" s="347" t="s">
        <v>6</v>
      </c>
      <c r="Q1179" s="411" t="s">
        <v>7</v>
      </c>
      <c r="R1179" s="15"/>
      <c r="S1179" s="15"/>
      <c r="T1179" s="15"/>
      <c r="U1179" s="15"/>
      <c r="V1179" s="1"/>
      <c r="W1179" s="1"/>
      <c r="X1179" s="1"/>
      <c r="Y1179" s="1"/>
      <c r="Z1179" s="1"/>
      <c r="AA1179" s="1"/>
      <c r="AB1179" s="246"/>
    </row>
    <row r="1180" spans="2:28" ht="16.5" thickBot="1">
      <c r="B1180" s="11"/>
      <c r="C1180" s="369"/>
      <c r="D1180" s="1">
        <f>IF(OR(G1180&lt;0,G1180=""),1,0)</f>
        <v>0</v>
      </c>
      <c r="E1180" s="489" t="s">
        <v>136</v>
      </c>
      <c r="F1180" s="466" t="s">
        <v>19</v>
      </c>
      <c r="G1180" s="722">
        <v>0.10125000000000001</v>
      </c>
      <c r="H1180" s="291"/>
      <c r="I1180" s="12" t="s">
        <v>12</v>
      </c>
      <c r="J1180" s="403"/>
      <c r="K1180" s="15"/>
      <c r="L1180" s="298"/>
      <c r="M1180" s="15"/>
      <c r="N1180" s="15"/>
      <c r="O1180" s="532" t="s">
        <v>137</v>
      </c>
      <c r="P1180" s="533"/>
      <c r="Q1180" s="534"/>
      <c r="R1180" s="15"/>
      <c r="S1180" s="15"/>
      <c r="T1180" s="15"/>
      <c r="U1180" s="1"/>
      <c r="V1180" s="1"/>
      <c r="W1180" s="1"/>
      <c r="X1180" s="1"/>
      <c r="Y1180" s="1"/>
      <c r="Z1180" s="1"/>
      <c r="AA1180" s="1"/>
      <c r="AB1180" s="246"/>
    </row>
    <row r="1181" spans="2:28" ht="15.75">
      <c r="B1181" s="11"/>
      <c r="C1181" s="1"/>
      <c r="D1181" s="1"/>
      <c r="E1181" s="449" t="s">
        <v>138</v>
      </c>
      <c r="F1181" s="450" t="s">
        <v>19</v>
      </c>
      <c r="G1181" s="681"/>
      <c r="H1181" s="1"/>
      <c r="I1181" s="12" t="s">
        <v>12</v>
      </c>
      <c r="J1181" s="246"/>
      <c r="K1181" s="15"/>
      <c r="L1181" s="298"/>
      <c r="M1181" s="374"/>
      <c r="N1181" s="15"/>
      <c r="O1181" s="535" t="s">
        <v>139</v>
      </c>
      <c r="P1181" s="23"/>
      <c r="Q1181" s="511" t="s">
        <v>140</v>
      </c>
      <c r="R1181" s="15"/>
      <c r="S1181" s="12" t="s">
        <v>12</v>
      </c>
      <c r="T1181" s="15"/>
      <c r="U1181" s="15"/>
      <c r="V1181" s="1"/>
      <c r="W1181" s="1"/>
      <c r="X1181" s="1"/>
      <c r="Y1181" s="1"/>
      <c r="Z1181" s="1"/>
      <c r="AA1181" s="1"/>
      <c r="AB1181" s="246"/>
    </row>
    <row r="1182" spans="2:28" ht="16.5" thickBot="1">
      <c r="B1182" s="11"/>
      <c r="C1182" s="369"/>
      <c r="D1182" s="1"/>
      <c r="E1182" s="486" t="s">
        <v>141</v>
      </c>
      <c r="F1182" s="466" t="s">
        <v>47</v>
      </c>
      <c r="G1182" s="490">
        <v>0</v>
      </c>
      <c r="H1182" s="288"/>
      <c r="I1182" s="12" t="s">
        <v>12</v>
      </c>
      <c r="J1182" s="246"/>
      <c r="K1182" s="15"/>
      <c r="L1182" s="298"/>
      <c r="M1182" s="375"/>
      <c r="N1182" s="15"/>
      <c r="O1182" s="465" t="s">
        <v>142</v>
      </c>
      <c r="P1182" s="456" t="s">
        <v>47</v>
      </c>
      <c r="Q1182" s="588">
        <v>0</v>
      </c>
      <c r="R1182" s="15"/>
      <c r="S1182" s="12" t="s">
        <v>12</v>
      </c>
      <c r="T1182" s="15"/>
      <c r="U1182" s="385"/>
      <c r="V1182" s="1"/>
      <c r="W1182" s="1"/>
      <c r="X1182" s="1"/>
      <c r="Y1182" s="1"/>
      <c r="Z1182" s="1"/>
      <c r="AA1182" s="1"/>
      <c r="AB1182" s="246"/>
    </row>
    <row r="1183" spans="2:28" ht="16.5" thickBot="1">
      <c r="B1183" s="11"/>
      <c r="C1183" s="1"/>
      <c r="D1183" s="1"/>
      <c r="E1183" s="1"/>
      <c r="F1183" s="1"/>
      <c r="G1183" s="1"/>
      <c r="H1183" s="1"/>
      <c r="I1183" s="1"/>
      <c r="J1183" s="246"/>
      <c r="K1183" s="15"/>
      <c r="L1183" s="298"/>
      <c r="M1183" s="1"/>
      <c r="N1183" s="1"/>
      <c r="O1183" s="1"/>
      <c r="P1183" s="1"/>
      <c r="Q1183" s="1"/>
      <c r="R1183" s="1"/>
      <c r="S1183" s="1"/>
      <c r="T1183" s="1"/>
      <c r="U1183" s="385"/>
      <c r="V1183" s="1"/>
      <c r="W1183" s="1"/>
      <c r="X1183" s="1"/>
      <c r="Y1183" s="1"/>
      <c r="Z1183" s="1"/>
      <c r="AA1183" s="1"/>
      <c r="AB1183" s="246"/>
    </row>
    <row r="1184" spans="2:28" ht="16.5" thickBot="1">
      <c r="B1184" s="298"/>
      <c r="C1184" s="1"/>
      <c r="D1184" s="1"/>
      <c r="E1184" s="314" t="s">
        <v>143</v>
      </c>
      <c r="F1184" s="22"/>
      <c r="G1184" s="315"/>
      <c r="H1184" s="1"/>
      <c r="I1184" s="1"/>
      <c r="J1184" s="246"/>
      <c r="K1184" s="1"/>
      <c r="L1184" s="298"/>
      <c r="M1184" s="15"/>
      <c r="N1184" s="15"/>
      <c r="O1184" s="5" t="s">
        <v>144</v>
      </c>
      <c r="P1184" s="347" t="s">
        <v>6</v>
      </c>
      <c r="Q1184" s="411" t="s">
        <v>7</v>
      </c>
      <c r="R1184" s="15"/>
      <c r="S1184" s="15"/>
      <c r="T1184" s="15"/>
      <c r="U1184" s="378"/>
      <c r="V1184" s="1"/>
      <c r="W1184" s="1"/>
      <c r="X1184" s="1"/>
      <c r="Y1184" s="1"/>
      <c r="Z1184" s="1"/>
      <c r="AA1184" s="1"/>
      <c r="AB1184" s="246"/>
    </row>
    <row r="1185" spans="2:28" ht="15.75">
      <c r="B1185" s="298"/>
      <c r="C1185" s="1"/>
      <c r="D1185" s="1"/>
      <c r="E1185" s="449" t="s">
        <v>145</v>
      </c>
      <c r="F1185" s="574"/>
      <c r="G1185" s="491"/>
      <c r="H1185" s="1"/>
      <c r="I1185" s="12" t="s">
        <v>12</v>
      </c>
      <c r="J1185" s="246"/>
      <c r="K1185" s="15"/>
      <c r="L1185" s="298"/>
      <c r="M1185" s="15"/>
      <c r="N1185" s="15"/>
      <c r="O1185" s="536" t="s">
        <v>146</v>
      </c>
      <c r="P1185" s="527"/>
      <c r="Q1185" s="528"/>
      <c r="R1185" s="15"/>
      <c r="S1185" s="15"/>
      <c r="T1185" s="15"/>
      <c r="U1185" s="15"/>
      <c r="V1185" s="1"/>
      <c r="W1185" s="1"/>
      <c r="X1185" s="1"/>
      <c r="Y1185" s="1"/>
      <c r="Z1185" s="1"/>
      <c r="AA1185" s="1"/>
      <c r="AB1185" s="246"/>
    </row>
    <row r="1186" spans="2:28" ht="15.75">
      <c r="B1186" s="298"/>
      <c r="C1186" s="1"/>
      <c r="D1186" s="1"/>
      <c r="E1186" s="451" t="s">
        <v>147</v>
      </c>
      <c r="F1186" s="573"/>
      <c r="G1186" s="467"/>
      <c r="H1186" s="1"/>
      <c r="I1186" s="12" t="s">
        <v>12</v>
      </c>
      <c r="J1186" s="246"/>
      <c r="K1186" s="1"/>
      <c r="L1186" s="298"/>
      <c r="M1186" s="375"/>
      <c r="N1186" s="15"/>
      <c r="O1186" s="451" t="s">
        <v>148</v>
      </c>
      <c r="P1186" s="7" t="s">
        <v>107</v>
      </c>
      <c r="Q1186" s="584">
        <v>0</v>
      </c>
      <c r="R1186" s="15"/>
      <c r="S1186" s="12" t="s">
        <v>12</v>
      </c>
      <c r="T1186" s="15"/>
      <c r="U1186" s="15"/>
      <c r="V1186" s="1"/>
      <c r="W1186" s="1"/>
      <c r="X1186" s="1"/>
      <c r="Y1186" s="1"/>
      <c r="Z1186" s="1"/>
      <c r="AA1186" s="1"/>
      <c r="AB1186" s="246"/>
    </row>
    <row r="1187" spans="2:28" ht="16.5" thickBot="1">
      <c r="B1187" s="11"/>
      <c r="C1187" s="1"/>
      <c r="D1187" s="1"/>
      <c r="E1187" s="492" t="s">
        <v>149</v>
      </c>
      <c r="F1187" s="575"/>
      <c r="G1187" s="493"/>
      <c r="H1187" s="1"/>
      <c r="I1187" s="12" t="s">
        <v>12</v>
      </c>
      <c r="J1187" s="246"/>
      <c r="K1187" s="1"/>
      <c r="L1187" s="298"/>
      <c r="M1187" s="15"/>
      <c r="N1187" s="15"/>
      <c r="O1187" s="455" t="s">
        <v>150</v>
      </c>
      <c r="P1187" s="466" t="s">
        <v>47</v>
      </c>
      <c r="Q1187" s="537"/>
      <c r="R1187" s="15"/>
      <c r="S1187" s="12" t="s">
        <v>12</v>
      </c>
      <c r="T1187" s="15"/>
      <c r="U1187" s="15"/>
      <c r="V1187" s="1"/>
      <c r="W1187" s="1"/>
      <c r="X1187" s="1"/>
      <c r="Y1187" s="1"/>
      <c r="Z1187" s="1"/>
      <c r="AA1187" s="1"/>
      <c r="AB1187" s="246"/>
    </row>
    <row r="1188" spans="2:28" ht="17.25" thickTop="1" thickBot="1">
      <c r="B1188" s="298"/>
      <c r="C1188" s="1"/>
      <c r="D1188" s="1"/>
      <c r="E1188" s="494" t="s">
        <v>44</v>
      </c>
      <c r="F1188" s="462" t="s">
        <v>47</v>
      </c>
      <c r="G1188" s="495"/>
      <c r="H1188" s="1"/>
      <c r="I1188" s="12" t="s">
        <v>12</v>
      </c>
      <c r="J1188" s="246"/>
      <c r="K1188" s="1"/>
      <c r="L1188" s="298"/>
      <c r="M1188" s="15"/>
      <c r="N1188" s="15"/>
      <c r="O1188" s="536" t="s">
        <v>151</v>
      </c>
      <c r="P1188" s="527"/>
      <c r="Q1188" s="538"/>
      <c r="R1188" s="15"/>
      <c r="S1188" s="15"/>
      <c r="T1188" s="15"/>
      <c r="U1188" s="15"/>
      <c r="V1188" s="1"/>
      <c r="W1188" s="1"/>
      <c r="X1188" s="1"/>
      <c r="Y1188" s="1"/>
      <c r="Z1188" s="1"/>
      <c r="AA1188" s="1"/>
      <c r="AB1188" s="246"/>
    </row>
    <row r="1189" spans="2:28" ht="16.5" thickBot="1">
      <c r="B1189" s="11"/>
      <c r="C1189" s="1"/>
      <c r="D1189" s="1"/>
      <c r="E1189" s="1"/>
      <c r="F1189" s="1"/>
      <c r="G1189" s="1"/>
      <c r="H1189" s="1"/>
      <c r="I1189" s="1"/>
      <c r="J1189" s="246"/>
      <c r="K1189" s="1"/>
      <c r="L1189" s="298"/>
      <c r="M1189" s="375"/>
      <c r="N1189" s="15"/>
      <c r="O1189" s="474" t="s">
        <v>152</v>
      </c>
      <c r="P1189" s="7" t="s">
        <v>107</v>
      </c>
      <c r="Q1189" s="584">
        <v>0</v>
      </c>
      <c r="R1189" s="15"/>
      <c r="S1189" s="12" t="s">
        <v>12</v>
      </c>
      <c r="T1189" s="15"/>
      <c r="U1189" s="1"/>
      <c r="V1189" s="1"/>
      <c r="W1189" s="1"/>
      <c r="X1189" s="1"/>
      <c r="Y1189" s="1"/>
      <c r="Z1189" s="1"/>
      <c r="AA1189" s="1"/>
      <c r="AB1189" s="246"/>
    </row>
    <row r="1190" spans="2:28" ht="16.5" thickBot="1">
      <c r="B1190" s="11"/>
      <c r="C1190" s="1"/>
      <c r="D1190" s="1"/>
      <c r="E1190" s="5" t="s">
        <v>153</v>
      </c>
      <c r="F1190" s="347" t="s">
        <v>6</v>
      </c>
      <c r="G1190" s="411" t="s">
        <v>7</v>
      </c>
      <c r="H1190" s="293"/>
      <c r="I1190" s="17"/>
      <c r="J1190" s="246"/>
      <c r="K1190" s="1"/>
      <c r="L1190" s="298"/>
      <c r="M1190" s="15"/>
      <c r="N1190" s="15"/>
      <c r="O1190" s="465" t="s">
        <v>154</v>
      </c>
      <c r="P1190" s="466" t="s">
        <v>47</v>
      </c>
      <c r="Q1190" s="537"/>
      <c r="R1190" s="15"/>
      <c r="S1190" s="12" t="s">
        <v>12</v>
      </c>
      <c r="T1190" s="15"/>
      <c r="U1190" s="15"/>
      <c r="V1190" s="1"/>
      <c r="W1190" s="1"/>
      <c r="X1190" s="1"/>
      <c r="Y1190" s="1"/>
      <c r="Z1190" s="1"/>
      <c r="AA1190" s="1"/>
      <c r="AB1190" s="246"/>
    </row>
    <row r="1191" spans="2:28" ht="16.5" thickBot="1">
      <c r="B1191" s="11"/>
      <c r="C1191" s="373"/>
      <c r="D1191" s="1"/>
      <c r="E1191" s="438" t="s">
        <v>155</v>
      </c>
      <c r="F1191" s="525"/>
      <c r="G1191" s="547" t="s">
        <v>83</v>
      </c>
      <c r="H1191" s="282"/>
      <c r="I1191" s="12" t="s">
        <v>12</v>
      </c>
      <c r="J1191" s="246"/>
      <c r="K1191" s="1"/>
      <c r="L1191" s="298"/>
      <c r="M1191" s="375"/>
      <c r="N1191" s="15"/>
      <c r="O1191" s="540" t="s">
        <v>156</v>
      </c>
      <c r="P1191" s="439" t="s">
        <v>19</v>
      </c>
      <c r="Q1191" s="539">
        <v>0.02</v>
      </c>
      <c r="R1191" s="15"/>
      <c r="S1191" s="12" t="s">
        <v>12</v>
      </c>
      <c r="T1191" s="15"/>
      <c r="U1191" s="1"/>
      <c r="V1191" s="1"/>
      <c r="W1191" s="1"/>
      <c r="X1191" s="1"/>
      <c r="Y1191" s="1"/>
      <c r="Z1191" s="1"/>
      <c r="AA1191" s="1"/>
      <c r="AB1191" s="246"/>
    </row>
    <row r="1192" spans="2:28" ht="16.5" thickBot="1">
      <c r="B1192" s="11"/>
      <c r="C1192" s="369"/>
      <c r="D1192" s="1">
        <f>IF(OR(G1192&lt;0,G1192=""),1,0)</f>
        <v>0</v>
      </c>
      <c r="E1192" s="458" t="s">
        <v>157</v>
      </c>
      <c r="F1192" s="450" t="s">
        <v>19</v>
      </c>
      <c r="G1192" s="548">
        <v>0.21</v>
      </c>
      <c r="H1192" s="270"/>
      <c r="I1192" s="12" t="s">
        <v>12</v>
      </c>
      <c r="J1192" s="403"/>
      <c r="K1192" s="1"/>
      <c r="L1192" s="11"/>
      <c r="M1192" s="1"/>
      <c r="N1192" s="1"/>
      <c r="O1192" s="1"/>
      <c r="P1192" s="1"/>
      <c r="Q1192" s="1"/>
      <c r="R1192" s="1"/>
      <c r="S1192" s="1"/>
      <c r="T1192" s="1"/>
      <c r="U1192" s="1"/>
      <c r="V1192" s="1"/>
      <c r="W1192" s="1"/>
      <c r="X1192" s="1"/>
      <c r="Y1192" s="1"/>
      <c r="Z1192" s="1"/>
      <c r="AA1192" s="1"/>
      <c r="AB1192" s="246"/>
    </row>
    <row r="1193" spans="2:28" ht="16.5" thickBot="1">
      <c r="B1193" s="11"/>
      <c r="C1193" s="373"/>
      <c r="D1193" s="1"/>
      <c r="E1193" s="513" t="s">
        <v>75</v>
      </c>
      <c r="F1193" s="549"/>
      <c r="G1193" s="517" t="s">
        <v>76</v>
      </c>
      <c r="H1193" s="282"/>
      <c r="I1193" s="12" t="s">
        <v>12</v>
      </c>
      <c r="J1193" s="246"/>
      <c r="K1193" s="1"/>
      <c r="L1193" s="11"/>
      <c r="M1193" s="15"/>
      <c r="N1193" s="15"/>
      <c r="O1193" s="348" t="s">
        <v>158</v>
      </c>
      <c r="P1193" s="432" t="s">
        <v>159</v>
      </c>
      <c r="Q1193" s="432"/>
      <c r="R1193" s="432"/>
      <c r="S1193" s="432"/>
      <c r="T1193" s="432"/>
      <c r="U1193" s="432"/>
      <c r="V1193" s="432"/>
      <c r="W1193" s="432"/>
      <c r="X1193" s="432"/>
      <c r="Y1193" s="432"/>
      <c r="Z1193" s="315"/>
      <c r="AA1193" s="1"/>
      <c r="AB1193" s="246"/>
    </row>
    <row r="1194" spans="2:28" ht="15.75">
      <c r="B1194" s="11"/>
      <c r="C1194" s="369"/>
      <c r="D1194" s="1">
        <f>IF(OR(G1194&lt;0,G1194=""),1,0)</f>
        <v>0</v>
      </c>
      <c r="E1194" s="458" t="s">
        <v>160</v>
      </c>
      <c r="F1194" s="450" t="s">
        <v>19</v>
      </c>
      <c r="G1194" s="682">
        <v>0.09</v>
      </c>
      <c r="H1194" s="270"/>
      <c r="I1194" s="12" t="s">
        <v>12</v>
      </c>
      <c r="J1194" s="403"/>
      <c r="K1194" s="1"/>
      <c r="L1194" s="11"/>
      <c r="M1194" s="373"/>
      <c r="N1194" s="15"/>
      <c r="O1194" s="515" t="s">
        <v>161</v>
      </c>
      <c r="P1194" s="496" t="s">
        <v>102</v>
      </c>
      <c r="Q1194" s="1"/>
      <c r="R1194" s="1"/>
      <c r="S1194" s="419" t="s">
        <v>12</v>
      </c>
      <c r="T1194" s="1"/>
      <c r="U1194" s="1"/>
      <c r="V1194" s="1"/>
      <c r="W1194" s="1"/>
      <c r="X1194" s="1"/>
      <c r="Y1194" s="1"/>
      <c r="Z1194" s="246"/>
      <c r="AA1194" s="1"/>
      <c r="AB1194" s="246"/>
    </row>
    <row r="1195" spans="2:28" ht="16.5" thickBot="1">
      <c r="B1195" s="11"/>
      <c r="C1195" s="373"/>
      <c r="D1195" s="1"/>
      <c r="E1195" s="513" t="s">
        <v>162</v>
      </c>
      <c r="F1195" s="549"/>
      <c r="G1195" s="517" t="s">
        <v>76</v>
      </c>
      <c r="H1195" s="282"/>
      <c r="I1195" s="12" t="s">
        <v>12</v>
      </c>
      <c r="J1195" s="403"/>
      <c r="K1195" s="1"/>
      <c r="L1195" s="11"/>
      <c r="M1195" s="375"/>
      <c r="N1195" s="1"/>
      <c r="O1195" s="455" t="s">
        <v>163</v>
      </c>
      <c r="P1195" s="683">
        <f>[2]Input_Dashboard!D1260</f>
        <v>0</v>
      </c>
      <c r="Q1195" s="1"/>
      <c r="R1195" s="1"/>
      <c r="S1195" s="12" t="s">
        <v>12</v>
      </c>
      <c r="T1195" s="1"/>
      <c r="U1195" s="1"/>
      <c r="V1195" s="1"/>
      <c r="W1195" s="1"/>
      <c r="X1195" s="1"/>
      <c r="Y1195" s="1"/>
      <c r="Z1195" s="246"/>
      <c r="AA1195" s="1"/>
      <c r="AB1195" s="246"/>
    </row>
    <row r="1196" spans="2:28" ht="16.5" thickBot="1">
      <c r="B1196" s="11"/>
      <c r="C1196" s="1"/>
      <c r="D1196" s="1"/>
      <c r="E1196" s="550" t="s">
        <v>164</v>
      </c>
      <c r="F1196" s="551" t="s">
        <v>19</v>
      </c>
      <c r="G1196" s="552"/>
      <c r="H1196" s="295"/>
      <c r="I1196" s="12" t="s">
        <v>12</v>
      </c>
      <c r="J1196" s="403"/>
      <c r="K1196" s="1"/>
      <c r="L1196" s="11"/>
      <c r="M1196" s="1"/>
      <c r="N1196" s="1"/>
      <c r="O1196" s="296"/>
      <c r="P1196" s="40"/>
      <c r="Q1196" s="40"/>
      <c r="R1196" s="40"/>
      <c r="S1196" s="40"/>
      <c r="T1196" s="40"/>
      <c r="U1196" s="40"/>
      <c r="V1196" s="40"/>
      <c r="W1196" s="40"/>
      <c r="X1196" s="40"/>
      <c r="Y1196" s="40"/>
      <c r="Z1196" s="305"/>
      <c r="AA1196" s="1"/>
      <c r="AB1196" s="246"/>
    </row>
    <row r="1197" spans="2:28" ht="16.5" thickBot="1">
      <c r="B1197" s="11"/>
      <c r="C1197" s="1"/>
      <c r="D1197" s="1"/>
      <c r="E1197" s="455" t="s">
        <v>158</v>
      </c>
      <c r="F1197" s="498"/>
      <c r="G1197" s="499" t="s">
        <v>165</v>
      </c>
      <c r="H1197" s="55"/>
      <c r="I1197" s="12" t="s">
        <v>12</v>
      </c>
      <c r="J1197" s="246"/>
      <c r="K1197" s="1"/>
      <c r="L1197" s="11"/>
      <c r="M1197" s="15"/>
      <c r="N1197" s="15"/>
      <c r="O1197" s="542" t="s">
        <v>166</v>
      </c>
      <c r="P1197" s="543" t="s">
        <v>167</v>
      </c>
      <c r="Q1197" s="648" t="s">
        <v>168</v>
      </c>
      <c r="R1197" s="775" t="s">
        <v>169</v>
      </c>
      <c r="S1197" s="776"/>
      <c r="T1197" s="777"/>
      <c r="U1197" s="543" t="s">
        <v>170</v>
      </c>
      <c r="V1197" s="543" t="s">
        <v>171</v>
      </c>
      <c r="W1197" s="543" t="s">
        <v>172</v>
      </c>
      <c r="X1197" s="543" t="s">
        <v>173</v>
      </c>
      <c r="Y1197" s="543" t="s">
        <v>174</v>
      </c>
      <c r="Z1197" s="544" t="s">
        <v>175</v>
      </c>
      <c r="AA1197" s="1"/>
      <c r="AB1197" s="246"/>
    </row>
    <row r="1198" spans="2:28" ht="16.5" thickBot="1">
      <c r="B1198" s="11"/>
      <c r="C1198" s="1"/>
      <c r="D1198" s="1"/>
      <c r="E1198" s="1"/>
      <c r="F1198" s="1"/>
      <c r="G1198" s="1"/>
      <c r="H1198" s="1"/>
      <c r="I1198" s="1"/>
      <c r="J1198" s="246"/>
      <c r="K1198" s="1"/>
      <c r="L1198" s="11">
        <f>IF(AND($G$73="Yes",$G$15="Simple"),1,0)</f>
        <v>0</v>
      </c>
      <c r="M1198" s="15"/>
      <c r="N1198" s="230">
        <f>IF(AND($G$15="Simple",SUM(P1198:Z1198)=1),1,IF(AND($G$15="Simple",SUM(P1198:Z1198)&lt;&gt;1),2,0))</f>
        <v>0</v>
      </c>
      <c r="O1198" s="545" t="str">
        <f t="shared" ref="O1198:O1203" si="13">E1134</f>
        <v>Total Installed Cost</v>
      </c>
      <c r="P1198" s="590">
        <v>0.94</v>
      </c>
      <c r="Q1198" s="649">
        <v>0</v>
      </c>
      <c r="R1198" s="778">
        <v>1.4999999999999999E-2</v>
      </c>
      <c r="S1198" s="779"/>
      <c r="T1198" s="780"/>
      <c r="U1198" s="590">
        <v>0.01</v>
      </c>
      <c r="V1198" s="590">
        <v>0</v>
      </c>
      <c r="W1198" s="590">
        <v>0</v>
      </c>
      <c r="X1198" s="590">
        <v>0.01</v>
      </c>
      <c r="Y1198" s="590">
        <v>0</v>
      </c>
      <c r="Z1198" s="593">
        <v>2.5000000000000001E-2</v>
      </c>
      <c r="AA1198" s="1"/>
      <c r="AB1198" s="294" t="s">
        <v>12</v>
      </c>
    </row>
    <row r="1199" spans="2:28" ht="16.5" thickBot="1">
      <c r="B1199" s="296"/>
      <c r="C1199" s="40"/>
      <c r="D1199" s="40"/>
      <c r="E1199" s="40"/>
      <c r="F1199" s="40"/>
      <c r="G1199" s="40"/>
      <c r="H1199" s="40"/>
      <c r="I1199" s="40"/>
      <c r="J1199" s="305"/>
      <c r="K1199" s="1"/>
      <c r="L1199" s="11">
        <f>IF(AND($G$73="Yes",$G$15="Intermediate"),1,0)</f>
        <v>1</v>
      </c>
      <c r="M1199" s="15"/>
      <c r="N1199" s="230">
        <f>IF(AND($G$15="Intermediate",SUM(P1199:Z1199)=1),1,IF(AND($G$15="Intermediate",SUM(P1199:Z1199)&lt;&gt;1),2,0))</f>
        <v>1</v>
      </c>
      <c r="O1199" s="595" t="str">
        <f t="shared" si="13"/>
        <v>Generation Equipment</v>
      </c>
      <c r="P1199" s="723">
        <v>0.96</v>
      </c>
      <c r="Q1199" s="724">
        <v>0</v>
      </c>
      <c r="R1199" s="781">
        <v>0.02</v>
      </c>
      <c r="S1199" s="782"/>
      <c r="T1199" s="783"/>
      <c r="U1199" s="725">
        <v>0</v>
      </c>
      <c r="V1199" s="725">
        <v>0</v>
      </c>
      <c r="W1199" s="725">
        <v>0</v>
      </c>
      <c r="X1199" s="725">
        <v>0.02</v>
      </c>
      <c r="Y1199" s="725">
        <v>0</v>
      </c>
      <c r="Z1199" s="726">
        <v>0</v>
      </c>
      <c r="AA1199" s="1"/>
      <c r="AB1199" s="294" t="s">
        <v>12</v>
      </c>
    </row>
    <row r="1200" spans="2:28" ht="15.75">
      <c r="B1200" s="1"/>
      <c r="C1200" s="1"/>
      <c r="D1200" s="1"/>
      <c r="E1200" s="1"/>
      <c r="F1200" s="1"/>
      <c r="G1200" s="1"/>
      <c r="H1200" s="1"/>
      <c r="I1200" s="1"/>
      <c r="J1200" s="1"/>
      <c r="K1200" s="1"/>
      <c r="L1200" s="11">
        <f>IF(AND($G$73="Yes",$G$15="Intermediate"),1,0)</f>
        <v>1</v>
      </c>
      <c r="M1200" s="15"/>
      <c r="N1200" s="230">
        <f>IF(AND($G$15="Intermediate",SUM(P1200:Z1200)=1),1,IF(AND($G$15="Intermediate",SUM(P1200:Z1200)&lt;&gt;1),2,0))</f>
        <v>1</v>
      </c>
      <c r="O1200" s="596" t="str">
        <f t="shared" si="13"/>
        <v>Balance of Plant</v>
      </c>
      <c r="P1200" s="723">
        <v>0.5</v>
      </c>
      <c r="Q1200" s="724">
        <v>0</v>
      </c>
      <c r="R1200" s="784">
        <v>0</v>
      </c>
      <c r="S1200" s="785"/>
      <c r="T1200" s="786"/>
      <c r="U1200" s="724">
        <v>0</v>
      </c>
      <c r="V1200" s="724">
        <v>0</v>
      </c>
      <c r="W1200" s="724">
        <v>0.5</v>
      </c>
      <c r="X1200" s="724">
        <v>0</v>
      </c>
      <c r="Y1200" s="724">
        <v>0</v>
      </c>
      <c r="Z1200" s="727">
        <v>0</v>
      </c>
      <c r="AA1200" s="1"/>
      <c r="AB1200" s="294" t="s">
        <v>12</v>
      </c>
    </row>
    <row r="1201" spans="2:28" ht="15.75">
      <c r="B1201" s="1"/>
      <c r="C1201" s="1"/>
      <c r="D1201" s="1"/>
      <c r="E1201" s="1"/>
      <c r="F1201" s="1"/>
      <c r="G1201" s="1"/>
      <c r="H1201" s="1"/>
      <c r="I1201" s="1"/>
      <c r="J1201" s="1"/>
      <c r="K1201" s="1"/>
      <c r="L1201" s="11">
        <f>IF(AND($G$73="Yes",$G$15="Intermediate"),1,0)</f>
        <v>1</v>
      </c>
      <c r="M1201" s="15"/>
      <c r="N1201" s="230">
        <f>IF(AND($G$15="Intermediate",SUM(P1201:Z1201)=1),1,IF(AND($G$15="Intermediate",SUM(P1201:Z1201)&lt;&gt;1),2,0))</f>
        <v>1</v>
      </c>
      <c r="O1201" s="596" t="str">
        <f t="shared" si="13"/>
        <v>Interconnection</v>
      </c>
      <c r="P1201" s="723">
        <v>0</v>
      </c>
      <c r="Q1201" s="724">
        <v>0</v>
      </c>
      <c r="R1201" s="784">
        <v>0</v>
      </c>
      <c r="S1201" s="785"/>
      <c r="T1201" s="786"/>
      <c r="U1201" s="724">
        <v>0</v>
      </c>
      <c r="V1201" s="724">
        <v>0</v>
      </c>
      <c r="W1201" s="724">
        <v>1</v>
      </c>
      <c r="X1201" s="724">
        <v>0</v>
      </c>
      <c r="Y1201" s="724">
        <v>0</v>
      </c>
      <c r="Z1201" s="727">
        <v>0</v>
      </c>
      <c r="AA1201" s="1"/>
      <c r="AB1201" s="294" t="s">
        <v>12</v>
      </c>
    </row>
    <row r="1202" spans="2:28" ht="15.75">
      <c r="B1202" s="1"/>
      <c r="C1202" s="1"/>
      <c r="D1202" s="1"/>
      <c r="E1202" s="1"/>
      <c r="F1202" s="1"/>
      <c r="G1202" s="1"/>
      <c r="H1202" s="1"/>
      <c r="I1202" s="1"/>
      <c r="J1202" s="1"/>
      <c r="K1202" s="1"/>
      <c r="L1202" s="11">
        <f>IF(AND($G$73="Yes",$G$15="Intermediate"),1,0)</f>
        <v>1</v>
      </c>
      <c r="M1202" s="15"/>
      <c r="N1202" s="230">
        <f>IF(AND($G$15="Intermediate",SUM(P1202:Z1202)=1),1,IF(AND($G$15="Intermediate",SUM(P1202:Z1202)&lt;&gt;1),2,0))</f>
        <v>1</v>
      </c>
      <c r="O1202" s="596" t="str">
        <f t="shared" si="13"/>
        <v>Development Costs &amp; Fee</v>
      </c>
      <c r="P1202" s="723">
        <v>0.8</v>
      </c>
      <c r="Q1202" s="724">
        <v>0</v>
      </c>
      <c r="R1202" s="784">
        <v>0</v>
      </c>
      <c r="S1202" s="785"/>
      <c r="T1202" s="786"/>
      <c r="U1202" s="724">
        <v>0</v>
      </c>
      <c r="V1202" s="724">
        <v>0</v>
      </c>
      <c r="W1202" s="724">
        <v>0.05</v>
      </c>
      <c r="X1202" s="724">
        <v>0.05</v>
      </c>
      <c r="Y1202" s="724">
        <v>0</v>
      </c>
      <c r="Z1202" s="727">
        <v>0.1</v>
      </c>
      <c r="AA1202" s="1"/>
      <c r="AB1202" s="294" t="s">
        <v>12</v>
      </c>
    </row>
    <row r="1203" spans="2:28" ht="16.5" thickBot="1">
      <c r="B1203" s="1"/>
      <c r="C1203" s="1"/>
      <c r="D1203" s="1"/>
      <c r="E1203" s="1"/>
      <c r="F1203" s="1"/>
      <c r="G1203" s="1"/>
      <c r="H1203" s="1"/>
      <c r="I1203" s="1"/>
      <c r="J1203" s="1"/>
      <c r="K1203" s="1"/>
      <c r="L1203" s="11">
        <f>IF(AND($G$73="Yes",$G$15="Intermediate"),1,0)</f>
        <v>1</v>
      </c>
      <c r="M1203" s="15"/>
      <c r="N1203" s="230">
        <f>IF(AND($G$15="Intermediate",SUM(P1203:Z1203)=1),1,IF(AND($G$15="Intermediate",SUM(P1203:Z1203)&lt;&gt;1),2,0))</f>
        <v>1</v>
      </c>
      <c r="O1203" s="597" t="str">
        <f t="shared" si="13"/>
        <v>Reserves &amp; Financing Costs</v>
      </c>
      <c r="P1203" s="728">
        <v>0</v>
      </c>
      <c r="Q1203" s="729">
        <v>0</v>
      </c>
      <c r="R1203" s="766">
        <v>0</v>
      </c>
      <c r="S1203" s="767"/>
      <c r="T1203" s="768"/>
      <c r="U1203" s="729">
        <v>0</v>
      </c>
      <c r="V1203" s="729">
        <v>0</v>
      </c>
      <c r="W1203" s="729">
        <v>0</v>
      </c>
      <c r="X1203" s="729">
        <v>0.5</v>
      </c>
      <c r="Y1203" s="729">
        <v>0</v>
      </c>
      <c r="Z1203" s="730">
        <v>0.5</v>
      </c>
      <c r="AA1203" s="1"/>
      <c r="AB1203" s="294" t="s">
        <v>12</v>
      </c>
    </row>
    <row r="1204" spans="2:28" ht="16.5" thickBot="1">
      <c r="B1204" s="1"/>
      <c r="C1204" s="1"/>
      <c r="D1204" s="1"/>
      <c r="E1204" s="1"/>
      <c r="F1204" s="1"/>
      <c r="G1204" s="1"/>
      <c r="H1204" s="1"/>
      <c r="I1204" s="1"/>
      <c r="J1204" s="1"/>
      <c r="K1204" s="1"/>
      <c r="L1204" s="296">
        <f>IF(AND($G$73="Yes",$G$15="Complex"),1,0)</f>
        <v>0</v>
      </c>
      <c r="M1204" s="647"/>
      <c r="N1204" s="647"/>
      <c r="O1204" s="546" t="s">
        <v>176</v>
      </c>
      <c r="P1204" s="591"/>
      <c r="Q1204" s="592"/>
      <c r="R1204" s="769"/>
      <c r="S1204" s="770"/>
      <c r="T1204" s="771"/>
      <c r="U1204" s="591"/>
      <c r="V1204" s="591"/>
      <c r="W1204" s="591"/>
      <c r="X1204" s="591"/>
      <c r="Y1204" s="591"/>
      <c r="Z1204" s="594"/>
      <c r="AA1204" s="40"/>
      <c r="AB1204" s="421" t="s">
        <v>12</v>
      </c>
    </row>
    <row r="1206" spans="2:28" ht="36.75" thickBot="1">
      <c r="E1206" s="731" t="s">
        <v>192</v>
      </c>
    </row>
    <row r="1207" spans="2:28" ht="18.75" thickBot="1">
      <c r="B1207" s="413"/>
      <c r="C1207" s="772" t="s">
        <v>1</v>
      </c>
      <c r="D1207" s="772"/>
      <c r="E1207" s="772"/>
      <c r="F1207" s="772"/>
      <c r="G1207" s="772"/>
      <c r="H1207" s="772"/>
      <c r="I1207" s="772"/>
      <c r="J1207" s="772"/>
      <c r="K1207" s="772"/>
      <c r="L1207" s="773"/>
      <c r="M1207" s="773"/>
      <c r="N1207" s="773"/>
      <c r="O1207" s="773"/>
      <c r="P1207" s="773"/>
      <c r="Q1207" s="773"/>
      <c r="R1207" s="773"/>
      <c r="S1207" s="773"/>
      <c r="T1207" s="773"/>
      <c r="U1207" s="328"/>
      <c r="V1207" s="329"/>
      <c r="W1207" s="329"/>
      <c r="X1207" s="329"/>
      <c r="Y1207" s="329"/>
      <c r="Z1207" s="329"/>
      <c r="AA1207" s="329"/>
      <c r="AB1207" s="330"/>
    </row>
    <row r="1208" spans="2:28" ht="18">
      <c r="B1208" s="11"/>
      <c r="C1208" s="266"/>
      <c r="D1208" s="266"/>
      <c r="E1208" s="266"/>
      <c r="F1208" s="266"/>
      <c r="G1208" s="266"/>
      <c r="H1208" s="266"/>
      <c r="I1208" s="266"/>
      <c r="J1208" s="266"/>
      <c r="K1208" s="341"/>
      <c r="L1208" s="265"/>
      <c r="M1208" s="266"/>
      <c r="N1208" s="266"/>
      <c r="O1208" s="266"/>
      <c r="P1208" s="266"/>
      <c r="Q1208" s="266"/>
      <c r="R1208" s="266"/>
      <c r="S1208" s="266"/>
      <c r="T1208" s="266"/>
      <c r="U1208" s="266"/>
      <c r="V1208" s="267"/>
      <c r="W1208" s="267"/>
      <c r="X1208" s="267"/>
      <c r="Y1208" s="267"/>
      <c r="Z1208" s="267"/>
      <c r="AA1208" s="267"/>
      <c r="AB1208" s="297"/>
    </row>
    <row r="1209" spans="2:28" ht="18.75" thickBot="1">
      <c r="B1209" s="11"/>
      <c r="C1209" s="401" t="s">
        <v>2</v>
      </c>
      <c r="D1209" s="14"/>
      <c r="E1209" s="1"/>
      <c r="F1209" s="15"/>
      <c r="G1209" s="1"/>
      <c r="H1209" s="392"/>
      <c r="I1209" s="414" t="s">
        <v>3</v>
      </c>
      <c r="J1209" s="1"/>
      <c r="K1209" s="342"/>
      <c r="L1209" s="298"/>
      <c r="M1209" s="401" t="s">
        <v>2</v>
      </c>
      <c r="N1209" s="15"/>
      <c r="O1209" s="774" t="s">
        <v>4</v>
      </c>
      <c r="P1209" s="774"/>
      <c r="Q1209" s="420"/>
      <c r="R1209" s="15"/>
      <c r="S1209" s="401" t="s">
        <v>3</v>
      </c>
      <c r="T1209" s="393"/>
      <c r="U1209" s="14"/>
      <c r="V1209" s="1"/>
      <c r="W1209" s="1"/>
      <c r="X1209" s="1"/>
      <c r="Y1209" s="1"/>
      <c r="Z1209" s="1"/>
      <c r="AA1209" s="1"/>
      <c r="AB1209" s="246"/>
    </row>
    <row r="1210" spans="2:28" ht="18.75" thickBot="1">
      <c r="B1210" s="415"/>
      <c r="C1210" s="267"/>
      <c r="D1210" s="267"/>
      <c r="E1210" s="20"/>
      <c r="F1210" s="16"/>
      <c r="G1210" s="19"/>
      <c r="H1210" s="416"/>
      <c r="I1210" s="417"/>
      <c r="J1210" s="418"/>
      <c r="K1210" s="15"/>
      <c r="L1210" s="415"/>
      <c r="M1210" s="267"/>
      <c r="N1210" s="267"/>
      <c r="O1210" s="267"/>
      <c r="P1210" s="267"/>
      <c r="Q1210" s="267"/>
      <c r="R1210" s="267"/>
      <c r="S1210" s="267"/>
      <c r="T1210" s="267"/>
      <c r="U1210" s="267"/>
      <c r="V1210" s="267"/>
      <c r="W1210" s="267"/>
      <c r="X1210" s="267"/>
      <c r="Y1210" s="267"/>
      <c r="Z1210" s="267"/>
      <c r="AA1210" s="267"/>
      <c r="AB1210" s="297"/>
    </row>
    <row r="1211" spans="2:28" ht="21" thickBot="1">
      <c r="B1211" s="11"/>
      <c r="C1211" s="1"/>
      <c r="D1211" s="1"/>
      <c r="E1211" s="2" t="s">
        <v>5</v>
      </c>
      <c r="F1211" s="347" t="s">
        <v>6</v>
      </c>
      <c r="G1211" s="411" t="s">
        <v>7</v>
      </c>
      <c r="H1211" s="57"/>
      <c r="I1211" s="17"/>
      <c r="J1211" s="402"/>
      <c r="K1211" s="15"/>
      <c r="L1211" s="11"/>
      <c r="M1211" s="1"/>
      <c r="N1211" s="1"/>
      <c r="O1211" s="2" t="s">
        <v>8</v>
      </c>
      <c r="P1211" s="347" t="s">
        <v>6</v>
      </c>
      <c r="Q1211" s="411" t="s">
        <v>7</v>
      </c>
      <c r="R1211" s="1"/>
      <c r="S1211" s="1"/>
      <c r="T1211" s="1"/>
      <c r="U1211" s="645" t="s">
        <v>9</v>
      </c>
      <c r="V1211" s="1"/>
      <c r="W1211" s="1"/>
      <c r="X1211" s="1"/>
      <c r="Y1211" s="1"/>
      <c r="Z1211" s="1"/>
      <c r="AA1211" s="1"/>
      <c r="AB1211" s="246"/>
    </row>
    <row r="1212" spans="2:28" ht="15.75">
      <c r="B1212" s="11"/>
      <c r="C1212" s="317"/>
      <c r="D1212" s="1"/>
      <c r="E1212" s="458" t="s">
        <v>10</v>
      </c>
      <c r="F1212" s="450" t="s">
        <v>11</v>
      </c>
      <c r="G1212" s="717">
        <v>500</v>
      </c>
      <c r="H1212" s="269"/>
      <c r="I1212" s="12" t="s">
        <v>12</v>
      </c>
      <c r="J1212" s="403"/>
      <c r="K1212" s="15"/>
      <c r="L1212" s="11"/>
      <c r="M1212" s="371"/>
      <c r="N1212" s="1">
        <f>IF(OR(Q1212&lt;=0,Q1212&gt;G1216),1,0)</f>
        <v>0</v>
      </c>
      <c r="O1212" s="458" t="s">
        <v>13</v>
      </c>
      <c r="P1212" s="450" t="s">
        <v>14</v>
      </c>
      <c r="Q1212" s="667">
        <v>20</v>
      </c>
      <c r="R1212" s="272"/>
      <c r="S1212" s="12" t="s">
        <v>12</v>
      </c>
      <c r="T1212" s="340"/>
      <c r="U1212" s="656" t="s">
        <v>15</v>
      </c>
      <c r="V1212" s="657" t="s">
        <v>16</v>
      </c>
      <c r="W1212" s="658" t="s">
        <v>17</v>
      </c>
      <c r="X1212" s="1"/>
      <c r="Y1212" s="1"/>
      <c r="Z1212" s="1"/>
      <c r="AA1212" s="1"/>
      <c r="AB1212" s="246"/>
    </row>
    <row r="1213" spans="2:28" ht="15.75">
      <c r="B1213" s="11"/>
      <c r="C1213" s="370"/>
      <c r="D1213" s="1">
        <f>IF(OR(G1213&lt;=0,G1213&gt;1),1,0)</f>
        <v>0</v>
      </c>
      <c r="E1213" s="451" t="s">
        <v>18</v>
      </c>
      <c r="F1213" s="7" t="s">
        <v>19</v>
      </c>
      <c r="G1213" s="472">
        <v>0.55000000000000004</v>
      </c>
      <c r="H1213" s="270"/>
      <c r="I1213" s="12" t="s">
        <v>12</v>
      </c>
      <c r="J1213" s="403"/>
      <c r="K1213" s="15"/>
      <c r="L1213" s="11"/>
      <c r="M1213" s="317"/>
      <c r="N1213" s="1"/>
      <c r="O1213" s="451" t="s">
        <v>20</v>
      </c>
      <c r="P1213" s="7" t="s">
        <v>19</v>
      </c>
      <c r="Q1213" s="472">
        <v>0</v>
      </c>
      <c r="R1213" s="270">
        <v>0</v>
      </c>
      <c r="S1213" s="12" t="s">
        <v>12</v>
      </c>
      <c r="T1213" s="340"/>
      <c r="U1213" s="474" t="s">
        <v>21</v>
      </c>
      <c r="V1213" s="633" t="s">
        <v>22</v>
      </c>
      <c r="W1213" s="646" t="s">
        <v>193</v>
      </c>
      <c r="X1213" s="1"/>
      <c r="Y1213" s="1"/>
      <c r="Z1213" s="1"/>
      <c r="AA1213" s="1"/>
      <c r="AB1213" s="246"/>
    </row>
    <row r="1214" spans="2:28" ht="16.5" thickBot="1">
      <c r="B1214" s="11"/>
      <c r="C1214" s="285"/>
      <c r="D1214" s="1"/>
      <c r="E1214" s="451" t="s">
        <v>24</v>
      </c>
      <c r="F1214" s="8" t="s">
        <v>25</v>
      </c>
      <c r="G1214" s="473"/>
      <c r="H1214" s="271"/>
      <c r="I1214" s="12" t="s">
        <v>12</v>
      </c>
      <c r="J1214" s="403"/>
      <c r="K1214" s="15"/>
      <c r="L1214" s="11"/>
      <c r="M1214" s="316"/>
      <c r="N1214" s="1"/>
      <c r="O1214" s="461" t="s">
        <v>26</v>
      </c>
      <c r="P1214" s="466" t="s">
        <v>19</v>
      </c>
      <c r="Q1214" s="472">
        <v>0</v>
      </c>
      <c r="R1214" s="270"/>
      <c r="S1214" s="12" t="s">
        <v>12</v>
      </c>
      <c r="T1214" s="340"/>
      <c r="U1214" s="451" t="s">
        <v>27</v>
      </c>
      <c r="V1214" s="633" t="s">
        <v>22</v>
      </c>
      <c r="W1214" s="646" t="s">
        <v>178</v>
      </c>
      <c r="X1214" s="1"/>
      <c r="Y1214" s="1"/>
      <c r="Z1214" s="1"/>
      <c r="AA1214" s="1"/>
      <c r="AB1214" s="246"/>
    </row>
    <row r="1215" spans="2:28" ht="16.5" thickBot="1">
      <c r="B1215" s="11"/>
      <c r="C1215" s="369"/>
      <c r="D1215" s="1">
        <f>IF(OR(G1215&lt;0,G1215&gt;1),1,0)</f>
        <v>0</v>
      </c>
      <c r="E1215" s="453" t="s">
        <v>29</v>
      </c>
      <c r="F1215" s="7" t="s">
        <v>19</v>
      </c>
      <c r="G1215" s="472">
        <v>0</v>
      </c>
      <c r="H1215" s="270"/>
      <c r="I1215" s="12" t="s">
        <v>12</v>
      </c>
      <c r="J1215" s="403"/>
      <c r="K1215" s="15"/>
      <c r="L1215" s="298"/>
      <c r="M1215" s="15"/>
      <c r="N1215" s="15"/>
      <c r="O1215" s="15"/>
      <c r="P1215" s="15"/>
      <c r="Q1215" s="15"/>
      <c r="R1215" s="15"/>
      <c r="S1215" s="15"/>
      <c r="T1215" s="15"/>
      <c r="U1215" s="639"/>
      <c r="V1215" s="636"/>
      <c r="W1215" s="640"/>
      <c r="X1215" s="123"/>
      <c r="Y1215" s="123"/>
      <c r="Z1215" s="123"/>
      <c r="AA1215" s="1"/>
      <c r="AB1215" s="246"/>
    </row>
    <row r="1216" spans="2:28" ht="16.5" thickBot="1">
      <c r="B1216" s="11"/>
      <c r="C1216" s="371"/>
      <c r="D1216" s="1">
        <f>IF(OR(G1216&lt;1,G1216&gt;30),1,0)</f>
        <v>0</v>
      </c>
      <c r="E1216" s="455" t="s">
        <v>30</v>
      </c>
      <c r="F1216" s="466" t="s">
        <v>14</v>
      </c>
      <c r="G1216" s="581">
        <v>30</v>
      </c>
      <c r="H1216" s="272"/>
      <c r="I1216" s="12" t="s">
        <v>12</v>
      </c>
      <c r="J1216" s="403"/>
      <c r="K1216" s="15"/>
      <c r="L1216" s="298"/>
      <c r="M1216" s="1"/>
      <c r="N1216" s="1"/>
      <c r="O1216" s="2" t="s">
        <v>31</v>
      </c>
      <c r="P1216" s="3"/>
      <c r="Q1216" s="4"/>
      <c r="R1216" s="15"/>
      <c r="S1216" s="12" t="s">
        <v>12</v>
      </c>
      <c r="T1216" s="123"/>
      <c r="U1216" s="474" t="s">
        <v>32</v>
      </c>
      <c r="V1216" s="634" t="s">
        <v>33</v>
      </c>
      <c r="W1216" s="669">
        <v>37.5</v>
      </c>
      <c r="X1216" s="178"/>
      <c r="Y1216" s="178"/>
      <c r="Z1216" s="178"/>
      <c r="AA1216" s="1"/>
      <c r="AB1216" s="246"/>
    </row>
    <row r="1217" spans="2:28" ht="16.5" thickBot="1">
      <c r="B1217" s="11"/>
      <c r="C1217" s="1"/>
      <c r="D1217" s="1"/>
      <c r="E1217" s="1"/>
      <c r="F1217" s="1"/>
      <c r="G1217" s="17"/>
      <c r="H1217" s="17"/>
      <c r="I1217" s="13"/>
      <c r="J1217" s="403"/>
      <c r="K1217" s="15"/>
      <c r="L1217" s="298"/>
      <c r="M1217" s="369"/>
      <c r="N1217" s="1"/>
      <c r="O1217" s="500" t="s">
        <v>34</v>
      </c>
      <c r="P1217" s="501"/>
      <c r="Q1217" s="502" t="s">
        <v>35</v>
      </c>
      <c r="R1217" s="1"/>
      <c r="S1217" s="345" t="s">
        <v>12</v>
      </c>
      <c r="T1217" s="346">
        <f>IF(Q1212&lt;G1216,1,0)</f>
        <v>1</v>
      </c>
      <c r="U1217" s="641" t="s">
        <v>36</v>
      </c>
      <c r="V1217" s="635" t="s">
        <v>19</v>
      </c>
      <c r="W1217" s="670">
        <v>0.02</v>
      </c>
      <c r="X1217" s="1"/>
      <c r="Y1217" s="123"/>
      <c r="Z1217" s="123"/>
      <c r="AA1217" s="1"/>
      <c r="AB1217" s="246"/>
    </row>
    <row r="1218" spans="2:28" ht="16.5" thickBot="1">
      <c r="B1218" s="11"/>
      <c r="C1218" s="1"/>
      <c r="D1218" s="1"/>
      <c r="E1218" s="10" t="s">
        <v>37</v>
      </c>
      <c r="F1218" s="347" t="s">
        <v>6</v>
      </c>
      <c r="G1218" s="411" t="s">
        <v>7</v>
      </c>
      <c r="H1218" s="283"/>
      <c r="I1218" s="13"/>
      <c r="J1218" s="403"/>
      <c r="K1218" s="15"/>
      <c r="L1218" s="298"/>
      <c r="M1218" s="369"/>
      <c r="N1218" s="1">
        <f>IF(OR(Q1218&lt;=0,Q1218=""),1,0)</f>
        <v>0</v>
      </c>
      <c r="O1218" s="503" t="s">
        <v>38</v>
      </c>
      <c r="P1218" s="343" t="s">
        <v>39</v>
      </c>
      <c r="Q1218" s="504">
        <v>5</v>
      </c>
      <c r="R1218" s="1"/>
      <c r="S1218" s="345" t="s">
        <v>12</v>
      </c>
      <c r="T1218" s="346">
        <f>IF(AND($Q$8&lt;$G$12,$Q$13="Year One"),1,0)</f>
        <v>0</v>
      </c>
      <c r="U1218" s="642"/>
      <c r="V1218" s="637"/>
      <c r="W1218" s="643"/>
      <c r="X1218" s="1"/>
      <c r="Y1218" s="123"/>
      <c r="Z1218" s="123"/>
      <c r="AA1218" s="1"/>
      <c r="AB1218" s="246"/>
    </row>
    <row r="1219" spans="2:28" ht="16.5" thickBot="1">
      <c r="B1219" s="11"/>
      <c r="C1219" s="318"/>
      <c r="D1219" s="1"/>
      <c r="E1219" s="438" t="s">
        <v>40</v>
      </c>
      <c r="F1219" s="439"/>
      <c r="G1219" s="440" t="s">
        <v>41</v>
      </c>
      <c r="H1219" s="281"/>
      <c r="I1219" s="12" t="s">
        <v>12</v>
      </c>
      <c r="J1219" s="403"/>
      <c r="K1219" s="15"/>
      <c r="L1219" s="298"/>
      <c r="M1219" s="369"/>
      <c r="N1219" s="1">
        <f>IF(OR(Q1219&lt;=0,Q1219=""),1,0)</f>
        <v>0</v>
      </c>
      <c r="O1219" s="505" t="s">
        <v>42</v>
      </c>
      <c r="P1219" s="344" t="s">
        <v>19</v>
      </c>
      <c r="Q1219" s="506">
        <v>0.03</v>
      </c>
      <c r="R1219" s="1"/>
      <c r="S1219" s="368" t="s">
        <v>12</v>
      </c>
      <c r="T1219" s="346">
        <f>IF(AND($Q$8&lt;$G$12,$Q$13="Year One"),1,0)</f>
        <v>0</v>
      </c>
      <c r="U1219" s="451" t="s">
        <v>43</v>
      </c>
      <c r="V1219" s="633" t="s">
        <v>19</v>
      </c>
      <c r="W1219" s="581">
        <v>0</v>
      </c>
      <c r="X1219" s="1"/>
      <c r="Y1219" s="123"/>
      <c r="Z1219" s="123"/>
      <c r="AA1219" s="1"/>
      <c r="AB1219" s="246"/>
    </row>
    <row r="1220" spans="2:28" ht="16.5" thickBot="1">
      <c r="B1220" s="11"/>
      <c r="C1220" s="319"/>
      <c r="D1220" s="1"/>
      <c r="E1220" s="441" t="s">
        <v>44</v>
      </c>
      <c r="F1220" s="442" t="s">
        <v>33</v>
      </c>
      <c r="G1220" s="443">
        <v>2500</v>
      </c>
      <c r="H1220" s="273"/>
      <c r="I1220" s="366" t="s">
        <v>12</v>
      </c>
      <c r="J1220" s="404"/>
      <c r="K1220" s="15"/>
      <c r="L1220" s="298"/>
      <c r="M1220" s="1"/>
      <c r="N1220" s="1"/>
      <c r="O1220" s="507" t="str">
        <f>IF(OR($Q$13="Year One",$Q$8=$G$12),"","Click Here for Complex Input Worksheet")</f>
        <v>Click Here for Complex Input Worksheet</v>
      </c>
      <c r="P1220" s="508"/>
      <c r="Q1220" s="509"/>
      <c r="R1220" s="1"/>
      <c r="S1220" s="366" t="s">
        <v>12</v>
      </c>
      <c r="T1220" s="346">
        <f>IF(AND($Q$8&lt;$G$12,$Q$13="Year-by-Year"),1,0)</f>
        <v>1</v>
      </c>
      <c r="U1220" s="451" t="s">
        <v>45</v>
      </c>
      <c r="V1220" s="633" t="s">
        <v>19</v>
      </c>
      <c r="W1220" s="670">
        <v>0.01</v>
      </c>
      <c r="X1220" s="123"/>
      <c r="Y1220" s="123"/>
      <c r="Z1220" s="123"/>
      <c r="AA1220" s="1"/>
      <c r="AB1220" s="246"/>
    </row>
    <row r="1221" spans="2:28" ht="16.5" thickBot="1">
      <c r="B1221" s="11"/>
      <c r="C1221" s="320"/>
      <c r="D1221" s="1"/>
      <c r="E1221" s="444" t="s">
        <v>46</v>
      </c>
      <c r="F1221" s="343" t="s">
        <v>47</v>
      </c>
      <c r="G1221" s="718">
        <v>6089255</v>
      </c>
      <c r="H1221" s="274"/>
      <c r="I1221" s="366" t="s">
        <v>12</v>
      </c>
      <c r="J1221" s="403"/>
      <c r="K1221" s="15"/>
      <c r="L1221" s="298"/>
      <c r="M1221" s="1"/>
      <c r="N1221" s="1"/>
      <c r="O1221" s="1"/>
      <c r="P1221" s="1"/>
      <c r="Q1221" s="1"/>
      <c r="R1221" s="1"/>
      <c r="S1221" s="1"/>
      <c r="T1221" s="179"/>
      <c r="U1221" s="644"/>
      <c r="V1221" s="638"/>
      <c r="W1221" s="643"/>
      <c r="X1221" s="123"/>
      <c r="Y1221" s="123"/>
      <c r="Z1221" s="123"/>
      <c r="AA1221" s="1"/>
      <c r="AB1221" s="246"/>
    </row>
    <row r="1222" spans="2:28" ht="16.5" thickBot="1">
      <c r="B1222" s="11"/>
      <c r="C1222" s="376"/>
      <c r="D1222" s="1"/>
      <c r="E1222" s="444" t="s">
        <v>48</v>
      </c>
      <c r="F1222" s="343" t="s">
        <v>47</v>
      </c>
      <c r="G1222" s="718">
        <v>0</v>
      </c>
      <c r="H1222" s="274"/>
      <c r="I1222" s="366" t="s">
        <v>12</v>
      </c>
      <c r="J1222" s="403"/>
      <c r="K1222" s="15"/>
      <c r="L1222" s="298"/>
      <c r="M1222" s="1"/>
      <c r="N1222" s="1"/>
      <c r="O1222" s="5" t="s">
        <v>49</v>
      </c>
      <c r="P1222" s="347" t="s">
        <v>6</v>
      </c>
      <c r="Q1222" s="411" t="s">
        <v>7</v>
      </c>
      <c r="R1222" s="120"/>
      <c r="S1222" s="13"/>
      <c r="T1222" s="179"/>
      <c r="U1222" s="641" t="s">
        <v>50</v>
      </c>
      <c r="V1222" s="257" t="s">
        <v>47</v>
      </c>
      <c r="W1222" s="581">
        <v>0</v>
      </c>
      <c r="X1222" s="123"/>
      <c r="Y1222" s="1"/>
      <c r="Z1222" s="1"/>
      <c r="AA1222" s="1"/>
      <c r="AB1222" s="246"/>
    </row>
    <row r="1223" spans="2:28" ht="16.5" thickBot="1">
      <c r="B1223" s="11"/>
      <c r="C1223" s="376"/>
      <c r="D1223" s="1"/>
      <c r="E1223" s="444" t="s">
        <v>51</v>
      </c>
      <c r="F1223" s="343" t="s">
        <v>47</v>
      </c>
      <c r="G1223" s="718">
        <v>0</v>
      </c>
      <c r="H1223" s="274"/>
      <c r="I1223" s="366" t="s">
        <v>12</v>
      </c>
      <c r="J1223" s="403"/>
      <c r="K1223" s="15"/>
      <c r="L1223" s="298"/>
      <c r="M1223" s="374"/>
      <c r="N1223" s="1"/>
      <c r="O1223" s="518" t="s">
        <v>52</v>
      </c>
      <c r="P1223" s="519"/>
      <c r="Q1223" s="520" t="s">
        <v>53</v>
      </c>
      <c r="R1223" s="1"/>
      <c r="S1223" s="12" t="s">
        <v>12</v>
      </c>
      <c r="T1223" s="1"/>
      <c r="U1223" s="489" t="s">
        <v>54</v>
      </c>
      <c r="V1223" s="719" t="s">
        <v>55</v>
      </c>
      <c r="W1223" s="720">
        <v>0</v>
      </c>
      <c r="X1223" s="1"/>
      <c r="Y1223" s="1"/>
      <c r="Z1223" s="1"/>
      <c r="AA1223" s="1"/>
      <c r="AB1223" s="246"/>
    </row>
    <row r="1224" spans="2:28" ht="15.75">
      <c r="B1224" s="11"/>
      <c r="C1224" s="376"/>
      <c r="D1224" s="1"/>
      <c r="E1224" s="604" t="s">
        <v>56</v>
      </c>
      <c r="F1224" s="343" t="s">
        <v>47</v>
      </c>
      <c r="G1224" s="721">
        <v>0</v>
      </c>
      <c r="H1224" s="274"/>
      <c r="I1224" s="366" t="s">
        <v>12</v>
      </c>
      <c r="J1224" s="403"/>
      <c r="K1224" s="15"/>
      <c r="L1224" s="298"/>
      <c r="M1224" s="374"/>
      <c r="N1224" s="1"/>
      <c r="O1224" s="458" t="s">
        <v>57</v>
      </c>
      <c r="P1224" s="450"/>
      <c r="Q1224" s="496" t="s">
        <v>58</v>
      </c>
      <c r="R1224" s="15"/>
      <c r="S1224" s="12" t="s">
        <v>12</v>
      </c>
      <c r="T1224" s="15"/>
      <c r="U1224" s="1"/>
      <c r="V1224" s="1"/>
      <c r="W1224" s="1"/>
      <c r="X1224" s="1"/>
      <c r="Y1224" s="1"/>
      <c r="Z1224" s="1"/>
      <c r="AA1224" s="1"/>
      <c r="AB1224" s="246"/>
    </row>
    <row r="1225" spans="2:28" ht="15.75">
      <c r="B1225" s="11"/>
      <c r="C1225" s="321"/>
      <c r="D1225" s="1"/>
      <c r="E1225" s="444" t="s">
        <v>59</v>
      </c>
      <c r="F1225" s="343" t="s">
        <v>47</v>
      </c>
      <c r="G1225" s="445"/>
      <c r="H1225" s="275"/>
      <c r="I1225" s="366" t="s">
        <v>12</v>
      </c>
      <c r="J1225" s="403"/>
      <c r="K1225" s="15"/>
      <c r="L1225" s="298"/>
      <c r="M1225" s="374"/>
      <c r="N1225" s="1">
        <f>IF(OR(Q1225&lt;0,Q1225&gt;1,Q1225=""),1,0)</f>
        <v>0</v>
      </c>
      <c r="O1225" s="468" t="s">
        <v>60</v>
      </c>
      <c r="P1225" s="6" t="s">
        <v>19</v>
      </c>
      <c r="Q1225" s="674">
        <v>0.3</v>
      </c>
      <c r="R1225" s="15"/>
      <c r="S1225" s="12" t="s">
        <v>12</v>
      </c>
      <c r="T1225" s="15"/>
      <c r="U1225" s="1"/>
      <c r="V1225" s="1"/>
      <c r="W1225" s="1"/>
      <c r="X1225" s="1"/>
      <c r="Y1225" s="1"/>
      <c r="Z1225" s="1"/>
      <c r="AA1225" s="1"/>
      <c r="AB1225" s="246"/>
    </row>
    <row r="1226" spans="2:28" ht="16.5" thickBot="1">
      <c r="B1226" s="11"/>
      <c r="C1226" s="321"/>
      <c r="D1226" s="1"/>
      <c r="E1226" s="446" t="s">
        <v>61</v>
      </c>
      <c r="F1226" s="447" t="str">
        <f>IF($G$15="Complex","$","")</f>
        <v/>
      </c>
      <c r="G1226" s="448" t="s">
        <v>62</v>
      </c>
      <c r="H1226" s="276"/>
      <c r="I1226" s="366" t="s">
        <v>12</v>
      </c>
      <c r="J1226" s="403"/>
      <c r="K1226" s="15"/>
      <c r="L1226" s="298"/>
      <c r="M1226" s="369"/>
      <c r="N1226" s="1">
        <f>IF(OR(Q1226&lt;0,Q1226&gt;1,Q1226=""),1,0)</f>
        <v>0</v>
      </c>
      <c r="O1226" s="483" t="s">
        <v>63</v>
      </c>
      <c r="P1226" s="24" t="s">
        <v>19</v>
      </c>
      <c r="Q1226" s="674">
        <v>1</v>
      </c>
      <c r="R1226" s="121"/>
      <c r="S1226" s="12" t="s">
        <v>12</v>
      </c>
      <c r="T1226" s="367">
        <f>IF(AND($Q$19="Cost-Based",$Q$20="ITC"),1,0)</f>
        <v>1</v>
      </c>
      <c r="U1226" s="1"/>
      <c r="V1226" s="1"/>
      <c r="W1226" s="1"/>
      <c r="X1226" s="1"/>
      <c r="Y1226" s="1"/>
      <c r="Z1226" s="1"/>
      <c r="AA1226" s="1"/>
      <c r="AB1226" s="246"/>
    </row>
    <row r="1227" spans="2:28" ht="16.5" thickBot="1">
      <c r="B1227" s="11"/>
      <c r="C1227" s="323"/>
      <c r="D1227" s="1"/>
      <c r="E1227" s="449" t="s">
        <v>44</v>
      </c>
      <c r="F1227" s="450" t="s">
        <v>47</v>
      </c>
      <c r="G1227" s="675"/>
      <c r="H1227" s="276"/>
      <c r="I1227" s="12" t="s">
        <v>12</v>
      </c>
      <c r="J1227" s="403"/>
      <c r="K1227" s="15"/>
      <c r="L1227" s="298"/>
      <c r="M1227" s="1"/>
      <c r="N1227" s="1"/>
      <c r="O1227" s="455" t="s">
        <v>64</v>
      </c>
      <c r="P1227" s="462" t="s">
        <v>47</v>
      </c>
      <c r="Q1227" s="676"/>
      <c r="R1227" s="121"/>
      <c r="S1227" s="12" t="s">
        <v>12</v>
      </c>
      <c r="T1227" s="15"/>
      <c r="U1227" s="1"/>
      <c r="V1227" s="1"/>
      <c r="W1227" s="1"/>
      <c r="X1227" s="1"/>
      <c r="Y1227" s="1"/>
      <c r="Z1227" s="1"/>
      <c r="AA1227" s="1"/>
      <c r="AB1227" s="246"/>
    </row>
    <row r="1228" spans="2:28" ht="15.75">
      <c r="B1228" s="11"/>
      <c r="C1228" s="323"/>
      <c r="D1228" s="1"/>
      <c r="E1228" s="451" t="s">
        <v>44</v>
      </c>
      <c r="F1228" s="8" t="str">
        <f>F1220</f>
        <v>$/kW</v>
      </c>
      <c r="G1228" s="452"/>
      <c r="H1228" s="284"/>
      <c r="I1228" s="12" t="s">
        <v>12</v>
      </c>
      <c r="J1228" s="403"/>
      <c r="K1228" s="15"/>
      <c r="L1228" s="298"/>
      <c r="M1228" s="374"/>
      <c r="N1228" s="1"/>
      <c r="O1228" s="449" t="s">
        <v>65</v>
      </c>
      <c r="P1228" s="522"/>
      <c r="Q1228" s="510" t="s">
        <v>66</v>
      </c>
      <c r="R1228" s="1"/>
      <c r="S1228" s="12" t="s">
        <v>12</v>
      </c>
      <c r="T1228" s="1"/>
      <c r="U1228" s="1"/>
      <c r="V1228" s="1"/>
      <c r="W1228" s="1"/>
      <c r="X1228" s="1"/>
      <c r="Y1228" s="1"/>
      <c r="Z1228" s="1"/>
      <c r="AA1228" s="1"/>
      <c r="AB1228" s="246"/>
    </row>
    <row r="1229" spans="2:28" ht="15.75">
      <c r="B1229" s="11"/>
      <c r="C1229" s="322"/>
      <c r="D1229" s="1"/>
      <c r="E1229" s="453" t="s">
        <v>67</v>
      </c>
      <c r="F1229" s="7" t="s">
        <v>47</v>
      </c>
      <c r="G1229" s="454"/>
      <c r="H1229" s="277"/>
      <c r="I1229" s="12" t="s">
        <v>12</v>
      </c>
      <c r="J1229" s="403"/>
      <c r="K1229" s="15"/>
      <c r="L1229" s="298"/>
      <c r="M1229" s="369"/>
      <c r="N1229" s="1"/>
      <c r="O1229" s="451" t="s">
        <v>68</v>
      </c>
      <c r="P1229" s="8" t="s">
        <v>39</v>
      </c>
      <c r="Q1229" s="512">
        <v>1.25</v>
      </c>
      <c r="R1229" s="15"/>
      <c r="S1229" s="12" t="s">
        <v>12</v>
      </c>
      <c r="T1229" s="15"/>
      <c r="U1229" s="1"/>
      <c r="V1229" s="1"/>
      <c r="W1229" s="1"/>
      <c r="X1229" s="1"/>
      <c r="Y1229" s="1"/>
      <c r="Z1229" s="1"/>
      <c r="AA1229" s="1"/>
      <c r="AB1229" s="246"/>
    </row>
    <row r="1230" spans="2:28" ht="15.75">
      <c r="B1230" s="11"/>
      <c r="C1230" s="322"/>
      <c r="D1230" s="1"/>
      <c r="E1230" s="453" t="s">
        <v>69</v>
      </c>
      <c r="F1230" s="7" t="s">
        <v>47</v>
      </c>
      <c r="G1230" s="452"/>
      <c r="H1230" s="276"/>
      <c r="I1230" s="12" t="s">
        <v>12</v>
      </c>
      <c r="J1230" s="403"/>
      <c r="K1230" s="15"/>
      <c r="L1230" s="298"/>
      <c r="M1230" s="369"/>
      <c r="N1230" s="1">
        <f>IF(OR(Q1230&lt;0,Q1230&gt;G1216),1,0)</f>
        <v>0</v>
      </c>
      <c r="O1230" s="451" t="s">
        <v>70</v>
      </c>
      <c r="P1230" s="8" t="s">
        <v>71</v>
      </c>
      <c r="Q1230" s="464">
        <v>10</v>
      </c>
      <c r="R1230" s="15"/>
      <c r="S1230" s="12" t="s">
        <v>12</v>
      </c>
      <c r="T1230" s="15"/>
      <c r="U1230" s="1"/>
      <c r="V1230" s="1"/>
      <c r="W1230" s="1"/>
      <c r="X1230" s="1"/>
      <c r="Y1230" s="1"/>
      <c r="Z1230" s="1"/>
      <c r="AA1230" s="1"/>
      <c r="AB1230" s="246"/>
    </row>
    <row r="1231" spans="2:28" ht="16.5" thickBot="1">
      <c r="B1231" s="11"/>
      <c r="C1231" s="323"/>
      <c r="D1231" s="1"/>
      <c r="E1231" s="455" t="s">
        <v>69</v>
      </c>
      <c r="F1231" s="456" t="str">
        <f>F1220</f>
        <v>$/kW</v>
      </c>
      <c r="G1231" s="457"/>
      <c r="H1231" s="284"/>
      <c r="I1231" s="12" t="s">
        <v>12</v>
      </c>
      <c r="J1231" s="403"/>
      <c r="K1231" s="15"/>
      <c r="L1231" s="298"/>
      <c r="M1231" s="369"/>
      <c r="N1231" s="1"/>
      <c r="O1231" s="451" t="s">
        <v>72</v>
      </c>
      <c r="P1231" s="6" t="s">
        <v>19</v>
      </c>
      <c r="Q1231" s="497">
        <v>0.02</v>
      </c>
      <c r="R1231" s="15"/>
      <c r="S1231" s="12" t="s">
        <v>12</v>
      </c>
      <c r="T1231" s="15"/>
      <c r="U1231" s="1"/>
      <c r="V1231" s="1"/>
      <c r="W1231" s="1"/>
      <c r="X1231" s="1"/>
      <c r="Y1231" s="1"/>
      <c r="Z1231" s="1"/>
      <c r="AA1231" s="1"/>
      <c r="AB1231" s="246"/>
    </row>
    <row r="1232" spans="2:28" ht="16.5" thickBot="1">
      <c r="B1232" s="11"/>
      <c r="C1232" s="324"/>
      <c r="D1232" s="1"/>
      <c r="E1232" s="18"/>
      <c r="F1232" s="1"/>
      <c r="G1232" s="31"/>
      <c r="H1232" s="1"/>
      <c r="I1232" s="17"/>
      <c r="J1232" s="403"/>
      <c r="K1232" s="15"/>
      <c r="L1232" s="298"/>
      <c r="M1232" s="369"/>
      <c r="N1232" s="1">
        <f>IF(OR(Q1232&lt;0,Q1232&gt;1),1,0)</f>
        <v>0</v>
      </c>
      <c r="O1232" s="455" t="s">
        <v>73</v>
      </c>
      <c r="P1232" s="462" t="s">
        <v>19</v>
      </c>
      <c r="Q1232" s="523">
        <v>1</v>
      </c>
      <c r="R1232" s="15"/>
      <c r="S1232" s="12" t="s">
        <v>12</v>
      </c>
      <c r="T1232" s="15"/>
      <c r="U1232" s="1"/>
      <c r="V1232" s="1"/>
      <c r="W1232" s="1"/>
      <c r="X1232" s="1"/>
      <c r="Y1232" s="1"/>
      <c r="Z1232" s="1"/>
      <c r="AA1232" s="1"/>
      <c r="AB1232" s="246"/>
    </row>
    <row r="1233" spans="2:28" ht="16.5" thickBot="1">
      <c r="B1233" s="11"/>
      <c r="C1233" s="1"/>
      <c r="D1233" s="1"/>
      <c r="E1233" s="5" t="s">
        <v>74</v>
      </c>
      <c r="F1233" s="347" t="s">
        <v>6</v>
      </c>
      <c r="G1233" s="411" t="s">
        <v>7</v>
      </c>
      <c r="H1233" s="285"/>
      <c r="I1233" s="17"/>
      <c r="J1233" s="403"/>
      <c r="K1233" s="15"/>
      <c r="L1233" s="298"/>
      <c r="M1233" s="1"/>
      <c r="N1233" s="1"/>
      <c r="O1233" s="296" t="s">
        <v>75</v>
      </c>
      <c r="P1233" s="521"/>
      <c r="Q1233" s="514" t="s">
        <v>76</v>
      </c>
      <c r="R1233" s="121"/>
      <c r="S1233" s="12" t="s">
        <v>12</v>
      </c>
      <c r="T1233" s="15"/>
      <c r="U1233" s="1"/>
      <c r="V1233" s="1"/>
      <c r="W1233" s="1"/>
      <c r="X1233" s="1"/>
      <c r="Y1233" s="1"/>
      <c r="Z1233" s="1"/>
      <c r="AA1233" s="1"/>
      <c r="AB1233" s="246"/>
    </row>
    <row r="1234" spans="2:28" ht="16.5" thickBot="1">
      <c r="B1234" s="11"/>
      <c r="C1234" s="318"/>
      <c r="D1234" s="1"/>
      <c r="E1234" s="553" t="s">
        <v>40</v>
      </c>
      <c r="F1234" s="554"/>
      <c r="G1234" s="555" t="s">
        <v>41</v>
      </c>
      <c r="H1234" s="281"/>
      <c r="I1234" s="12" t="s">
        <v>12</v>
      </c>
      <c r="J1234" s="403"/>
      <c r="K1234" s="15"/>
      <c r="L1234" s="11"/>
      <c r="M1234" s="1"/>
      <c r="N1234" s="1"/>
      <c r="O1234" s="415"/>
      <c r="P1234" s="267"/>
      <c r="Q1234" s="297"/>
      <c r="R1234" s="1"/>
      <c r="S1234" s="1"/>
      <c r="T1234" s="1"/>
      <c r="U1234" s="1"/>
      <c r="V1234" s="1"/>
      <c r="W1234" s="1"/>
      <c r="X1234" s="1"/>
      <c r="Y1234" s="1"/>
      <c r="Z1234" s="1"/>
      <c r="AA1234" s="1"/>
      <c r="AB1234" s="246"/>
    </row>
    <row r="1235" spans="2:28" ht="15.75">
      <c r="B1235" s="11"/>
      <c r="C1235" s="325"/>
      <c r="D1235" s="1"/>
      <c r="E1235" s="458" t="s">
        <v>77</v>
      </c>
      <c r="F1235" s="459" t="s">
        <v>78</v>
      </c>
      <c r="G1235" s="460">
        <v>269.5</v>
      </c>
      <c r="H1235" s="286"/>
      <c r="I1235" s="12" t="s">
        <v>12</v>
      </c>
      <c r="J1235" s="403"/>
      <c r="K1235" s="15"/>
      <c r="L1235" s="298"/>
      <c r="M1235" s="369"/>
      <c r="N1235" s="1"/>
      <c r="O1235" s="515" t="s">
        <v>79</v>
      </c>
      <c r="P1235" s="459" t="s">
        <v>47</v>
      </c>
      <c r="Q1235" s="516">
        <v>0</v>
      </c>
      <c r="R1235" s="121"/>
      <c r="S1235" s="12" t="s">
        <v>12</v>
      </c>
      <c r="T1235" s="1"/>
      <c r="U1235" s="1"/>
      <c r="V1235" s="1"/>
      <c r="W1235" s="1"/>
      <c r="X1235" s="1"/>
      <c r="Y1235" s="1"/>
      <c r="Z1235" s="1"/>
      <c r="AA1235" s="1"/>
      <c r="AB1235" s="246"/>
    </row>
    <row r="1236" spans="2:28" ht="16.5" thickBot="1">
      <c r="B1236" s="11"/>
      <c r="C1236" s="369"/>
      <c r="D1236" s="1"/>
      <c r="E1236" s="453" t="s">
        <v>80</v>
      </c>
      <c r="F1236" s="7" t="s">
        <v>81</v>
      </c>
      <c r="G1236" s="512">
        <v>0</v>
      </c>
      <c r="H1236" s="287"/>
      <c r="I1236" s="12" t="s">
        <v>12</v>
      </c>
      <c r="J1236" s="403"/>
      <c r="K1236" s="15"/>
      <c r="L1236" s="298"/>
      <c r="M1236" s="374"/>
      <c r="N1236" s="1"/>
      <c r="O1236" s="455" t="s">
        <v>82</v>
      </c>
      <c r="P1236" s="466"/>
      <c r="Q1236" s="517" t="s">
        <v>83</v>
      </c>
      <c r="R1236" s="21"/>
      <c r="S1236" s="12" t="s">
        <v>12</v>
      </c>
      <c r="T1236" s="1"/>
      <c r="U1236" s="1"/>
      <c r="V1236" s="1"/>
      <c r="W1236" s="1"/>
      <c r="X1236" s="1"/>
      <c r="Y1236" s="1"/>
      <c r="Z1236" s="1"/>
      <c r="AA1236" s="1"/>
      <c r="AB1236" s="246"/>
    </row>
    <row r="1237" spans="2:28" ht="16.5" thickBot="1">
      <c r="B1237" s="11"/>
      <c r="C1237" s="326"/>
      <c r="D1237" s="15"/>
      <c r="E1237" s="474" t="s">
        <v>84</v>
      </c>
      <c r="F1237" s="7" t="s">
        <v>19</v>
      </c>
      <c r="G1237" s="475">
        <v>0</v>
      </c>
      <c r="H1237" s="270"/>
      <c r="I1237" s="12" t="s">
        <v>12</v>
      </c>
      <c r="J1237" s="404"/>
      <c r="K1237" s="15"/>
      <c r="L1237" s="298"/>
      <c r="M1237" s="1"/>
      <c r="N1237" s="1"/>
      <c r="O1237" s="1"/>
      <c r="P1237" s="1"/>
      <c r="Q1237" s="1"/>
      <c r="R1237" s="1"/>
      <c r="S1237" s="1"/>
      <c r="T1237" s="1"/>
      <c r="U1237" s="1"/>
      <c r="V1237" s="1"/>
      <c r="W1237" s="1"/>
      <c r="X1237" s="1"/>
      <c r="Y1237" s="1"/>
      <c r="Z1237" s="1"/>
      <c r="AA1237" s="1"/>
      <c r="AB1237" s="246"/>
    </row>
    <row r="1238" spans="2:28" ht="16.5" thickBot="1">
      <c r="B1238" s="11"/>
      <c r="C1238" s="317"/>
      <c r="D1238" s="1"/>
      <c r="E1238" s="451" t="s">
        <v>85</v>
      </c>
      <c r="F1238" s="7" t="s">
        <v>86</v>
      </c>
      <c r="G1238" s="582">
        <v>10</v>
      </c>
      <c r="H1238" s="272"/>
      <c r="I1238" s="12" t="s">
        <v>12</v>
      </c>
      <c r="J1238" s="404"/>
      <c r="K1238" s="15"/>
      <c r="L1238" s="298"/>
      <c r="M1238" s="1"/>
      <c r="N1238" s="1"/>
      <c r="O1238" s="5" t="s">
        <v>87</v>
      </c>
      <c r="P1238" s="347" t="s">
        <v>6</v>
      </c>
      <c r="Q1238" s="411" t="s">
        <v>7</v>
      </c>
      <c r="R1238" s="15"/>
      <c r="S1238" s="1"/>
      <c r="T1238" s="412"/>
      <c r="U1238" s="677"/>
      <c r="V1238" s="1"/>
      <c r="W1238" s="1"/>
      <c r="X1238" s="1"/>
      <c r="Y1238" s="1"/>
      <c r="Z1238" s="1"/>
      <c r="AA1238" s="1"/>
      <c r="AB1238" s="246"/>
    </row>
    <row r="1239" spans="2:28" ht="16.5" thickBot="1">
      <c r="B1239" s="11"/>
      <c r="C1239" s="326"/>
      <c r="D1239" s="15"/>
      <c r="E1239" s="465" t="s">
        <v>88</v>
      </c>
      <c r="F1239" s="466" t="s">
        <v>19</v>
      </c>
      <c r="G1239" s="475">
        <v>0</v>
      </c>
      <c r="H1239" s="278"/>
      <c r="I1239" s="12" t="s">
        <v>12</v>
      </c>
      <c r="J1239" s="403"/>
      <c r="K1239" s="15"/>
      <c r="L1239" s="298"/>
      <c r="M1239" s="374"/>
      <c r="N1239" s="1"/>
      <c r="O1239" s="568" t="s">
        <v>89</v>
      </c>
      <c r="P1239" s="569"/>
      <c r="Q1239" s="570" t="s">
        <v>90</v>
      </c>
      <c r="R1239" s="1"/>
      <c r="S1239" s="12" t="s">
        <v>12</v>
      </c>
      <c r="T1239" s="1"/>
      <c r="U1239" s="1"/>
      <c r="V1239" s="1"/>
      <c r="W1239" s="1"/>
      <c r="X1239" s="1"/>
      <c r="Y1239" s="1"/>
      <c r="Z1239" s="1"/>
      <c r="AA1239" s="1"/>
      <c r="AB1239" s="246"/>
    </row>
    <row r="1240" spans="2:28" ht="15.75">
      <c r="B1240" s="11"/>
      <c r="C1240" s="369"/>
      <c r="D1240" s="1"/>
      <c r="E1240" s="483" t="s">
        <v>91</v>
      </c>
      <c r="F1240" s="6" t="s">
        <v>19</v>
      </c>
      <c r="G1240" s="470">
        <v>3.5090000000000003E-2</v>
      </c>
      <c r="H1240" s="270"/>
      <c r="I1240" s="366" t="s">
        <v>12</v>
      </c>
      <c r="J1240" s="403"/>
      <c r="K1240" s="15"/>
      <c r="L1240" s="298"/>
      <c r="M1240" s="369"/>
      <c r="N1240" s="1">
        <f>IF(OR(Q1240&lt;0,Q1240&gt;1),1,0)</f>
        <v>0</v>
      </c>
      <c r="O1240" s="458" t="s">
        <v>92</v>
      </c>
      <c r="P1240" s="450" t="s">
        <v>19</v>
      </c>
      <c r="Q1240" s="600">
        <v>0</v>
      </c>
      <c r="R1240" s="15">
        <f>IF(OR($Q$35="Performance-Based",$Q$35="Neither"),1,0)</f>
        <v>1</v>
      </c>
      <c r="S1240" s="12" t="s">
        <v>12</v>
      </c>
      <c r="T1240" s="15"/>
      <c r="U1240" s="1"/>
      <c r="V1240" s="1"/>
      <c r="W1240" s="1"/>
      <c r="X1240" s="1"/>
      <c r="Y1240" s="1"/>
      <c r="Z1240" s="1"/>
      <c r="AA1240" s="1"/>
      <c r="AB1240" s="246"/>
    </row>
    <row r="1241" spans="2:28" ht="15.75">
      <c r="B1241" s="11"/>
      <c r="C1241" s="1"/>
      <c r="D1241" s="1"/>
      <c r="E1241" s="451" t="s">
        <v>93</v>
      </c>
      <c r="F1241" s="7" t="s">
        <v>47</v>
      </c>
      <c r="G1241" s="467"/>
      <c r="H1241" s="275"/>
      <c r="I1241" s="366" t="s">
        <v>12</v>
      </c>
      <c r="J1241" s="403"/>
      <c r="K1241" s="15"/>
      <c r="L1241" s="298"/>
      <c r="M1241" s="369"/>
      <c r="N1241" s="1">
        <f>IF(OR(Q1241&lt;0,Q1241&gt;1),1,0)</f>
        <v>0</v>
      </c>
      <c r="O1241" s="453" t="s">
        <v>94</v>
      </c>
      <c r="P1241" s="7" t="s">
        <v>19</v>
      </c>
      <c r="Q1241" s="601">
        <v>0</v>
      </c>
      <c r="R1241" s="15"/>
      <c r="S1241" s="12" t="s">
        <v>12</v>
      </c>
      <c r="T1241" s="15"/>
      <c r="U1241" s="15"/>
      <c r="V1241" s="1"/>
      <c r="W1241" s="1"/>
      <c r="X1241" s="1"/>
      <c r="Y1241" s="1"/>
      <c r="Z1241" s="1"/>
      <c r="AA1241" s="1"/>
      <c r="AB1241" s="246"/>
    </row>
    <row r="1242" spans="2:28" ht="15.75">
      <c r="B1242" s="11"/>
      <c r="C1242" s="369"/>
      <c r="D1242" s="1"/>
      <c r="E1242" s="468" t="s">
        <v>95</v>
      </c>
      <c r="F1242" s="6" t="s">
        <v>96</v>
      </c>
      <c r="G1242" s="469">
        <v>24000</v>
      </c>
      <c r="H1242" s="288"/>
      <c r="I1242" s="366" t="s">
        <v>12</v>
      </c>
      <c r="J1242" s="404"/>
      <c r="K1242" s="15"/>
      <c r="L1242" s="298"/>
      <c r="M1242" s="369"/>
      <c r="N1242" s="1">
        <f>IF(OR(Q1242&lt;1,Q1242&gt;G1216),1,0)</f>
        <v>1</v>
      </c>
      <c r="O1242" s="451" t="s">
        <v>97</v>
      </c>
      <c r="P1242" s="8" t="s">
        <v>71</v>
      </c>
      <c r="Q1242" s="602">
        <v>0</v>
      </c>
      <c r="R1242" s="15"/>
      <c r="S1242" s="12" t="s">
        <v>12</v>
      </c>
      <c r="T1242" s="1"/>
      <c r="U1242" s="678"/>
      <c r="V1242" s="1"/>
      <c r="W1242" s="1"/>
      <c r="X1242" s="1"/>
      <c r="Y1242" s="1"/>
      <c r="Z1242" s="1"/>
      <c r="AA1242" s="1"/>
      <c r="AB1242" s="246"/>
    </row>
    <row r="1243" spans="2:28" ht="16.5" thickBot="1">
      <c r="B1243" s="11"/>
      <c r="C1243" s="369"/>
      <c r="D1243" s="1"/>
      <c r="E1243" s="451" t="s">
        <v>98</v>
      </c>
      <c r="F1243" s="6" t="s">
        <v>33</v>
      </c>
      <c r="G1243" s="603">
        <v>5</v>
      </c>
      <c r="H1243" s="288"/>
      <c r="I1243" s="366" t="s">
        <v>12</v>
      </c>
      <c r="J1243" s="403"/>
      <c r="K1243" s="15"/>
      <c r="L1243" s="11"/>
      <c r="M1243" s="1"/>
      <c r="N1243" s="1"/>
      <c r="O1243" s="455" t="s">
        <v>50</v>
      </c>
      <c r="P1243" s="456" t="s">
        <v>47</v>
      </c>
      <c r="Q1243" s="572">
        <v>0</v>
      </c>
      <c r="R1243" s="1"/>
      <c r="S1243" s="12" t="s">
        <v>12</v>
      </c>
      <c r="T1243" s="1"/>
      <c r="U1243" s="1"/>
      <c r="V1243" s="1"/>
      <c r="W1243" s="1"/>
      <c r="X1243" s="1"/>
      <c r="Y1243" s="1"/>
      <c r="Z1243" s="1"/>
      <c r="AA1243" s="1"/>
      <c r="AB1243" s="246"/>
    </row>
    <row r="1244" spans="2:28" ht="15.75">
      <c r="B1244" s="11"/>
      <c r="C1244" s="369"/>
      <c r="D1244" s="1"/>
      <c r="E1244" s="451" t="s">
        <v>43</v>
      </c>
      <c r="F1244" s="6" t="s">
        <v>19</v>
      </c>
      <c r="G1244" s="583">
        <v>0</v>
      </c>
      <c r="H1244" s="1"/>
      <c r="I1244" s="366" t="s">
        <v>12</v>
      </c>
      <c r="J1244" s="403"/>
      <c r="K1244" s="15"/>
      <c r="L1244" s="298"/>
      <c r="M1244" s="374"/>
      <c r="N1244" s="1"/>
      <c r="O1244" s="483" t="s">
        <v>99</v>
      </c>
      <c r="P1244" s="6"/>
      <c r="Q1244" s="571" t="s">
        <v>66</v>
      </c>
      <c r="R1244" s="15">
        <f>IF(OR($Q$35="Cost-Based",$Q$35="Neither"),1,0)</f>
        <v>1</v>
      </c>
      <c r="S1244" s="12" t="s">
        <v>12</v>
      </c>
      <c r="T1244" s="15"/>
      <c r="U1244" s="21"/>
      <c r="V1244" s="1"/>
      <c r="W1244" s="1"/>
      <c r="X1244" s="1"/>
      <c r="Y1244" s="1"/>
      <c r="Z1244" s="1"/>
      <c r="AA1244" s="1"/>
      <c r="AB1244" s="246"/>
    </row>
    <row r="1245" spans="2:28" ht="15.75">
      <c r="B1245" s="11"/>
      <c r="C1245" s="369"/>
      <c r="D1245" s="1"/>
      <c r="E1245" s="451" t="s">
        <v>100</v>
      </c>
      <c r="F1245" s="6" t="s">
        <v>96</v>
      </c>
      <c r="G1245" s="469">
        <v>8750</v>
      </c>
      <c r="H1245" s="288"/>
      <c r="I1245" s="366" t="s">
        <v>12</v>
      </c>
      <c r="J1245" s="403"/>
      <c r="K1245" s="15"/>
      <c r="L1245" s="298"/>
      <c r="M1245" s="374"/>
      <c r="N1245" s="1"/>
      <c r="O1245" s="451" t="s">
        <v>101</v>
      </c>
      <c r="P1245" s="8"/>
      <c r="Q1245" s="511" t="s">
        <v>102</v>
      </c>
      <c r="R1245" s="346">
        <f>IF(OR($Q$35="Cost-Based",$Q$35="Neither",$Q$40="Tax Credit"),1,0)</f>
        <v>1</v>
      </c>
      <c r="S1245" s="12" t="s">
        <v>12</v>
      </c>
      <c r="T1245" s="1"/>
      <c r="U1245" s="21"/>
      <c r="V1245" s="1"/>
      <c r="W1245" s="1"/>
      <c r="X1245" s="1"/>
      <c r="Y1245" s="1"/>
      <c r="Z1245" s="1"/>
      <c r="AA1245" s="1"/>
      <c r="AB1245" s="246"/>
    </row>
    <row r="1246" spans="2:28" ht="15.75">
      <c r="B1246" s="11"/>
      <c r="C1246" s="369"/>
      <c r="D1246" s="1"/>
      <c r="E1246" s="453" t="s">
        <v>103</v>
      </c>
      <c r="F1246" s="6" t="s">
        <v>19</v>
      </c>
      <c r="G1246" s="470">
        <v>0</v>
      </c>
      <c r="H1246" s="270"/>
      <c r="I1246" s="366" t="s">
        <v>12</v>
      </c>
      <c r="J1246" s="403"/>
      <c r="K1246" s="15"/>
      <c r="L1246" s="298"/>
      <c r="M1246" s="369"/>
      <c r="N1246" s="1"/>
      <c r="O1246" s="451" t="s">
        <v>68</v>
      </c>
      <c r="P1246" s="55" t="s">
        <v>39</v>
      </c>
      <c r="Q1246" s="512">
        <v>1.5</v>
      </c>
      <c r="R1246" s="21"/>
      <c r="S1246" s="12" t="s">
        <v>12</v>
      </c>
      <c r="T1246" s="346"/>
      <c r="U1246" s="679"/>
      <c r="V1246" s="1"/>
      <c r="W1246" s="1"/>
      <c r="X1246" s="1"/>
      <c r="Y1246" s="1"/>
      <c r="Z1246" s="1"/>
      <c r="AA1246" s="1"/>
      <c r="AB1246" s="246"/>
    </row>
    <row r="1247" spans="2:28" ht="16.5" thickBot="1">
      <c r="B1247" s="11"/>
      <c r="C1247" s="1"/>
      <c r="D1247" s="1"/>
      <c r="E1247" s="455"/>
      <c r="F1247" s="466"/>
      <c r="G1247" s="471"/>
      <c r="H1247" s="275"/>
      <c r="I1247" s="366" t="s">
        <v>12</v>
      </c>
      <c r="J1247" s="246"/>
      <c r="K1247" s="15"/>
      <c r="L1247" s="298"/>
      <c r="M1247" s="369"/>
      <c r="N1247" s="1">
        <f>IF(OR(Q1247&lt;0,Q1247&gt;G1216),1,0)</f>
        <v>0</v>
      </c>
      <c r="O1247" s="451" t="s">
        <v>70</v>
      </c>
      <c r="P1247" s="8" t="s">
        <v>71</v>
      </c>
      <c r="Q1247" s="464">
        <v>10</v>
      </c>
      <c r="R1247" s="21"/>
      <c r="S1247" s="12" t="s">
        <v>12</v>
      </c>
      <c r="T1247" s="1"/>
      <c r="U1247" s="21"/>
      <c r="V1247" s="1"/>
      <c r="W1247" s="1"/>
      <c r="X1247" s="1"/>
      <c r="Y1247" s="1"/>
      <c r="Z1247" s="1"/>
      <c r="AA1247" s="1"/>
      <c r="AB1247" s="246"/>
    </row>
    <row r="1248" spans="2:28" ht="16.5" thickBot="1">
      <c r="B1248" s="11"/>
      <c r="C1248" s="327"/>
      <c r="D1248" s="1"/>
      <c r="E1248" s="1"/>
      <c r="F1248" s="1"/>
      <c r="G1248" s="1"/>
      <c r="H1248" s="1"/>
      <c r="I1248" s="17"/>
      <c r="J1248" s="403"/>
      <c r="K1248" s="15"/>
      <c r="L1248" s="298"/>
      <c r="M1248" s="369"/>
      <c r="N1248" s="1"/>
      <c r="O1248" s="451" t="s">
        <v>72</v>
      </c>
      <c r="P1248" s="6" t="s">
        <v>19</v>
      </c>
      <c r="Q1248" s="497">
        <v>0.02</v>
      </c>
      <c r="R1248" s="15"/>
      <c r="S1248" s="12" t="s">
        <v>12</v>
      </c>
      <c r="T1248" s="346"/>
      <c r="U1248" s="21"/>
      <c r="V1248" s="1"/>
      <c r="W1248" s="1"/>
      <c r="X1248" s="1"/>
      <c r="Y1248" s="1"/>
      <c r="Z1248" s="1"/>
      <c r="AA1248" s="1"/>
      <c r="AB1248" s="246"/>
    </row>
    <row r="1249" spans="2:28" ht="16.5" thickBot="1">
      <c r="B1249" s="11"/>
      <c r="C1249" s="327"/>
      <c r="D1249" s="1"/>
      <c r="E1249" s="5" t="s">
        <v>104</v>
      </c>
      <c r="F1249" s="347" t="s">
        <v>6</v>
      </c>
      <c r="G1249" s="411" t="s">
        <v>7</v>
      </c>
      <c r="H1249" s="289"/>
      <c r="I1249" s="17"/>
      <c r="J1249" s="403"/>
      <c r="K1249" s="15"/>
      <c r="L1249" s="298"/>
      <c r="M1249" s="369"/>
      <c r="N1249" s="1">
        <f>IF(OR(Q1249&lt;0,Q1249&gt;1),1,0)</f>
        <v>0</v>
      </c>
      <c r="O1249" s="455" t="s">
        <v>105</v>
      </c>
      <c r="P1249" s="462" t="s">
        <v>19</v>
      </c>
      <c r="Q1249" s="523">
        <v>1</v>
      </c>
      <c r="R1249" s="15"/>
      <c r="S1249" s="12" t="s">
        <v>12</v>
      </c>
      <c r="T1249" s="21"/>
      <c r="U1249" s="15"/>
      <c r="V1249" s="1"/>
      <c r="W1249" s="1"/>
      <c r="X1249" s="1"/>
      <c r="Y1249" s="1"/>
      <c r="Z1249" s="1"/>
      <c r="AA1249" s="1"/>
      <c r="AB1249" s="246"/>
    </row>
    <row r="1250" spans="2:28" ht="16.5" thickBot="1">
      <c r="B1250" s="11"/>
      <c r="C1250" s="372"/>
      <c r="D1250" s="1"/>
      <c r="E1250" s="463" t="s">
        <v>106</v>
      </c>
      <c r="F1250" s="450" t="s">
        <v>107</v>
      </c>
      <c r="G1250" s="556">
        <v>0</v>
      </c>
      <c r="H1250" s="289"/>
      <c r="I1250" s="12" t="s">
        <v>12</v>
      </c>
      <c r="J1250" s="403"/>
      <c r="K1250" s="15"/>
      <c r="L1250" s="298"/>
      <c r="M1250" s="15"/>
      <c r="N1250" s="15"/>
      <c r="O1250" s="524" t="s">
        <v>108</v>
      </c>
      <c r="P1250" s="525"/>
      <c r="Q1250" s="526" t="s">
        <v>76</v>
      </c>
      <c r="R1250" s="15">
        <f>IF($Q$35="Neither",1,0)</f>
        <v>1</v>
      </c>
      <c r="S1250" s="12" t="s">
        <v>12</v>
      </c>
      <c r="T1250" s="21"/>
      <c r="U1250" s="15"/>
      <c r="V1250" s="1"/>
      <c r="W1250" s="1"/>
      <c r="X1250" s="1"/>
      <c r="Y1250" s="1"/>
      <c r="Z1250" s="1"/>
      <c r="AA1250" s="1"/>
      <c r="AB1250" s="246"/>
    </row>
    <row r="1251" spans="2:28" ht="16.5" thickBot="1">
      <c r="B1251" s="11"/>
      <c r="C1251" s="372"/>
      <c r="D1251" s="1"/>
      <c r="E1251" s="474" t="s">
        <v>109</v>
      </c>
      <c r="F1251" s="7" t="s">
        <v>19</v>
      </c>
      <c r="G1251" s="548">
        <v>0</v>
      </c>
      <c r="H1251" s="289"/>
      <c r="I1251" s="12" t="s">
        <v>12</v>
      </c>
      <c r="J1251" s="403"/>
      <c r="K1251" s="15"/>
      <c r="L1251" s="11"/>
      <c r="M1251" s="1"/>
      <c r="N1251" s="1"/>
      <c r="O1251" s="415"/>
      <c r="P1251" s="267"/>
      <c r="Q1251" s="297"/>
      <c r="R1251" s="1"/>
      <c r="S1251" s="1"/>
      <c r="T1251" s="1"/>
      <c r="U1251" s="15"/>
      <c r="V1251" s="1"/>
      <c r="W1251" s="1"/>
      <c r="X1251" s="1"/>
      <c r="Y1251" s="1"/>
      <c r="Z1251" s="1"/>
      <c r="AA1251" s="1"/>
      <c r="AB1251" s="246"/>
    </row>
    <row r="1252" spans="2:28" ht="16.5" thickBot="1">
      <c r="B1252" s="11"/>
      <c r="C1252" s="327"/>
      <c r="D1252" s="1"/>
      <c r="E1252" s="465" t="s">
        <v>110</v>
      </c>
      <c r="F1252" s="456" t="s">
        <v>47</v>
      </c>
      <c r="G1252" s="471"/>
      <c r="H1252" s="289"/>
      <c r="I1252" s="12" t="s">
        <v>12</v>
      </c>
      <c r="J1252" s="403"/>
      <c r="K1252" s="15"/>
      <c r="L1252" s="298"/>
      <c r="M1252" s="369"/>
      <c r="N1252" s="15"/>
      <c r="O1252" s="515" t="s">
        <v>111</v>
      </c>
      <c r="P1252" s="450" t="s">
        <v>47</v>
      </c>
      <c r="Q1252" s="516">
        <v>0</v>
      </c>
      <c r="R1252" s="1"/>
      <c r="S1252" s="12" t="s">
        <v>12</v>
      </c>
      <c r="T1252" s="15"/>
      <c r="U1252" s="15"/>
      <c r="V1252" s="1"/>
      <c r="W1252" s="1"/>
      <c r="X1252" s="1"/>
      <c r="Y1252" s="1"/>
      <c r="Z1252" s="1"/>
      <c r="AA1252" s="1"/>
      <c r="AB1252" s="246"/>
    </row>
    <row r="1253" spans="2:28" ht="16.5" thickBot="1">
      <c r="B1253" s="11"/>
      <c r="C1253" s="1"/>
      <c r="D1253" s="1"/>
      <c r="E1253" s="1"/>
      <c r="F1253" s="1"/>
      <c r="G1253" s="182"/>
      <c r="H1253" s="182"/>
      <c r="I1253" s="17"/>
      <c r="J1253" s="403"/>
      <c r="K1253" s="15"/>
      <c r="L1253" s="298"/>
      <c r="M1253" s="374"/>
      <c r="N1253" s="1"/>
      <c r="O1253" s="455" t="s">
        <v>112</v>
      </c>
      <c r="P1253" s="466"/>
      <c r="Q1253" s="517" t="s">
        <v>83</v>
      </c>
      <c r="R1253" s="21"/>
      <c r="S1253" s="12" t="s">
        <v>12</v>
      </c>
      <c r="T1253" s="15"/>
      <c r="U1253" s="15"/>
      <c r="V1253" s="1"/>
      <c r="W1253" s="1"/>
      <c r="X1253" s="1"/>
      <c r="Y1253" s="1"/>
      <c r="Z1253" s="1"/>
      <c r="AA1253" s="1"/>
      <c r="AB1253" s="246"/>
    </row>
    <row r="1254" spans="2:28" ht="16.5" thickBot="1">
      <c r="B1254" s="11"/>
      <c r="C1254" s="327"/>
      <c r="D1254" s="1"/>
      <c r="E1254" s="480" t="s">
        <v>113</v>
      </c>
      <c r="F1254" s="481" t="s">
        <v>6</v>
      </c>
      <c r="G1254" s="482" t="s">
        <v>7</v>
      </c>
      <c r="H1254" s="289"/>
      <c r="I1254" s="405"/>
      <c r="J1254" s="403"/>
      <c r="K1254" s="15"/>
      <c r="L1254" s="298"/>
      <c r="M1254" s="1"/>
      <c r="N1254" s="1"/>
      <c r="O1254" s="1"/>
      <c r="P1254" s="1"/>
      <c r="Q1254" s="1"/>
      <c r="R1254" s="1"/>
      <c r="S1254" s="1"/>
      <c r="T1254" s="15"/>
      <c r="U1254" s="300"/>
      <c r="V1254" s="1"/>
      <c r="W1254" s="1"/>
      <c r="X1254" s="1"/>
      <c r="Y1254" s="1"/>
      <c r="Z1254" s="1"/>
      <c r="AA1254" s="1"/>
      <c r="AB1254" s="246"/>
    </row>
    <row r="1255" spans="2:28" ht="16.5" thickBot="1">
      <c r="B1255" s="11"/>
      <c r="C1255" s="369"/>
      <c r="D1255" s="1">
        <f>IF(OR(G1255="",G1255&lt;0,G1255&gt;1),1,0)</f>
        <v>0</v>
      </c>
      <c r="E1255" s="449" t="s">
        <v>114</v>
      </c>
      <c r="F1255" s="450" t="s">
        <v>19</v>
      </c>
      <c r="G1255" s="476">
        <v>0.48</v>
      </c>
      <c r="H1255" s="290"/>
      <c r="I1255" s="12" t="s">
        <v>12</v>
      </c>
      <c r="J1255" s="404"/>
      <c r="K1255" s="15"/>
      <c r="L1255" s="298"/>
      <c r="M1255" s="15"/>
      <c r="N1255" s="15"/>
      <c r="O1255" s="5" t="s">
        <v>115</v>
      </c>
      <c r="P1255" s="22"/>
      <c r="Q1255" s="411"/>
      <c r="R1255" s="15"/>
      <c r="S1255" s="15"/>
      <c r="T1255" s="15"/>
      <c r="U1255" s="15"/>
      <c r="V1255" s="1"/>
      <c r="W1255" s="1"/>
      <c r="X1255" s="1"/>
      <c r="Y1255" s="1"/>
      <c r="Z1255" s="1"/>
      <c r="AA1255" s="1"/>
      <c r="AB1255" s="246"/>
    </row>
    <row r="1256" spans="2:28" ht="15.75">
      <c r="B1256" s="11"/>
      <c r="C1256" s="369"/>
      <c r="D1256" s="1">
        <f>IF(OR(G1256&lt;=0,G1256&gt;G1216),1,0)</f>
        <v>0</v>
      </c>
      <c r="E1256" s="451" t="s">
        <v>116</v>
      </c>
      <c r="F1256" s="7" t="s">
        <v>14</v>
      </c>
      <c r="G1256" s="464">
        <v>20</v>
      </c>
      <c r="H1256" s="272"/>
      <c r="I1256" s="12" t="s">
        <v>12</v>
      </c>
      <c r="J1256" s="404"/>
      <c r="K1256" s="15"/>
      <c r="L1256" s="298"/>
      <c r="M1256" s="375"/>
      <c r="N1256" s="15">
        <f>IF(OR(Q1256&lt;1,Q1256&gt;$G$12),1,0)</f>
        <v>0</v>
      </c>
      <c r="O1256" s="463" t="s">
        <v>117</v>
      </c>
      <c r="P1256" s="459" t="s">
        <v>86</v>
      </c>
      <c r="Q1256" s="556">
        <v>10</v>
      </c>
      <c r="R1256" s="15"/>
      <c r="S1256" s="12" t="s">
        <v>12</v>
      </c>
      <c r="T1256" s="15"/>
      <c r="U1256" s="15"/>
      <c r="V1256" s="1"/>
      <c r="W1256" s="1"/>
      <c r="X1256" s="1"/>
      <c r="Y1256" s="1"/>
      <c r="Z1256" s="1"/>
      <c r="AA1256" s="1"/>
      <c r="AB1256" s="246"/>
    </row>
    <row r="1257" spans="2:28" ht="16.5" thickBot="1">
      <c r="B1257" s="11"/>
      <c r="C1257" s="372"/>
      <c r="D1257" s="1">
        <f>IF(OR(G1257&lt;0,G1257=""),1,0)</f>
        <v>0</v>
      </c>
      <c r="E1257" s="451" t="s">
        <v>118</v>
      </c>
      <c r="F1257" s="7" t="s">
        <v>19</v>
      </c>
      <c r="G1257" s="485">
        <v>8.0472635274679905E-2</v>
      </c>
      <c r="H1257" s="291"/>
      <c r="I1257" s="12" t="s">
        <v>12</v>
      </c>
      <c r="J1257" s="404"/>
      <c r="K1257" s="15"/>
      <c r="L1257" s="298"/>
      <c r="M1257" s="326"/>
      <c r="N1257" s="15"/>
      <c r="O1257" s="465" t="s">
        <v>119</v>
      </c>
      <c r="P1257" s="456" t="str">
        <f>$F$16</f>
        <v>$/kW</v>
      </c>
      <c r="Q1257" s="531">
        <v>586</v>
      </c>
      <c r="R1257" s="15"/>
      <c r="S1257" s="12" t="s">
        <v>12</v>
      </c>
      <c r="T1257" s="15"/>
      <c r="U1257" s="15"/>
      <c r="V1257" s="1"/>
      <c r="W1257" s="1"/>
      <c r="X1257" s="1"/>
      <c r="Y1257" s="1"/>
      <c r="Z1257" s="1"/>
      <c r="AA1257" s="1"/>
      <c r="AB1257" s="246"/>
    </row>
    <row r="1258" spans="2:28" ht="16.5" thickBot="1">
      <c r="B1258" s="11"/>
      <c r="C1258" s="369"/>
      <c r="D1258" s="1">
        <f>IF(OR(G1258&lt;0,G1258=""),1,0)</f>
        <v>0</v>
      </c>
      <c r="E1258" s="486" t="s">
        <v>120</v>
      </c>
      <c r="F1258" s="466" t="s">
        <v>19</v>
      </c>
      <c r="G1258" s="487">
        <v>1.8749999999999999E-2</v>
      </c>
      <c r="H1258" s="270"/>
      <c r="I1258" s="12" t="s">
        <v>12</v>
      </c>
      <c r="J1258" s="403"/>
      <c r="K1258" s="15"/>
      <c r="L1258" s="298"/>
      <c r="M1258" s="375"/>
      <c r="N1258" s="15">
        <f>IF(OR(Q1258&lt;Q1256,Q1258&gt;$G$12),1,0)</f>
        <v>0</v>
      </c>
      <c r="O1258" s="529" t="s">
        <v>121</v>
      </c>
      <c r="P1258" s="24" t="s">
        <v>86</v>
      </c>
      <c r="Q1258" s="530">
        <v>20</v>
      </c>
      <c r="R1258" s="15"/>
      <c r="S1258" s="12" t="s">
        <v>12</v>
      </c>
      <c r="T1258" s="15"/>
      <c r="U1258" s="15"/>
      <c r="V1258" s="1"/>
      <c r="W1258" s="1"/>
      <c r="X1258" s="1"/>
      <c r="Y1258" s="1"/>
      <c r="Z1258" s="1"/>
      <c r="AA1258" s="1"/>
      <c r="AB1258" s="246"/>
    </row>
    <row r="1259" spans="2:28" ht="16.5" thickBot="1">
      <c r="B1259" s="11"/>
      <c r="C1259" s="369"/>
      <c r="D1259" s="1"/>
      <c r="E1259" s="483" t="s">
        <v>122</v>
      </c>
      <c r="F1259" s="24"/>
      <c r="G1259" s="484">
        <v>1</v>
      </c>
      <c r="H1259" s="279"/>
      <c r="I1259" s="12" t="s">
        <v>12</v>
      </c>
      <c r="J1259" s="403"/>
      <c r="K1259" s="15"/>
      <c r="L1259" s="298"/>
      <c r="M1259" s="326"/>
      <c r="N1259" s="15"/>
      <c r="O1259" s="465" t="s">
        <v>123</v>
      </c>
      <c r="P1259" s="456" t="str">
        <f>$F$16</f>
        <v>$/kW</v>
      </c>
      <c r="Q1259" s="531">
        <v>586</v>
      </c>
      <c r="R1259" s="15"/>
      <c r="S1259" s="12" t="s">
        <v>12</v>
      </c>
      <c r="T1259" s="15"/>
      <c r="U1259" s="15"/>
      <c r="V1259" s="1"/>
      <c r="W1259" s="1"/>
      <c r="X1259" s="1"/>
      <c r="Y1259" s="1"/>
      <c r="Z1259" s="1"/>
      <c r="AA1259" s="1"/>
      <c r="AB1259" s="246"/>
    </row>
    <row r="1260" spans="2:28" ht="15.75">
      <c r="B1260" s="11"/>
      <c r="C1260" s="1"/>
      <c r="D1260" s="1"/>
      <c r="E1260" s="451" t="s">
        <v>124</v>
      </c>
      <c r="F1260" s="248">
        <f>MAX('[2]Cash Flow'!G1249:AJ1249)</f>
        <v>0</v>
      </c>
      <c r="G1260" s="477"/>
      <c r="H1260" s="280"/>
      <c r="I1260" s="12" t="s">
        <v>12</v>
      </c>
      <c r="J1260" s="403"/>
      <c r="K1260" s="15"/>
      <c r="L1260" s="298"/>
      <c r="M1260" s="375"/>
      <c r="N1260" s="15">
        <f>IF(OR(Q1260&lt;Q1258,Q1260&gt;$G$12),1,0)</f>
        <v>1</v>
      </c>
      <c r="O1260" s="474" t="s">
        <v>125</v>
      </c>
      <c r="P1260" s="8" t="s">
        <v>86</v>
      </c>
      <c r="Q1260" s="530">
        <v>12</v>
      </c>
      <c r="R1260" s="15"/>
      <c r="S1260" s="12" t="s">
        <v>12</v>
      </c>
      <c r="T1260" s="15"/>
      <c r="U1260" s="15"/>
      <c r="V1260" s="1"/>
      <c r="W1260" s="1"/>
      <c r="X1260" s="1"/>
      <c r="Y1260" s="1"/>
      <c r="Z1260" s="1"/>
      <c r="AA1260" s="1"/>
      <c r="AB1260" s="246"/>
    </row>
    <row r="1261" spans="2:28" ht="16.5" thickBot="1">
      <c r="B1261" s="11"/>
      <c r="C1261" s="369"/>
      <c r="D1261" s="1"/>
      <c r="E1261" s="451" t="s">
        <v>126</v>
      </c>
      <c r="F1261" s="8" t="s">
        <v>127</v>
      </c>
      <c r="G1261" s="478"/>
      <c r="H1261" s="406"/>
      <c r="I1261" s="12" t="s">
        <v>12</v>
      </c>
      <c r="J1261" s="404"/>
      <c r="K1261" s="15"/>
      <c r="L1261" s="298"/>
      <c r="M1261" s="326"/>
      <c r="N1261" s="15"/>
      <c r="O1261" s="465" t="s">
        <v>128</v>
      </c>
      <c r="P1261" s="456" t="str">
        <f>$F$16</f>
        <v>$/kW</v>
      </c>
      <c r="Q1261" s="531">
        <v>0</v>
      </c>
      <c r="R1261" s="15"/>
      <c r="S1261" s="12" t="s">
        <v>12</v>
      </c>
      <c r="T1261" s="1"/>
      <c r="U1261" s="1"/>
      <c r="V1261" s="1"/>
      <c r="W1261" s="1"/>
      <c r="X1261" s="1"/>
      <c r="Y1261" s="1"/>
      <c r="Z1261" s="1"/>
      <c r="AA1261" s="1"/>
      <c r="AB1261" s="246"/>
    </row>
    <row r="1262" spans="2:28" ht="15.75">
      <c r="B1262" s="11"/>
      <c r="C1262" s="369"/>
      <c r="D1262" s="1"/>
      <c r="E1262" s="451" t="s">
        <v>129</v>
      </c>
      <c r="F1262" s="8"/>
      <c r="G1262" s="680">
        <v>1.35</v>
      </c>
      <c r="H1262" s="279"/>
      <c r="I1262" s="12" t="s">
        <v>12</v>
      </c>
      <c r="J1262" s="403"/>
      <c r="K1262" s="15"/>
      <c r="L1262" s="298"/>
      <c r="M1262" s="375"/>
      <c r="N1262" s="15">
        <f>IF(OR(Q1262&lt;Q1260,Q1262&gt;$G$12),1,0)</f>
        <v>0</v>
      </c>
      <c r="O1262" s="474" t="s">
        <v>130</v>
      </c>
      <c r="P1262" s="8" t="s">
        <v>86</v>
      </c>
      <c r="Q1262" s="530">
        <v>12</v>
      </c>
      <c r="R1262" s="15"/>
      <c r="S1262" s="12" t="s">
        <v>12</v>
      </c>
      <c r="T1262" s="1"/>
      <c r="U1262" s="1"/>
      <c r="V1262" s="1"/>
      <c r="W1262" s="1"/>
      <c r="X1262" s="1"/>
      <c r="Y1262" s="1"/>
      <c r="Z1262" s="1"/>
      <c r="AA1262" s="1"/>
      <c r="AB1262" s="246"/>
    </row>
    <row r="1263" spans="2:28" ht="16.5" thickBot="1">
      <c r="B1263" s="11"/>
      <c r="C1263" s="1"/>
      <c r="D1263" s="1"/>
      <c r="E1263" s="451" t="s">
        <v>131</v>
      </c>
      <c r="F1263" s="248"/>
      <c r="G1263" s="477"/>
      <c r="H1263" s="280"/>
      <c r="I1263" s="12" t="s">
        <v>12</v>
      </c>
      <c r="J1263" s="403"/>
      <c r="K1263" s="15"/>
      <c r="L1263" s="298"/>
      <c r="M1263" s="326"/>
      <c r="N1263" s="15"/>
      <c r="O1263" s="465" t="s">
        <v>132</v>
      </c>
      <c r="P1263" s="456" t="str">
        <f>$F$16</f>
        <v>$/kW</v>
      </c>
      <c r="Q1263" s="531">
        <v>0</v>
      </c>
      <c r="R1263" s="15"/>
      <c r="S1263" s="12" t="s">
        <v>12</v>
      </c>
      <c r="T1263" s="1"/>
      <c r="U1263" s="1"/>
      <c r="V1263" s="1"/>
      <c r="W1263" s="1"/>
      <c r="X1263" s="1"/>
      <c r="Y1263" s="1"/>
      <c r="Z1263" s="1"/>
      <c r="AA1263" s="1"/>
      <c r="AB1263" s="246"/>
    </row>
    <row r="1264" spans="2:28" ht="16.5" thickBot="1">
      <c r="B1264" s="11"/>
      <c r="C1264" s="369"/>
      <c r="D1264" s="1"/>
      <c r="E1264" s="455" t="s">
        <v>133</v>
      </c>
      <c r="F1264" s="456" t="s">
        <v>127</v>
      </c>
      <c r="G1264" s="479"/>
      <c r="H1264" s="406"/>
      <c r="I1264" s="12" t="s">
        <v>12</v>
      </c>
      <c r="J1264" s="403"/>
      <c r="K1264" s="15"/>
      <c r="L1264" s="298"/>
      <c r="M1264" s="1"/>
      <c r="N1264" s="1"/>
      <c r="O1264" s="1"/>
      <c r="P1264" s="1"/>
      <c r="Q1264" s="1"/>
      <c r="R1264" s="1"/>
      <c r="S1264" s="1"/>
      <c r="T1264" s="1"/>
      <c r="U1264" s="1"/>
      <c r="V1264" s="1"/>
      <c r="W1264" s="1"/>
      <c r="X1264" s="1"/>
      <c r="Y1264" s="1"/>
      <c r="Z1264" s="1"/>
      <c r="AA1264" s="1"/>
      <c r="AB1264" s="246"/>
    </row>
    <row r="1265" spans="2:28" ht="16.5" thickBot="1">
      <c r="B1265" s="11"/>
      <c r="C1265" s="1"/>
      <c r="D1265" s="1"/>
      <c r="E1265" s="449" t="s">
        <v>134</v>
      </c>
      <c r="F1265" s="450" t="s">
        <v>19</v>
      </c>
      <c r="G1265" s="488"/>
      <c r="H1265" s="292"/>
      <c r="I1265" s="12" t="s">
        <v>12</v>
      </c>
      <c r="J1265" s="403"/>
      <c r="K1265" s="15"/>
      <c r="L1265" s="298"/>
      <c r="M1265" s="15"/>
      <c r="N1265" s="15"/>
      <c r="O1265" s="5" t="s">
        <v>135</v>
      </c>
      <c r="P1265" s="347" t="s">
        <v>6</v>
      </c>
      <c r="Q1265" s="411" t="s">
        <v>7</v>
      </c>
      <c r="R1265" s="15"/>
      <c r="S1265" s="15"/>
      <c r="T1265" s="15"/>
      <c r="U1265" s="15"/>
      <c r="V1265" s="1"/>
      <c r="W1265" s="1"/>
      <c r="X1265" s="1"/>
      <c r="Y1265" s="1"/>
      <c r="Z1265" s="1"/>
      <c r="AA1265" s="1"/>
      <c r="AB1265" s="246"/>
    </row>
    <row r="1266" spans="2:28" ht="16.5" thickBot="1">
      <c r="B1266" s="11"/>
      <c r="C1266" s="369"/>
      <c r="D1266" s="1">
        <f>IF(OR(G1266&lt;0,G1266=""),1,0)</f>
        <v>0</v>
      </c>
      <c r="E1266" s="489" t="s">
        <v>136</v>
      </c>
      <c r="F1266" s="466" t="s">
        <v>19</v>
      </c>
      <c r="G1266" s="722">
        <v>0.10125000000000001</v>
      </c>
      <c r="H1266" s="291"/>
      <c r="I1266" s="12" t="s">
        <v>12</v>
      </c>
      <c r="J1266" s="403"/>
      <c r="K1266" s="15"/>
      <c r="L1266" s="298"/>
      <c r="M1266" s="15"/>
      <c r="N1266" s="15"/>
      <c r="O1266" s="532" t="s">
        <v>137</v>
      </c>
      <c r="P1266" s="533"/>
      <c r="Q1266" s="534"/>
      <c r="R1266" s="15"/>
      <c r="S1266" s="15"/>
      <c r="T1266" s="15"/>
      <c r="U1266" s="1"/>
      <c r="V1266" s="1"/>
      <c r="W1266" s="1"/>
      <c r="X1266" s="1"/>
      <c r="Y1266" s="1"/>
      <c r="Z1266" s="1"/>
      <c r="AA1266" s="1"/>
      <c r="AB1266" s="246"/>
    </row>
    <row r="1267" spans="2:28" ht="15.75">
      <c r="B1267" s="11"/>
      <c r="C1267" s="1"/>
      <c r="D1267" s="1"/>
      <c r="E1267" s="449" t="s">
        <v>138</v>
      </c>
      <c r="F1267" s="450" t="s">
        <v>19</v>
      </c>
      <c r="G1267" s="681"/>
      <c r="H1267" s="1"/>
      <c r="I1267" s="12" t="s">
        <v>12</v>
      </c>
      <c r="J1267" s="246"/>
      <c r="K1267" s="15"/>
      <c r="L1267" s="298"/>
      <c r="M1267" s="374"/>
      <c r="N1267" s="15"/>
      <c r="O1267" s="535" t="s">
        <v>139</v>
      </c>
      <c r="P1267" s="23"/>
      <c r="Q1267" s="511" t="s">
        <v>140</v>
      </c>
      <c r="R1267" s="15"/>
      <c r="S1267" s="12" t="s">
        <v>12</v>
      </c>
      <c r="T1267" s="15"/>
      <c r="U1267" s="15"/>
      <c r="V1267" s="1"/>
      <c r="W1267" s="1"/>
      <c r="X1267" s="1"/>
      <c r="Y1267" s="1"/>
      <c r="Z1267" s="1"/>
      <c r="AA1267" s="1"/>
      <c r="AB1267" s="246"/>
    </row>
    <row r="1268" spans="2:28" ht="16.5" thickBot="1">
      <c r="B1268" s="11"/>
      <c r="C1268" s="369"/>
      <c r="D1268" s="1"/>
      <c r="E1268" s="486" t="s">
        <v>141</v>
      </c>
      <c r="F1268" s="466" t="s">
        <v>47</v>
      </c>
      <c r="G1268" s="490">
        <v>0</v>
      </c>
      <c r="H1268" s="288"/>
      <c r="I1268" s="12" t="s">
        <v>12</v>
      </c>
      <c r="J1268" s="246"/>
      <c r="K1268" s="15"/>
      <c r="L1268" s="298"/>
      <c r="M1268" s="375"/>
      <c r="N1268" s="15"/>
      <c r="O1268" s="465" t="s">
        <v>142</v>
      </c>
      <c r="P1268" s="456" t="s">
        <v>47</v>
      </c>
      <c r="Q1268" s="588">
        <v>0</v>
      </c>
      <c r="R1268" s="15"/>
      <c r="S1268" s="12" t="s">
        <v>12</v>
      </c>
      <c r="T1268" s="15"/>
      <c r="U1268" s="385"/>
      <c r="V1268" s="1"/>
      <c r="W1268" s="1"/>
      <c r="X1268" s="1"/>
      <c r="Y1268" s="1"/>
      <c r="Z1268" s="1"/>
      <c r="AA1268" s="1"/>
      <c r="AB1268" s="246"/>
    </row>
    <row r="1269" spans="2:28" ht="16.5" thickBot="1">
      <c r="B1269" s="11"/>
      <c r="C1269" s="1"/>
      <c r="D1269" s="1"/>
      <c r="E1269" s="1"/>
      <c r="F1269" s="1"/>
      <c r="G1269" s="1"/>
      <c r="H1269" s="1"/>
      <c r="I1269" s="1"/>
      <c r="J1269" s="246"/>
      <c r="K1269" s="15"/>
      <c r="L1269" s="298"/>
      <c r="M1269" s="1"/>
      <c r="N1269" s="1"/>
      <c r="O1269" s="1"/>
      <c r="P1269" s="1"/>
      <c r="Q1269" s="1"/>
      <c r="R1269" s="1"/>
      <c r="S1269" s="1"/>
      <c r="T1269" s="1"/>
      <c r="U1269" s="385"/>
      <c r="V1269" s="1"/>
      <c r="W1269" s="1"/>
      <c r="X1269" s="1"/>
      <c r="Y1269" s="1"/>
      <c r="Z1269" s="1"/>
      <c r="AA1269" s="1"/>
      <c r="AB1269" s="246"/>
    </row>
    <row r="1270" spans="2:28" ht="16.5" thickBot="1">
      <c r="B1270" s="298"/>
      <c r="C1270" s="1"/>
      <c r="D1270" s="1"/>
      <c r="E1270" s="314" t="s">
        <v>143</v>
      </c>
      <c r="F1270" s="22"/>
      <c r="G1270" s="315"/>
      <c r="H1270" s="1"/>
      <c r="I1270" s="1"/>
      <c r="J1270" s="246"/>
      <c r="K1270" s="1"/>
      <c r="L1270" s="298"/>
      <c r="M1270" s="15"/>
      <c r="N1270" s="15"/>
      <c r="O1270" s="5" t="s">
        <v>144</v>
      </c>
      <c r="P1270" s="347" t="s">
        <v>6</v>
      </c>
      <c r="Q1270" s="411" t="s">
        <v>7</v>
      </c>
      <c r="R1270" s="15"/>
      <c r="S1270" s="15"/>
      <c r="T1270" s="15"/>
      <c r="U1270" s="378"/>
      <c r="V1270" s="1"/>
      <c r="W1270" s="1"/>
      <c r="X1270" s="1"/>
      <c r="Y1270" s="1"/>
      <c r="Z1270" s="1"/>
      <c r="AA1270" s="1"/>
      <c r="AB1270" s="246"/>
    </row>
    <row r="1271" spans="2:28" ht="15.75">
      <c r="B1271" s="298"/>
      <c r="C1271" s="1"/>
      <c r="D1271" s="1"/>
      <c r="E1271" s="449" t="s">
        <v>145</v>
      </c>
      <c r="F1271" s="574"/>
      <c r="G1271" s="491"/>
      <c r="H1271" s="1"/>
      <c r="I1271" s="12" t="s">
        <v>12</v>
      </c>
      <c r="J1271" s="246"/>
      <c r="K1271" s="15"/>
      <c r="L1271" s="298"/>
      <c r="M1271" s="15"/>
      <c r="N1271" s="15"/>
      <c r="O1271" s="536" t="s">
        <v>146</v>
      </c>
      <c r="P1271" s="527"/>
      <c r="Q1271" s="528"/>
      <c r="R1271" s="15"/>
      <c r="S1271" s="15"/>
      <c r="T1271" s="15"/>
      <c r="U1271" s="15"/>
      <c r="V1271" s="1"/>
      <c r="W1271" s="1"/>
      <c r="X1271" s="1"/>
      <c r="Y1271" s="1"/>
      <c r="Z1271" s="1"/>
      <c r="AA1271" s="1"/>
      <c r="AB1271" s="246"/>
    </row>
    <row r="1272" spans="2:28" ht="15.75">
      <c r="B1272" s="298"/>
      <c r="C1272" s="1"/>
      <c r="D1272" s="1"/>
      <c r="E1272" s="451" t="s">
        <v>147</v>
      </c>
      <c r="F1272" s="573"/>
      <c r="G1272" s="467"/>
      <c r="H1272" s="1"/>
      <c r="I1272" s="12" t="s">
        <v>12</v>
      </c>
      <c r="J1272" s="246"/>
      <c r="K1272" s="1"/>
      <c r="L1272" s="298"/>
      <c r="M1272" s="375"/>
      <c r="N1272" s="15"/>
      <c r="O1272" s="451" t="s">
        <v>148</v>
      </c>
      <c r="P1272" s="7" t="s">
        <v>107</v>
      </c>
      <c r="Q1272" s="584">
        <v>0</v>
      </c>
      <c r="R1272" s="15"/>
      <c r="S1272" s="12" t="s">
        <v>12</v>
      </c>
      <c r="T1272" s="15"/>
      <c r="U1272" s="15"/>
      <c r="V1272" s="1"/>
      <c r="W1272" s="1"/>
      <c r="X1272" s="1"/>
      <c r="Y1272" s="1"/>
      <c r="Z1272" s="1"/>
      <c r="AA1272" s="1"/>
      <c r="AB1272" s="246"/>
    </row>
    <row r="1273" spans="2:28" ht="16.5" thickBot="1">
      <c r="B1273" s="11"/>
      <c r="C1273" s="1"/>
      <c r="D1273" s="1"/>
      <c r="E1273" s="492" t="s">
        <v>149</v>
      </c>
      <c r="F1273" s="575"/>
      <c r="G1273" s="493"/>
      <c r="H1273" s="1"/>
      <c r="I1273" s="12" t="s">
        <v>12</v>
      </c>
      <c r="J1273" s="246"/>
      <c r="K1273" s="1"/>
      <c r="L1273" s="298"/>
      <c r="M1273" s="15"/>
      <c r="N1273" s="15"/>
      <c r="O1273" s="455" t="s">
        <v>150</v>
      </c>
      <c r="P1273" s="466" t="s">
        <v>47</v>
      </c>
      <c r="Q1273" s="537"/>
      <c r="R1273" s="15"/>
      <c r="S1273" s="12" t="s">
        <v>12</v>
      </c>
      <c r="T1273" s="15"/>
      <c r="U1273" s="15"/>
      <c r="V1273" s="1"/>
      <c r="W1273" s="1"/>
      <c r="X1273" s="1"/>
      <c r="Y1273" s="1"/>
      <c r="Z1273" s="1"/>
      <c r="AA1273" s="1"/>
      <c r="AB1273" s="246"/>
    </row>
    <row r="1274" spans="2:28" ht="17.25" thickTop="1" thickBot="1">
      <c r="B1274" s="298"/>
      <c r="C1274" s="1"/>
      <c r="D1274" s="1"/>
      <c r="E1274" s="494" t="s">
        <v>44</v>
      </c>
      <c r="F1274" s="462" t="s">
        <v>47</v>
      </c>
      <c r="G1274" s="495"/>
      <c r="H1274" s="1"/>
      <c r="I1274" s="12" t="s">
        <v>12</v>
      </c>
      <c r="J1274" s="246"/>
      <c r="K1274" s="1"/>
      <c r="L1274" s="298"/>
      <c r="M1274" s="15"/>
      <c r="N1274" s="15"/>
      <c r="O1274" s="536" t="s">
        <v>151</v>
      </c>
      <c r="P1274" s="527"/>
      <c r="Q1274" s="538"/>
      <c r="R1274" s="15"/>
      <c r="S1274" s="15"/>
      <c r="T1274" s="15"/>
      <c r="U1274" s="15"/>
      <c r="V1274" s="1"/>
      <c r="W1274" s="1"/>
      <c r="X1274" s="1"/>
      <c r="Y1274" s="1"/>
      <c r="Z1274" s="1"/>
      <c r="AA1274" s="1"/>
      <c r="AB1274" s="246"/>
    </row>
    <row r="1275" spans="2:28" ht="16.5" thickBot="1">
      <c r="B1275" s="11"/>
      <c r="C1275" s="1"/>
      <c r="D1275" s="1"/>
      <c r="E1275" s="1"/>
      <c r="F1275" s="1"/>
      <c r="G1275" s="1"/>
      <c r="H1275" s="1"/>
      <c r="I1275" s="1"/>
      <c r="J1275" s="246"/>
      <c r="K1275" s="1"/>
      <c r="L1275" s="298"/>
      <c r="M1275" s="375"/>
      <c r="N1275" s="15"/>
      <c r="O1275" s="474" t="s">
        <v>152</v>
      </c>
      <c r="P1275" s="7" t="s">
        <v>107</v>
      </c>
      <c r="Q1275" s="584">
        <v>0</v>
      </c>
      <c r="R1275" s="15"/>
      <c r="S1275" s="12" t="s">
        <v>12</v>
      </c>
      <c r="T1275" s="15"/>
      <c r="U1275" s="1"/>
      <c r="V1275" s="1"/>
      <c r="W1275" s="1"/>
      <c r="X1275" s="1"/>
      <c r="Y1275" s="1"/>
      <c r="Z1275" s="1"/>
      <c r="AA1275" s="1"/>
      <c r="AB1275" s="246"/>
    </row>
    <row r="1276" spans="2:28" ht="16.5" thickBot="1">
      <c r="B1276" s="11"/>
      <c r="C1276" s="1"/>
      <c r="D1276" s="1"/>
      <c r="E1276" s="5" t="s">
        <v>153</v>
      </c>
      <c r="F1276" s="347" t="s">
        <v>6</v>
      </c>
      <c r="G1276" s="411" t="s">
        <v>7</v>
      </c>
      <c r="H1276" s="293"/>
      <c r="I1276" s="17"/>
      <c r="J1276" s="246"/>
      <c r="K1276" s="1"/>
      <c r="L1276" s="298"/>
      <c r="M1276" s="15"/>
      <c r="N1276" s="15"/>
      <c r="O1276" s="465" t="s">
        <v>154</v>
      </c>
      <c r="P1276" s="466" t="s">
        <v>47</v>
      </c>
      <c r="Q1276" s="537"/>
      <c r="R1276" s="15"/>
      <c r="S1276" s="12" t="s">
        <v>12</v>
      </c>
      <c r="T1276" s="15"/>
      <c r="U1276" s="15"/>
      <c r="V1276" s="1"/>
      <c r="W1276" s="1"/>
      <c r="X1276" s="1"/>
      <c r="Y1276" s="1"/>
      <c r="Z1276" s="1"/>
      <c r="AA1276" s="1"/>
      <c r="AB1276" s="246"/>
    </row>
    <row r="1277" spans="2:28" ht="16.5" thickBot="1">
      <c r="B1277" s="11"/>
      <c r="C1277" s="373"/>
      <c r="D1277" s="1"/>
      <c r="E1277" s="438" t="s">
        <v>155</v>
      </c>
      <c r="F1277" s="525"/>
      <c r="G1277" s="547" t="s">
        <v>83</v>
      </c>
      <c r="H1277" s="282"/>
      <c r="I1277" s="12" t="s">
        <v>12</v>
      </c>
      <c r="J1277" s="246"/>
      <c r="K1277" s="1"/>
      <c r="L1277" s="298"/>
      <c r="M1277" s="375"/>
      <c r="N1277" s="15"/>
      <c r="O1277" s="540" t="s">
        <v>156</v>
      </c>
      <c r="P1277" s="439" t="s">
        <v>19</v>
      </c>
      <c r="Q1277" s="539">
        <v>0.02</v>
      </c>
      <c r="R1277" s="15"/>
      <c r="S1277" s="12" t="s">
        <v>12</v>
      </c>
      <c r="T1277" s="15"/>
      <c r="U1277" s="1"/>
      <c r="V1277" s="1"/>
      <c r="W1277" s="1"/>
      <c r="X1277" s="1"/>
      <c r="Y1277" s="1"/>
      <c r="Z1277" s="1"/>
      <c r="AA1277" s="1"/>
      <c r="AB1277" s="246"/>
    </row>
    <row r="1278" spans="2:28" ht="16.5" thickBot="1">
      <c r="B1278" s="11"/>
      <c r="C1278" s="369"/>
      <c r="D1278" s="1">
        <f>IF(OR(G1278&lt;0,G1278=""),1,0)</f>
        <v>0</v>
      </c>
      <c r="E1278" s="458" t="s">
        <v>157</v>
      </c>
      <c r="F1278" s="450" t="s">
        <v>19</v>
      </c>
      <c r="G1278" s="548">
        <v>0.21</v>
      </c>
      <c r="H1278" s="270"/>
      <c r="I1278" s="12" t="s">
        <v>12</v>
      </c>
      <c r="J1278" s="403"/>
      <c r="K1278" s="1"/>
      <c r="L1278" s="11"/>
      <c r="M1278" s="1"/>
      <c r="N1278" s="1"/>
      <c r="O1278" s="1"/>
      <c r="P1278" s="1"/>
      <c r="Q1278" s="1"/>
      <c r="R1278" s="1"/>
      <c r="S1278" s="1"/>
      <c r="T1278" s="1"/>
      <c r="U1278" s="1"/>
      <c r="V1278" s="1"/>
      <c r="W1278" s="1"/>
      <c r="X1278" s="1"/>
      <c r="Y1278" s="1"/>
      <c r="Z1278" s="1"/>
      <c r="AA1278" s="1"/>
      <c r="AB1278" s="246"/>
    </row>
    <row r="1279" spans="2:28" ht="16.5" thickBot="1">
      <c r="B1279" s="11"/>
      <c r="C1279" s="373"/>
      <c r="D1279" s="1"/>
      <c r="E1279" s="513" t="s">
        <v>75</v>
      </c>
      <c r="F1279" s="549"/>
      <c r="G1279" s="517" t="s">
        <v>76</v>
      </c>
      <c r="H1279" s="282"/>
      <c r="I1279" s="12" t="s">
        <v>12</v>
      </c>
      <c r="J1279" s="246"/>
      <c r="K1279" s="1"/>
      <c r="L1279" s="11"/>
      <c r="M1279" s="15"/>
      <c r="N1279" s="15"/>
      <c r="O1279" s="348" t="s">
        <v>158</v>
      </c>
      <c r="P1279" s="432" t="s">
        <v>159</v>
      </c>
      <c r="Q1279" s="432"/>
      <c r="R1279" s="432"/>
      <c r="S1279" s="432"/>
      <c r="T1279" s="432"/>
      <c r="U1279" s="432"/>
      <c r="V1279" s="432"/>
      <c r="W1279" s="432"/>
      <c r="X1279" s="432"/>
      <c r="Y1279" s="432"/>
      <c r="Z1279" s="315"/>
      <c r="AA1279" s="1"/>
      <c r="AB1279" s="246"/>
    </row>
    <row r="1280" spans="2:28" ht="15.75">
      <c r="B1280" s="11"/>
      <c r="C1280" s="369"/>
      <c r="D1280" s="1">
        <f>IF(OR(G1280&lt;0,G1280=""),1,0)</f>
        <v>0</v>
      </c>
      <c r="E1280" s="458" t="s">
        <v>160</v>
      </c>
      <c r="F1280" s="450" t="s">
        <v>19</v>
      </c>
      <c r="G1280" s="682">
        <v>0.09</v>
      </c>
      <c r="H1280" s="270"/>
      <c r="I1280" s="12" t="s">
        <v>12</v>
      </c>
      <c r="J1280" s="403"/>
      <c r="K1280" s="1"/>
      <c r="L1280" s="11"/>
      <c r="M1280" s="373"/>
      <c r="N1280" s="15"/>
      <c r="O1280" s="515" t="s">
        <v>161</v>
      </c>
      <c r="P1280" s="496" t="str">
        <f>[2]Input_Dashboard!$D$141</f>
        <v>No</v>
      </c>
      <c r="Q1280" s="1"/>
      <c r="R1280" s="1"/>
      <c r="S1280" s="419" t="s">
        <v>12</v>
      </c>
      <c r="T1280" s="1"/>
      <c r="U1280" s="1"/>
      <c r="V1280" s="1"/>
      <c r="W1280" s="1"/>
      <c r="X1280" s="1"/>
      <c r="Y1280" s="1"/>
      <c r="Z1280" s="246"/>
      <c r="AA1280" s="1"/>
      <c r="AB1280" s="246"/>
    </row>
    <row r="1281" spans="2:28" ht="16.5" thickBot="1">
      <c r="B1281" s="11"/>
      <c r="C1281" s="373"/>
      <c r="D1281" s="1"/>
      <c r="E1281" s="513" t="s">
        <v>162</v>
      </c>
      <c r="F1281" s="549"/>
      <c r="G1281" s="517" t="s">
        <v>76</v>
      </c>
      <c r="H1281" s="282"/>
      <c r="I1281" s="12" t="s">
        <v>12</v>
      </c>
      <c r="J1281" s="403"/>
      <c r="K1281" s="1"/>
      <c r="L1281" s="11"/>
      <c r="M1281" s="375"/>
      <c r="N1281" s="1"/>
      <c r="O1281" s="455" t="s">
        <v>163</v>
      </c>
      <c r="P1281" s="683">
        <f>[2]Input_Dashboard!D1346</f>
        <v>0</v>
      </c>
      <c r="Q1281" s="1"/>
      <c r="R1281" s="1"/>
      <c r="S1281" s="12" t="s">
        <v>12</v>
      </c>
      <c r="T1281" s="1"/>
      <c r="U1281" s="1"/>
      <c r="V1281" s="1"/>
      <c r="W1281" s="1"/>
      <c r="X1281" s="1"/>
      <c r="Y1281" s="1"/>
      <c r="Z1281" s="246"/>
      <c r="AA1281" s="1"/>
      <c r="AB1281" s="246"/>
    </row>
    <row r="1282" spans="2:28" ht="16.5" thickBot="1">
      <c r="B1282" s="11"/>
      <c r="C1282" s="1"/>
      <c r="D1282" s="1"/>
      <c r="E1282" s="550" t="s">
        <v>164</v>
      </c>
      <c r="F1282" s="551" t="s">
        <v>19</v>
      </c>
      <c r="G1282" s="552"/>
      <c r="H1282" s="295"/>
      <c r="I1282" s="12" t="s">
        <v>12</v>
      </c>
      <c r="J1282" s="403"/>
      <c r="K1282" s="1"/>
      <c r="L1282" s="11"/>
      <c r="M1282" s="1"/>
      <c r="N1282" s="1"/>
      <c r="O1282" s="296"/>
      <c r="P1282" s="40"/>
      <c r="Q1282" s="40"/>
      <c r="R1282" s="40"/>
      <c r="S1282" s="40"/>
      <c r="T1282" s="40"/>
      <c r="U1282" s="40"/>
      <c r="V1282" s="40"/>
      <c r="W1282" s="40"/>
      <c r="X1282" s="40"/>
      <c r="Y1282" s="40"/>
      <c r="Z1282" s="305"/>
      <c r="AA1282" s="1"/>
      <c r="AB1282" s="246"/>
    </row>
    <row r="1283" spans="2:28" ht="16.5" thickBot="1">
      <c r="B1283" s="11"/>
      <c r="C1283" s="1"/>
      <c r="D1283" s="1"/>
      <c r="E1283" s="455" t="s">
        <v>158</v>
      </c>
      <c r="F1283" s="498"/>
      <c r="G1283" s="499" t="s">
        <v>165</v>
      </c>
      <c r="H1283" s="55"/>
      <c r="I1283" s="12" t="s">
        <v>12</v>
      </c>
      <c r="J1283" s="246"/>
      <c r="K1283" s="1"/>
      <c r="L1283" s="11"/>
      <c r="M1283" s="15"/>
      <c r="N1283" s="15"/>
      <c r="O1283" s="542" t="s">
        <v>166</v>
      </c>
      <c r="P1283" s="543" t="s">
        <v>167</v>
      </c>
      <c r="Q1283" s="648" t="s">
        <v>168</v>
      </c>
      <c r="R1283" s="775" t="s">
        <v>169</v>
      </c>
      <c r="S1283" s="776"/>
      <c r="T1283" s="777"/>
      <c r="U1283" s="543" t="s">
        <v>170</v>
      </c>
      <c r="V1283" s="543" t="s">
        <v>171</v>
      </c>
      <c r="W1283" s="543" t="s">
        <v>172</v>
      </c>
      <c r="X1283" s="543" t="s">
        <v>173</v>
      </c>
      <c r="Y1283" s="543" t="s">
        <v>174</v>
      </c>
      <c r="Z1283" s="544" t="s">
        <v>175</v>
      </c>
      <c r="AA1283" s="1"/>
      <c r="AB1283" s="246"/>
    </row>
    <row r="1284" spans="2:28" ht="16.5" thickBot="1">
      <c r="B1284" s="11"/>
      <c r="C1284" s="1"/>
      <c r="D1284" s="1"/>
      <c r="E1284" s="1"/>
      <c r="F1284" s="1"/>
      <c r="G1284" s="1"/>
      <c r="H1284" s="1"/>
      <c r="I1284" s="1"/>
      <c r="J1284" s="246"/>
      <c r="K1284" s="1"/>
      <c r="L1284" s="11">
        <f>IF(AND($G$73="Yes",$G$15="Simple"),1,0)</f>
        <v>0</v>
      </c>
      <c r="M1284" s="15"/>
      <c r="N1284" s="230">
        <f>IF(AND($G$15="Simple",SUM(P1284:Z1284)=1),1,IF(AND($G$15="Simple",SUM(P1284:Z1284)&lt;&gt;1),2,0))</f>
        <v>0</v>
      </c>
      <c r="O1284" s="545" t="str">
        <f t="shared" ref="O1284:O1289" si="14">E1220</f>
        <v>Total Installed Cost</v>
      </c>
      <c r="P1284" s="590">
        <v>0.94</v>
      </c>
      <c r="Q1284" s="649">
        <v>0</v>
      </c>
      <c r="R1284" s="778">
        <v>1.4999999999999999E-2</v>
      </c>
      <c r="S1284" s="779"/>
      <c r="T1284" s="780"/>
      <c r="U1284" s="590">
        <v>0.01</v>
      </c>
      <c r="V1284" s="590">
        <v>0</v>
      </c>
      <c r="W1284" s="590">
        <v>0</v>
      </c>
      <c r="X1284" s="590">
        <v>0.01</v>
      </c>
      <c r="Y1284" s="590">
        <v>0</v>
      </c>
      <c r="Z1284" s="593">
        <v>2.5000000000000001E-2</v>
      </c>
      <c r="AA1284" s="1"/>
      <c r="AB1284" s="294" t="s">
        <v>12</v>
      </c>
    </row>
    <row r="1285" spans="2:28" ht="16.5" thickBot="1">
      <c r="B1285" s="296"/>
      <c r="C1285" s="40"/>
      <c r="D1285" s="40"/>
      <c r="E1285" s="40"/>
      <c r="F1285" s="40"/>
      <c r="G1285" s="40"/>
      <c r="H1285" s="40"/>
      <c r="I1285" s="40"/>
      <c r="J1285" s="305"/>
      <c r="K1285" s="1"/>
      <c r="L1285" s="11">
        <f>IF(AND($G$73="Yes",$G$15="Intermediate"),1,0)</f>
        <v>1</v>
      </c>
      <c r="M1285" s="15"/>
      <c r="N1285" s="230">
        <f>IF(AND($G$15="Intermediate",SUM(P1285:Z1285)=1),1,IF(AND($G$15="Intermediate",SUM(P1285:Z1285)&lt;&gt;1),2,0))</f>
        <v>1</v>
      </c>
      <c r="O1285" s="595" t="str">
        <f t="shared" si="14"/>
        <v>Generation Equipment</v>
      </c>
      <c r="P1285" s="723">
        <v>0.96</v>
      </c>
      <c r="Q1285" s="724">
        <v>0</v>
      </c>
      <c r="R1285" s="781">
        <v>0.02</v>
      </c>
      <c r="S1285" s="782"/>
      <c r="T1285" s="783"/>
      <c r="U1285" s="725">
        <v>0</v>
      </c>
      <c r="V1285" s="725">
        <v>0</v>
      </c>
      <c r="W1285" s="725">
        <v>0</v>
      </c>
      <c r="X1285" s="725">
        <v>0.02</v>
      </c>
      <c r="Y1285" s="725">
        <v>0</v>
      </c>
      <c r="Z1285" s="726">
        <v>0</v>
      </c>
      <c r="AA1285" s="1"/>
      <c r="AB1285" s="294" t="s">
        <v>12</v>
      </c>
    </row>
    <row r="1286" spans="2:28" ht="15.75">
      <c r="B1286" s="1"/>
      <c r="C1286" s="1"/>
      <c r="D1286" s="1"/>
      <c r="E1286" s="1"/>
      <c r="F1286" s="1"/>
      <c r="G1286" s="1"/>
      <c r="H1286" s="1"/>
      <c r="I1286" s="1"/>
      <c r="J1286" s="1"/>
      <c r="K1286" s="1"/>
      <c r="L1286" s="11">
        <f>IF(AND($G$73="Yes",$G$15="Intermediate"),1,0)</f>
        <v>1</v>
      </c>
      <c r="M1286" s="15"/>
      <c r="N1286" s="230">
        <f>IF(AND($G$15="Intermediate",SUM(P1286:Z1286)=1),1,IF(AND($G$15="Intermediate",SUM(P1286:Z1286)&lt;&gt;1),2,0))</f>
        <v>1</v>
      </c>
      <c r="O1286" s="596" t="str">
        <f t="shared" si="14"/>
        <v>Balance of Plant</v>
      </c>
      <c r="P1286" s="723">
        <v>0.5</v>
      </c>
      <c r="Q1286" s="724">
        <v>0</v>
      </c>
      <c r="R1286" s="784">
        <v>0</v>
      </c>
      <c r="S1286" s="785"/>
      <c r="T1286" s="786"/>
      <c r="U1286" s="724">
        <v>0</v>
      </c>
      <c r="V1286" s="724">
        <v>0</v>
      </c>
      <c r="W1286" s="724">
        <v>0.5</v>
      </c>
      <c r="X1286" s="724">
        <v>0</v>
      </c>
      <c r="Y1286" s="724">
        <v>0</v>
      </c>
      <c r="Z1286" s="727">
        <v>0</v>
      </c>
      <c r="AA1286" s="1"/>
      <c r="AB1286" s="294" t="s">
        <v>12</v>
      </c>
    </row>
    <row r="1287" spans="2:28" ht="15.75">
      <c r="B1287" s="1"/>
      <c r="C1287" s="1"/>
      <c r="D1287" s="1"/>
      <c r="E1287" s="1"/>
      <c r="F1287" s="1"/>
      <c r="G1287" s="1"/>
      <c r="H1287" s="1"/>
      <c r="I1287" s="1"/>
      <c r="J1287" s="1"/>
      <c r="K1287" s="1"/>
      <c r="L1287" s="11">
        <f>IF(AND($G$73="Yes",$G$15="Intermediate"),1,0)</f>
        <v>1</v>
      </c>
      <c r="M1287" s="15"/>
      <c r="N1287" s="230">
        <f>IF(AND($G$15="Intermediate",SUM(P1287:Z1287)=1),1,IF(AND($G$15="Intermediate",SUM(P1287:Z1287)&lt;&gt;1),2,0))</f>
        <v>1</v>
      </c>
      <c r="O1287" s="596" t="str">
        <f t="shared" si="14"/>
        <v>Interconnection</v>
      </c>
      <c r="P1287" s="723">
        <v>0</v>
      </c>
      <c r="Q1287" s="724">
        <v>0</v>
      </c>
      <c r="R1287" s="784">
        <v>0</v>
      </c>
      <c r="S1287" s="785"/>
      <c r="T1287" s="786"/>
      <c r="U1287" s="724">
        <v>0</v>
      </c>
      <c r="V1287" s="724">
        <v>0</v>
      </c>
      <c r="W1287" s="724">
        <v>1</v>
      </c>
      <c r="X1287" s="724">
        <v>0</v>
      </c>
      <c r="Y1287" s="724">
        <v>0</v>
      </c>
      <c r="Z1287" s="727">
        <v>0</v>
      </c>
      <c r="AA1287" s="1"/>
      <c r="AB1287" s="294" t="s">
        <v>12</v>
      </c>
    </row>
    <row r="1288" spans="2:28" ht="15.75">
      <c r="B1288" s="1"/>
      <c r="C1288" s="1"/>
      <c r="D1288" s="1"/>
      <c r="E1288" s="1"/>
      <c r="F1288" s="1"/>
      <c r="G1288" s="1"/>
      <c r="H1288" s="1"/>
      <c r="I1288" s="1"/>
      <c r="J1288" s="1"/>
      <c r="K1288" s="1"/>
      <c r="L1288" s="11">
        <f>IF(AND($G$73="Yes",$G$15="Intermediate"),1,0)</f>
        <v>1</v>
      </c>
      <c r="M1288" s="15"/>
      <c r="N1288" s="230">
        <f>IF(AND($G$15="Intermediate",SUM(P1288:Z1288)=1),1,IF(AND($G$15="Intermediate",SUM(P1288:Z1288)&lt;&gt;1),2,0))</f>
        <v>1</v>
      </c>
      <c r="O1288" s="596" t="str">
        <f t="shared" si="14"/>
        <v>Development Costs &amp; Fee</v>
      </c>
      <c r="P1288" s="723">
        <v>0.8</v>
      </c>
      <c r="Q1288" s="724">
        <v>0</v>
      </c>
      <c r="R1288" s="784">
        <v>0</v>
      </c>
      <c r="S1288" s="785"/>
      <c r="T1288" s="786"/>
      <c r="U1288" s="724">
        <v>0</v>
      </c>
      <c r="V1288" s="724">
        <v>0</v>
      </c>
      <c r="W1288" s="724">
        <v>0.05</v>
      </c>
      <c r="X1288" s="724">
        <v>0.05</v>
      </c>
      <c r="Y1288" s="724">
        <v>0</v>
      </c>
      <c r="Z1288" s="727">
        <v>0.1</v>
      </c>
      <c r="AA1288" s="1"/>
      <c r="AB1288" s="294" t="s">
        <v>12</v>
      </c>
    </row>
    <row r="1289" spans="2:28" ht="16.5" thickBot="1">
      <c r="B1289" s="1"/>
      <c r="C1289" s="1"/>
      <c r="D1289" s="1"/>
      <c r="E1289" s="1"/>
      <c r="F1289" s="1"/>
      <c r="G1289" s="1"/>
      <c r="H1289" s="1"/>
      <c r="I1289" s="1"/>
      <c r="J1289" s="1"/>
      <c r="K1289" s="1"/>
      <c r="L1289" s="11">
        <f>IF(AND($G$73="Yes",$G$15="Intermediate"),1,0)</f>
        <v>1</v>
      </c>
      <c r="M1289" s="15"/>
      <c r="N1289" s="230">
        <f>IF(AND($G$15="Intermediate",SUM(P1289:Z1289)=1),1,IF(AND($G$15="Intermediate",SUM(P1289:Z1289)&lt;&gt;1),2,0))</f>
        <v>1</v>
      </c>
      <c r="O1289" s="597" t="str">
        <f t="shared" si="14"/>
        <v>Reserves &amp; Financing Costs</v>
      </c>
      <c r="P1289" s="728">
        <v>0</v>
      </c>
      <c r="Q1289" s="729">
        <v>0</v>
      </c>
      <c r="R1289" s="766">
        <v>0</v>
      </c>
      <c r="S1289" s="767"/>
      <c r="T1289" s="768"/>
      <c r="U1289" s="729">
        <v>0</v>
      </c>
      <c r="V1289" s="729">
        <v>0</v>
      </c>
      <c r="W1289" s="729">
        <v>0</v>
      </c>
      <c r="X1289" s="729">
        <v>0.5</v>
      </c>
      <c r="Y1289" s="729">
        <v>0</v>
      </c>
      <c r="Z1289" s="730">
        <v>0.5</v>
      </c>
      <c r="AA1289" s="1"/>
      <c r="AB1289" s="294" t="s">
        <v>12</v>
      </c>
    </row>
    <row r="1290" spans="2:28" ht="16.5" thickBot="1">
      <c r="B1290" s="1"/>
      <c r="C1290" s="1"/>
      <c r="D1290" s="1"/>
      <c r="E1290" s="1"/>
      <c r="F1290" s="1"/>
      <c r="G1290" s="1"/>
      <c r="H1290" s="1"/>
      <c r="I1290" s="1"/>
      <c r="J1290" s="1"/>
      <c r="K1290" s="1"/>
      <c r="L1290" s="296">
        <f>IF(AND($G$73="Yes",$G$15="Complex"),1,0)</f>
        <v>0</v>
      </c>
      <c r="M1290" s="647"/>
      <c r="N1290" s="647"/>
      <c r="O1290" s="546" t="s">
        <v>176</v>
      </c>
      <c r="P1290" s="591"/>
      <c r="Q1290" s="592"/>
      <c r="R1290" s="769"/>
      <c r="S1290" s="770"/>
      <c r="T1290" s="771"/>
      <c r="U1290" s="591"/>
      <c r="V1290" s="591"/>
      <c r="W1290" s="591"/>
      <c r="X1290" s="591"/>
      <c r="Y1290" s="591"/>
      <c r="Z1290" s="594"/>
      <c r="AA1290" s="40"/>
      <c r="AB1290" s="421" t="s">
        <v>12</v>
      </c>
    </row>
  </sheetData>
  <protectedRanges>
    <protectedRange sqref="P76:P77 P80:Z80 P162:P163 P166:Z166 U167:Z171 P248:P249 P252:Z252 P334:P335 P338:Z338 U339:Z343 P420:P421 P424:Z424 U425:Z429 P506:P507 P510:Z510 U511:Z515 P592:P593 P596:Z596 U597:Z601 P678:P679 P682:Z682 U683:Z687 P764:P765 P768:Z768 U769:Z773 P850:P851 P854:Z854 U855:Z859 P936:P937 P940:Z940 U941:Z945 P1022:P1023 P1026:Z1026 U1027:Z1031 P1108:P1109 P1112:Z1112 U1113:Z1117 P1194:P1195 P1198:Z1198 U1199:Z1203 P1280:P1281 P1284:Z1284 U1285:Z1289" name="Depreciation Inputs_4"/>
    <protectedRange sqref="G8:G9 G15:G20 G58 G62 G64 G73:G77 G51:G55 G11:G12 G30:G36 G46:G47 G38:G42 G94:G95 G101:G106 G144 G148 G150 G159:G163 G137:G141 G97:G98 G116:G122 G132:G133 G124:G128 G180:G181 G187:G192 G230 G234 G236 G245:G249 G223:G227 G183:G184 G202:G208 G218:G219 G210:G214 G266:G267 G273:G278 G316 G320 G322 G331:G335 G309:G313 G269:G270 G288:G294 G304:G305 G296:G300 G352:G353 G359:G364 G402 G406 G408 G417:G421 G395:G399 G355:G356 G374:G380 G390:G391 G382:G386 G438:G439 G445:G450 G488 G492 G494 G503:G507 G481:G485 G441:G442 G460:G466 G476:G477 G468:G472 G524:G525 G531:G536 G574 G578 G580 G589:G593 G567:G571 G527:G528 G546:G552 G562:G563 G554:G558 G610:G611 G617:G622 G660 G664 G666 G675:G679 G653:G657 G613:G614 G632:G638 G648:G649 G640:G644 G696:G697 G703:G708 G746 G750 G752 G761:G765 G739:G743 G699:G700 G718:G724 G734:G735 G726:G730 G782:G783 G789:G794 G832 G836 G838 G847:G851 G825:G829 G785:G786 G804:G810 G820:G821 G812:G816 G868:G869 G875:G880 G918 G922 G924 G933:G937 G911:G915 G871:G872 G890:G896 G906:G907 G898:G902 G954:G955 G961:G966 G1004 G1008 G1010 G1019:G1023 G997:G1001 G957:G958 G976:G982 G992:G993 G984:G988 G1040:G1041 G1047:G1052 G1090 G1094 G1096 G1105:G1109 G1083:G1087 G1043:G1044 G1062:G1068 G1078:G1079 G1070:G1074 G1126:G1127 G1133:G1138 G1176 G1180 G1182 G1191:G1195 G1169:G1173 G1129:G1130 G1148:G1154 G1164:G1165 G1156:G1160 G1212:G1213 G1219:G1224 G1262 G1266 G1268 G1277:G1281 G1255:G1259 G1215:G1216 G1234:G1240 G1250:G1251 G1242:G1246" name="Column G Inputs_5"/>
    <protectedRange sqref="Q13:Q15 Q19:Q22 Q24:Q28 Q31:Q32 Q8:Q10 Q99:Q101 Q105:Q108 Q110:Q114 Q117:Q118 Q94:Q96 Q185:Q187 Q191:Q194 Q196:Q200 Q203:Q204 Q180:Q182 Q271:Q273 Q277:Q280 Q282:Q286 Q289:Q290 Q266:Q268 Q357:Q359 Q363:Q366 Q368:Q372 Q375:Q376 Q352:Q354 Q443:Q445 Q449:Q452 Q454:Q458 Q461:Q462 Q438:Q440 Q529:Q531 Q535:Q538 Q540:Q544 Q547:Q548 Q524:Q526 Q615:Q617 Q621:Q624 Q626:Q630 Q633:Q634 Q610:Q612 Q701:Q703 Q707:Q710 Q712:Q716 Q719:Q720 Q696:Q698 Q787:Q789 Q793:Q796 Q798:Q802 Q805:Q806 Q782:Q784 Q873:Q875 Q879:Q882 Q884:Q888 Q891:Q892 Q868:Q870 Q959:Q961 Q965:Q968 Q970:Q974 Q977:Q978 Q954:Q956 Q1045:Q1047 Q1051:Q1054 Q1056:Q1060 Q1063:Q1064 Q1040:Q1042 Q1131:Q1133 Q1137:Q1140 Q1142:Q1146 Q1149:Q1150 Q1126:Q1128 Q1217:Q1219 Q1223:Q1226 Q1228:Q1232 Q1235:Q1236 Q1212:Q1214" name="Column Q Inputs 1_5"/>
    <protectedRange sqref="Q40:Q45 Q48:Q49 Q63:Q64 Q68 Q71 Q52:Q59 Q35:Q38 Q126:Q131 Q134:Q135 Q149:Q150 Q154 Q157 Q138:Q145 Q121:Q124 Q212:Q217 Q220:Q221 Q235:Q236 Q240 Q243 Q224:Q231 Q207:Q210 Q298:Q303 Q306:Q307 Q321:Q322 Q326 Q329 Q310:Q317 Q293:Q296 Q384:Q389 Q392:Q393 Q407:Q408 Q412 Q415 Q396:Q403 Q379:Q382 Q470:Q475 Q478:Q479 Q493:Q494 Q498 Q501 Q482:Q489 Q465:Q468 Q556:Q561 Q564:Q565 Q579:Q580 Q584 Q587 Q568:Q575 Q551:Q554 Q642:Q647 Q650:Q651 Q665:Q666 Q670 Q673 Q654:Q661 Q637:Q640 Q728:Q733 Q736:Q737 Q751:Q752 Q756 Q759 Q740:Q747 Q723:Q726 Q814:Q819 Q822:Q823 Q837:Q838 Q842 Q845 Q826:Q833 Q809:Q812 Q900:Q905 Q908:Q909 Q923:Q924 Q928 Q931 Q912:Q919 Q895:Q898 Q986:Q991 Q994:Q995 Q1009:Q1010 Q1014 Q1017 Q998:Q1005 Q981:Q984 Q1072:Q1077 Q1080:Q1081 Q1095:Q1096 Q1100 Q1103 Q1084:Q1091 Q1067:Q1070 Q1158:Q1163 Q1166:Q1167 Q1181:Q1182 Q1186 Q1189 Q1170:Q1177 Q1153:Q1156 Q1244:Q1249 Q1252:Q1253 Q1267:Q1268 Q1272 Q1275 Q1256:Q1263 Q1239:Q1242" name="Column Q Inputs 2_5"/>
    <protectedRange sqref="P167:T171 P253:T257 P339:T343 P425:T429 P511:T515 P597:T601 P683:T687 P769:T773 P855:T859 P941:T945 P1027:T1031 P1113:T1117 P1199:T1203 P1285:T1289" name="Depreciation Inputs_5"/>
    <protectedRange sqref="Q81:T85" name="Depreciation Inputs"/>
    <protectedRange sqref="P81:P85" name="Depreciation Inputs_3"/>
    <protectedRange sqref="U81:Z85 U253:Z257" name="Depreciation Inputs_2"/>
  </protectedRanges>
  <mergeCells count="150">
    <mergeCell ref="R1200:T1200"/>
    <mergeCell ref="R1201:T1201"/>
    <mergeCell ref="R1202:T1202"/>
    <mergeCell ref="R1203:T1203"/>
    <mergeCell ref="R1204:T1204"/>
    <mergeCell ref="C1121:T1121"/>
    <mergeCell ref="O1123:P1123"/>
    <mergeCell ref="R1197:T1197"/>
    <mergeCell ref="R1198:T1198"/>
    <mergeCell ref="R1199:T1199"/>
    <mergeCell ref="R1114:T1114"/>
    <mergeCell ref="R1115:T1115"/>
    <mergeCell ref="R1116:T1116"/>
    <mergeCell ref="R1117:T1117"/>
    <mergeCell ref="R1118:T1118"/>
    <mergeCell ref="C1035:T1035"/>
    <mergeCell ref="O1037:P1037"/>
    <mergeCell ref="R1111:T1111"/>
    <mergeCell ref="R1112:T1112"/>
    <mergeCell ref="R1113:T1113"/>
    <mergeCell ref="R1028:T1028"/>
    <mergeCell ref="R1029:T1029"/>
    <mergeCell ref="R1030:T1030"/>
    <mergeCell ref="R1031:T1031"/>
    <mergeCell ref="R1032:T1032"/>
    <mergeCell ref="C949:T949"/>
    <mergeCell ref="O951:P951"/>
    <mergeCell ref="R1025:T1025"/>
    <mergeCell ref="R1026:T1026"/>
    <mergeCell ref="R1027:T1027"/>
    <mergeCell ref="R942:T942"/>
    <mergeCell ref="R943:T943"/>
    <mergeCell ref="R944:T944"/>
    <mergeCell ref="R945:T945"/>
    <mergeCell ref="R946:T946"/>
    <mergeCell ref="C863:T863"/>
    <mergeCell ref="O865:P865"/>
    <mergeCell ref="R939:T939"/>
    <mergeCell ref="R940:T940"/>
    <mergeCell ref="R941:T941"/>
    <mergeCell ref="R856:T856"/>
    <mergeCell ref="R857:T857"/>
    <mergeCell ref="R858:T858"/>
    <mergeCell ref="R859:T859"/>
    <mergeCell ref="R860:T860"/>
    <mergeCell ref="C777:T777"/>
    <mergeCell ref="O779:P779"/>
    <mergeCell ref="R853:T853"/>
    <mergeCell ref="R854:T854"/>
    <mergeCell ref="R855:T855"/>
    <mergeCell ref="R770:T770"/>
    <mergeCell ref="R771:T771"/>
    <mergeCell ref="R772:T772"/>
    <mergeCell ref="R773:T773"/>
    <mergeCell ref="R774:T774"/>
    <mergeCell ref="C691:T691"/>
    <mergeCell ref="O693:P693"/>
    <mergeCell ref="R767:T767"/>
    <mergeCell ref="R768:T768"/>
    <mergeCell ref="R769:T769"/>
    <mergeCell ref="R684:T684"/>
    <mergeCell ref="R685:T685"/>
    <mergeCell ref="R686:T686"/>
    <mergeCell ref="R687:T687"/>
    <mergeCell ref="R688:T688"/>
    <mergeCell ref="C605:T605"/>
    <mergeCell ref="O607:P607"/>
    <mergeCell ref="R681:T681"/>
    <mergeCell ref="R682:T682"/>
    <mergeCell ref="R683:T683"/>
    <mergeCell ref="R598:T598"/>
    <mergeCell ref="R599:T599"/>
    <mergeCell ref="R600:T600"/>
    <mergeCell ref="R601:T601"/>
    <mergeCell ref="R602:T602"/>
    <mergeCell ref="C519:T519"/>
    <mergeCell ref="O521:P521"/>
    <mergeCell ref="R595:T595"/>
    <mergeCell ref="R596:T596"/>
    <mergeCell ref="R597:T597"/>
    <mergeCell ref="R512:T512"/>
    <mergeCell ref="R513:T513"/>
    <mergeCell ref="R514:T514"/>
    <mergeCell ref="R515:T515"/>
    <mergeCell ref="R516:T516"/>
    <mergeCell ref="C433:T433"/>
    <mergeCell ref="O435:P435"/>
    <mergeCell ref="R509:T509"/>
    <mergeCell ref="R510:T510"/>
    <mergeCell ref="R511:T511"/>
    <mergeCell ref="R427:T427"/>
    <mergeCell ref="R428:T428"/>
    <mergeCell ref="R429:T429"/>
    <mergeCell ref="R430:T430"/>
    <mergeCell ref="C347:T347"/>
    <mergeCell ref="O349:P349"/>
    <mergeCell ref="R423:T423"/>
    <mergeCell ref="R424:T424"/>
    <mergeCell ref="R425:T425"/>
    <mergeCell ref="R342:T342"/>
    <mergeCell ref="R343:T343"/>
    <mergeCell ref="R344:T344"/>
    <mergeCell ref="C261:T261"/>
    <mergeCell ref="O263:P263"/>
    <mergeCell ref="R337:T337"/>
    <mergeCell ref="R338:T338"/>
    <mergeCell ref="R339:T339"/>
    <mergeCell ref="R426:T426"/>
    <mergeCell ref="R257:T257"/>
    <mergeCell ref="R258:T258"/>
    <mergeCell ref="C175:T175"/>
    <mergeCell ref="O177:P177"/>
    <mergeCell ref="R251:T251"/>
    <mergeCell ref="R252:T252"/>
    <mergeCell ref="R253:T253"/>
    <mergeCell ref="R340:T340"/>
    <mergeCell ref="R341:T341"/>
    <mergeCell ref="C3:T3"/>
    <mergeCell ref="O5:P5"/>
    <mergeCell ref="R79:T79"/>
    <mergeCell ref="R80:T80"/>
    <mergeCell ref="R81:T81"/>
    <mergeCell ref="R82:T82"/>
    <mergeCell ref="R83:T83"/>
    <mergeCell ref="R84:T84"/>
    <mergeCell ref="R85:T85"/>
    <mergeCell ref="R1289:T1289"/>
    <mergeCell ref="R1290:T1290"/>
    <mergeCell ref="R86:T86"/>
    <mergeCell ref="C1207:T1207"/>
    <mergeCell ref="O1209:P1209"/>
    <mergeCell ref="R1283:T1283"/>
    <mergeCell ref="R1284:T1284"/>
    <mergeCell ref="R1285:T1285"/>
    <mergeCell ref="R1286:T1286"/>
    <mergeCell ref="R1287:T1287"/>
    <mergeCell ref="R1288:T1288"/>
    <mergeCell ref="C89:T89"/>
    <mergeCell ref="O91:P91"/>
    <mergeCell ref="R165:T165"/>
    <mergeCell ref="R166:T166"/>
    <mergeCell ref="R167:T167"/>
    <mergeCell ref="R169:T169"/>
    <mergeCell ref="R170:T170"/>
    <mergeCell ref="R171:T171"/>
    <mergeCell ref="R172:T172"/>
    <mergeCell ref="R168:T168"/>
    <mergeCell ref="R254:T254"/>
    <mergeCell ref="R255:T255"/>
    <mergeCell ref="R256:T256"/>
  </mergeCells>
  <conditionalFormatting sqref="C15">
    <cfRule type="expression" dxfId="1181" priority="1118">
      <formula>$G$15&lt;&gt;""</formula>
    </cfRule>
  </conditionalFormatting>
  <conditionalFormatting sqref="C31">
    <cfRule type="expression" dxfId="1180" priority="1117">
      <formula>$G$31&gt;=0</formula>
    </cfRule>
  </conditionalFormatting>
  <conditionalFormatting sqref="C16">
    <cfRule type="expression" dxfId="1179" priority="1112">
      <formula>AND($G$15="Simple",$G$16&gt;0)</formula>
    </cfRule>
    <cfRule type="expression" dxfId="1178" priority="1116">
      <formula>AND($G$15="Simple",$G$16&lt;=0)</formula>
    </cfRule>
  </conditionalFormatting>
  <conditionalFormatting sqref="C17">
    <cfRule type="expression" dxfId="1177" priority="1111">
      <formula>AND($G$15="Intermediate",$G$17&gt;0)</formula>
    </cfRule>
    <cfRule type="expression" dxfId="1176" priority="1115">
      <formula>AND($G$15="Intermediate",$G$17&lt;=0)</formula>
    </cfRule>
  </conditionalFormatting>
  <conditionalFormatting sqref="C74">
    <cfRule type="expression" dxfId="1175" priority="1075">
      <formula>$G$73="No"</formula>
    </cfRule>
    <cfRule type="expression" dxfId="1174" priority="1076">
      <formula>$D$74=1</formula>
    </cfRule>
  </conditionalFormatting>
  <conditionalFormatting sqref="C62">
    <cfRule type="expression" dxfId="1173" priority="1109">
      <formula>$D$62=1</formula>
    </cfRule>
  </conditionalFormatting>
  <conditionalFormatting sqref="H22 L31 K25">
    <cfRule type="expression" dxfId="1172" priority="1119">
      <formula>$G$15="Complex"</formula>
    </cfRule>
  </conditionalFormatting>
  <conditionalFormatting sqref="C51">
    <cfRule type="expression" dxfId="1171" priority="1110">
      <formula>$D$51=1</formula>
    </cfRule>
  </conditionalFormatting>
  <conditionalFormatting sqref="E8:F8 H8:I8">
    <cfRule type="expression" dxfId="1170" priority="1114">
      <formula>#REF!="Solar Thermal Electric"</formula>
    </cfRule>
  </conditionalFormatting>
  <conditionalFormatting sqref="E36:F43 H36:H39 H41:H43">
    <cfRule type="expression" dxfId="1169" priority="1113">
      <formula>$G$30="Simple"</formula>
    </cfRule>
  </conditionalFormatting>
  <conditionalFormatting sqref="O64:P64 S64">
    <cfRule type="expression" dxfId="1168" priority="1107">
      <formula>$Q$63="Salvage"</formula>
    </cfRule>
  </conditionalFormatting>
  <conditionalFormatting sqref="E46:F48">
    <cfRule type="expression" dxfId="1167" priority="1106">
      <formula>$G$15="Simple"</formula>
    </cfRule>
  </conditionalFormatting>
  <conditionalFormatting sqref="E17:F21">
    <cfRule type="expression" dxfId="1166" priority="1103">
      <formula>$G$15="Intermediate"</formula>
    </cfRule>
  </conditionalFormatting>
  <conditionalFormatting sqref="E52:F60 I52:I60">
    <cfRule type="expression" dxfId="1165" priority="1099">
      <formula>$G$51=0</formula>
    </cfRule>
  </conditionalFormatting>
  <conditionalFormatting sqref="O14:P14">
    <cfRule type="expression" dxfId="1164" priority="1098">
      <formula>$T$14=1</formula>
    </cfRule>
  </conditionalFormatting>
  <conditionalFormatting sqref="O15:P15">
    <cfRule type="expression" dxfId="1163" priority="1097">
      <formula>$T$15=1</formula>
    </cfRule>
  </conditionalFormatting>
  <conditionalFormatting sqref="O16">
    <cfRule type="expression" dxfId="1162" priority="1096">
      <formula>$T$16=1</formula>
    </cfRule>
  </conditionalFormatting>
  <conditionalFormatting sqref="O13:P13">
    <cfRule type="expression" dxfId="1161" priority="1093">
      <formula>$T$13=1</formula>
    </cfRule>
  </conditionalFormatting>
  <conditionalFormatting sqref="O20:P21 S20:S21 S23 O23:Q23">
    <cfRule type="expression" dxfId="1160" priority="1091">
      <formula>$Q$19="Performance-Based"</formula>
    </cfRule>
  </conditionalFormatting>
  <conditionalFormatting sqref="O24:P28 S24:S28">
    <cfRule type="expression" dxfId="1159" priority="1090">
      <formula>$Q$19="Cost-Based"</formula>
    </cfRule>
  </conditionalFormatting>
  <conditionalFormatting sqref="I16">
    <cfRule type="expression" dxfId="1158" priority="1089">
      <formula>$G$15="Simple"</formula>
    </cfRule>
  </conditionalFormatting>
  <conditionalFormatting sqref="I22">
    <cfRule type="expression" dxfId="1157" priority="1088">
      <formula>$G$15="Complex"</formula>
    </cfRule>
  </conditionalFormatting>
  <conditionalFormatting sqref="I17:I21">
    <cfRule type="expression" dxfId="1156" priority="1087">
      <formula>$G$15="Intermediate"</formula>
    </cfRule>
  </conditionalFormatting>
  <conditionalFormatting sqref="I36:I43">
    <cfRule type="expression" dxfId="1155" priority="1086">
      <formula>$G$30="Intermediate"</formula>
    </cfRule>
  </conditionalFormatting>
  <conditionalFormatting sqref="E16:F16">
    <cfRule type="expression" dxfId="1154" priority="1085">
      <formula>$G$15="Simple"</formula>
    </cfRule>
  </conditionalFormatting>
  <conditionalFormatting sqref="F22">
    <cfRule type="expression" dxfId="1153" priority="1084">
      <formula>$G$15="Complex"</formula>
    </cfRule>
  </conditionalFormatting>
  <conditionalFormatting sqref="E22">
    <cfRule type="expression" dxfId="1152" priority="1083">
      <formula>$G$15="Complex"</formula>
    </cfRule>
  </conditionalFormatting>
  <conditionalFormatting sqref="O22:P22 S22">
    <cfRule type="expression" dxfId="1151" priority="1082">
      <formula>$T$22=0</formula>
    </cfRule>
  </conditionalFormatting>
  <conditionalFormatting sqref="S13">
    <cfRule type="expression" dxfId="1150" priority="1081">
      <formula>$T$13=1</formula>
    </cfRule>
  </conditionalFormatting>
  <conditionalFormatting sqref="S14">
    <cfRule type="expression" dxfId="1149" priority="1080">
      <formula>$T$14=1</formula>
    </cfRule>
  </conditionalFormatting>
  <conditionalFormatting sqref="S15">
    <cfRule type="expression" dxfId="1148" priority="1079">
      <formula>$T$15=1</formula>
    </cfRule>
  </conditionalFormatting>
  <conditionalFormatting sqref="S16">
    <cfRule type="expression" dxfId="1147" priority="1078">
      <formula>$T$16=1</formula>
    </cfRule>
  </conditionalFormatting>
  <conditionalFormatting sqref="E63:F63">
    <cfRule type="expression" dxfId="1146" priority="1077">
      <formula>$G$51=0%</formula>
    </cfRule>
  </conditionalFormatting>
  <conditionalFormatting sqref="AB80:AB86 U80:Z80 O80:R80 O81:O85">
    <cfRule type="expression" dxfId="1145" priority="1074">
      <formula>$L80=0</formula>
    </cfRule>
  </conditionalFormatting>
  <conditionalFormatting sqref="O86:R86 U86:Z86">
    <cfRule type="expression" dxfId="1144" priority="1073">
      <formula>$L$86=0</formula>
    </cfRule>
  </conditionalFormatting>
  <conditionalFormatting sqref="O36:P39 S36:S39">
    <cfRule type="expression" dxfId="1143" priority="1072">
      <formula>$R$36=1</formula>
    </cfRule>
  </conditionalFormatting>
  <conditionalFormatting sqref="O40:P40 S40 S42:S45 O42:Q45">
    <cfRule type="expression" dxfId="1142" priority="1071">
      <formula>$R$40=1</formula>
    </cfRule>
  </conditionalFormatting>
  <conditionalFormatting sqref="O41:P41 S41">
    <cfRule type="expression" dxfId="1141" priority="1120">
      <formula>$R$41=1</formula>
    </cfRule>
  </conditionalFormatting>
  <conditionalFormatting sqref="O46:P46 S46">
    <cfRule type="expression" dxfId="1140" priority="1070">
      <formula>$R$46=1</formula>
    </cfRule>
  </conditionalFormatting>
  <conditionalFormatting sqref="L24 K19">
    <cfRule type="expression" dxfId="1139" priority="1121">
      <formula>$G$15="Simple"</formula>
    </cfRule>
  </conditionalFormatting>
  <conditionalFormatting sqref="L25:L29 K20:K24">
    <cfRule type="expression" dxfId="1138" priority="1122">
      <formula>$G$15="Intermediate"</formula>
    </cfRule>
  </conditionalFormatting>
  <conditionalFormatting sqref="E74:F79 I74:I79">
    <cfRule type="expression" dxfId="1137" priority="1123">
      <formula>$G$73="No"</formula>
    </cfRule>
  </conditionalFormatting>
  <conditionalFormatting sqref="O77:P77">
    <cfRule type="expression" dxfId="1136" priority="1069">
      <formula>$P$76="No"</formula>
    </cfRule>
  </conditionalFormatting>
  <conditionalFormatting sqref="S77">
    <cfRule type="expression" dxfId="1135" priority="1068">
      <formula>$P$77="No"</formula>
    </cfRule>
  </conditionalFormatting>
  <conditionalFormatting sqref="S28">
    <cfRule type="expression" dxfId="1134" priority="1067">
      <formula>$Q$20="Cost-Based"</formula>
    </cfRule>
  </conditionalFormatting>
  <conditionalFormatting sqref="G22">
    <cfRule type="expression" dxfId="1133" priority="1065">
      <formula>$G$15="Complex"</formula>
    </cfRule>
  </conditionalFormatting>
  <conditionalFormatting sqref="G8">
    <cfRule type="expression" dxfId="1132" priority="1064">
      <formula>#REF!="Solar Thermal Electric"</formula>
    </cfRule>
  </conditionalFormatting>
  <conditionalFormatting sqref="G36:G43">
    <cfRule type="expression" dxfId="1131" priority="1063">
      <formula>$G$30="Simple"</formula>
    </cfRule>
  </conditionalFormatting>
  <conditionalFormatting sqref="G57">
    <cfRule type="expression" dxfId="1130" priority="1062">
      <formula>$G$57="Fail"</formula>
    </cfRule>
  </conditionalFormatting>
  <conditionalFormatting sqref="G46:G48">
    <cfRule type="expression" dxfId="1129" priority="1061">
      <formula>$G$15="Simple"</formula>
    </cfRule>
  </conditionalFormatting>
  <conditionalFormatting sqref="G60">
    <cfRule type="expression" dxfId="1128" priority="1060">
      <formula>$G$60="Fail"</formula>
    </cfRule>
  </conditionalFormatting>
  <conditionalFormatting sqref="G16">
    <cfRule type="expression" dxfId="1127" priority="1059">
      <formula>$G$15="Simple"</formula>
    </cfRule>
  </conditionalFormatting>
  <conditionalFormatting sqref="G21">
    <cfRule type="expression" dxfId="1126" priority="1058">
      <formula>$G$15="Intermediate"</formula>
    </cfRule>
  </conditionalFormatting>
  <conditionalFormatting sqref="G17 G19:G20">
    <cfRule type="expression" dxfId="1125" priority="1057">
      <formula>$G$15="Intermediate"</formula>
    </cfRule>
  </conditionalFormatting>
  <conditionalFormatting sqref="G18">
    <cfRule type="expression" dxfId="1124" priority="1055">
      <formula>$G$15="Intermediate"</formula>
    </cfRule>
    <cfRule type="expression" dxfId="1123" priority="1056">
      <formula>$G$15="Intermediate"</formula>
    </cfRule>
  </conditionalFormatting>
  <conditionalFormatting sqref="G52:G60">
    <cfRule type="expression" dxfId="1122" priority="1054">
      <formula>$G$51=0</formula>
    </cfRule>
  </conditionalFormatting>
  <conditionalFormatting sqref="G63">
    <cfRule type="expression" dxfId="1121" priority="1053">
      <formula>$G$51=0%</formula>
    </cfRule>
  </conditionalFormatting>
  <conditionalFormatting sqref="G74:G79">
    <cfRule type="expression" dxfId="1120" priority="1066">
      <formula>$G$73="No"</formula>
    </cfRule>
  </conditionalFormatting>
  <conditionalFormatting sqref="Q64">
    <cfRule type="expression" dxfId="1119" priority="1051">
      <formula>$Q$63="Salvage"</formula>
    </cfRule>
  </conditionalFormatting>
  <conditionalFormatting sqref="Q14">
    <cfRule type="expression" dxfId="1118" priority="1050">
      <formula>$T$14=1</formula>
    </cfRule>
  </conditionalFormatting>
  <conditionalFormatting sqref="Q15">
    <cfRule type="expression" dxfId="1117" priority="1049">
      <formula>$T$15=1</formula>
    </cfRule>
  </conditionalFormatting>
  <conditionalFormatting sqref="Q13">
    <cfRule type="expression" dxfId="1116" priority="1048">
      <formula>$T$13=1</formula>
    </cfRule>
  </conditionalFormatting>
  <conditionalFormatting sqref="Q20:Q21">
    <cfRule type="expression" dxfId="1115" priority="1047">
      <formula>$Q$19="Performance-Based"</formula>
    </cfRule>
  </conditionalFormatting>
  <conditionalFormatting sqref="Q24:Q28">
    <cfRule type="expression" dxfId="1114" priority="1046">
      <formula>$Q$19="Cost-Based"</formula>
    </cfRule>
  </conditionalFormatting>
  <conditionalFormatting sqref="Q22">
    <cfRule type="expression" dxfId="1113" priority="1045">
      <formula>$T$22=0</formula>
    </cfRule>
  </conditionalFormatting>
  <conditionalFormatting sqref="Q36:Q39">
    <cfRule type="expression" dxfId="1112" priority="1044">
      <formula>$R$36=1</formula>
    </cfRule>
  </conditionalFormatting>
  <conditionalFormatting sqref="Q40">
    <cfRule type="expression" dxfId="1111" priority="1043">
      <formula>$R$40=1</formula>
    </cfRule>
  </conditionalFormatting>
  <conditionalFormatting sqref="Q41">
    <cfRule type="expression" dxfId="1110" priority="1052">
      <formula>$R$41=1</formula>
    </cfRule>
  </conditionalFormatting>
  <conditionalFormatting sqref="Q46">
    <cfRule type="expression" dxfId="1109" priority="1042">
      <formula>$R$46=1</formula>
    </cfRule>
  </conditionalFormatting>
  <conditionalFormatting sqref="C101">
    <cfRule type="expression" dxfId="1108" priority="1035">
      <formula>$G$15&lt;&gt;""</formula>
    </cfRule>
  </conditionalFormatting>
  <conditionalFormatting sqref="C117">
    <cfRule type="expression" dxfId="1107" priority="1034">
      <formula>$G$31&gt;=0</formula>
    </cfRule>
  </conditionalFormatting>
  <conditionalFormatting sqref="C102">
    <cfRule type="expression" dxfId="1106" priority="1029">
      <formula>AND($G$15="Simple",$G$16&gt;0)</formula>
    </cfRule>
    <cfRule type="expression" dxfId="1105" priority="1033">
      <formula>AND($G$15="Simple",$G$16&lt;=0)</formula>
    </cfRule>
  </conditionalFormatting>
  <conditionalFormatting sqref="C103">
    <cfRule type="expression" dxfId="1104" priority="1028">
      <formula>AND($G$15="Intermediate",$G$17&gt;0)</formula>
    </cfRule>
    <cfRule type="expression" dxfId="1103" priority="1032">
      <formula>AND($G$15="Intermediate",$G$17&lt;=0)</formula>
    </cfRule>
  </conditionalFormatting>
  <conditionalFormatting sqref="C160">
    <cfRule type="expression" dxfId="1102" priority="1001">
      <formula>$G$73="No"</formula>
    </cfRule>
    <cfRule type="expression" dxfId="1101" priority="1002">
      <formula>$D$74=1</formula>
    </cfRule>
  </conditionalFormatting>
  <conditionalFormatting sqref="C148">
    <cfRule type="expression" dxfId="1100" priority="1026">
      <formula>$D$62=1</formula>
    </cfRule>
  </conditionalFormatting>
  <conditionalFormatting sqref="H108 L117 K111">
    <cfRule type="expression" dxfId="1099" priority="1036">
      <formula>$G$15="Complex"</formula>
    </cfRule>
  </conditionalFormatting>
  <conditionalFormatting sqref="C137">
    <cfRule type="expression" dxfId="1098" priority="1027">
      <formula>$D$51=1</formula>
    </cfRule>
  </conditionalFormatting>
  <conditionalFormatting sqref="E94:F94 H94:I94">
    <cfRule type="expression" dxfId="1097" priority="1031">
      <formula>#REF!="Solar Thermal Electric"</formula>
    </cfRule>
  </conditionalFormatting>
  <conditionalFormatting sqref="E122:F129 H122:H125 H127:H129">
    <cfRule type="expression" dxfId="1096" priority="1030">
      <formula>$G$30="Simple"</formula>
    </cfRule>
  </conditionalFormatting>
  <conditionalFormatting sqref="O150:P150 S150">
    <cfRule type="expression" dxfId="1095" priority="1025">
      <formula>$Q$63="Salvage"</formula>
    </cfRule>
  </conditionalFormatting>
  <conditionalFormatting sqref="E132:F134">
    <cfRule type="expression" dxfId="1094" priority="1024">
      <formula>$G$15="Simple"</formula>
    </cfRule>
  </conditionalFormatting>
  <conditionalFormatting sqref="E103:F107">
    <cfRule type="expression" dxfId="1093" priority="1023">
      <formula>$G$15="Intermediate"</formula>
    </cfRule>
  </conditionalFormatting>
  <conditionalFormatting sqref="E138:F146 I138:I146">
    <cfRule type="expression" dxfId="1092" priority="1022">
      <formula>$G$51=0</formula>
    </cfRule>
  </conditionalFormatting>
  <conditionalFormatting sqref="O100:P100">
    <cfRule type="expression" dxfId="1091" priority="1021">
      <formula>$T$14=1</formula>
    </cfRule>
  </conditionalFormatting>
  <conditionalFormatting sqref="O101:P101">
    <cfRule type="expression" dxfId="1090" priority="1020">
      <formula>$T$15=1</formula>
    </cfRule>
  </conditionalFormatting>
  <conditionalFormatting sqref="O102">
    <cfRule type="expression" dxfId="1089" priority="1019">
      <formula>$T$16=1</formula>
    </cfRule>
  </conditionalFormatting>
  <conditionalFormatting sqref="O99:P99">
    <cfRule type="expression" dxfId="1088" priority="1018">
      <formula>$T$13=1</formula>
    </cfRule>
  </conditionalFormatting>
  <conditionalFormatting sqref="O106:P107 S106:S107 S109 O109:Q109">
    <cfRule type="expression" dxfId="1087" priority="1017">
      <formula>$Q$19="Performance-Based"</formula>
    </cfRule>
  </conditionalFormatting>
  <conditionalFormatting sqref="O110:P114 S110:S114">
    <cfRule type="expression" dxfId="1086" priority="1016">
      <formula>$Q$19="Cost-Based"</formula>
    </cfRule>
  </conditionalFormatting>
  <conditionalFormatting sqref="I102">
    <cfRule type="expression" dxfId="1085" priority="1015">
      <formula>$G$15="Simple"</formula>
    </cfRule>
  </conditionalFormatting>
  <conditionalFormatting sqref="I108">
    <cfRule type="expression" dxfId="1084" priority="1014">
      <formula>$G$15="Complex"</formula>
    </cfRule>
  </conditionalFormatting>
  <conditionalFormatting sqref="I103:I107">
    <cfRule type="expression" dxfId="1083" priority="1013">
      <formula>$G$15="Intermediate"</formula>
    </cfRule>
  </conditionalFormatting>
  <conditionalFormatting sqref="I122:I129">
    <cfRule type="expression" dxfId="1082" priority="1012">
      <formula>$G$30="Intermediate"</formula>
    </cfRule>
  </conditionalFormatting>
  <conditionalFormatting sqref="E102:F102">
    <cfRule type="expression" dxfId="1081" priority="1011">
      <formula>$G$15="Simple"</formula>
    </cfRule>
  </conditionalFormatting>
  <conditionalFormatting sqref="F108">
    <cfRule type="expression" dxfId="1080" priority="1010">
      <formula>$G$15="Complex"</formula>
    </cfRule>
  </conditionalFormatting>
  <conditionalFormatting sqref="E108">
    <cfRule type="expression" dxfId="1079" priority="1009">
      <formula>$G$15="Complex"</formula>
    </cfRule>
  </conditionalFormatting>
  <conditionalFormatting sqref="O108:P108 S108">
    <cfRule type="expression" dxfId="1078" priority="1008">
      <formula>$T$22=0</formula>
    </cfRule>
  </conditionalFormatting>
  <conditionalFormatting sqref="S99">
    <cfRule type="expression" dxfId="1077" priority="1007">
      <formula>$T$13=1</formula>
    </cfRule>
  </conditionalFormatting>
  <conditionalFormatting sqref="S100">
    <cfRule type="expression" dxfId="1076" priority="1006">
      <formula>$T$14=1</formula>
    </cfRule>
  </conditionalFormatting>
  <conditionalFormatting sqref="S101">
    <cfRule type="expression" dxfId="1075" priority="1005">
      <formula>$T$15=1</formula>
    </cfRule>
  </conditionalFormatting>
  <conditionalFormatting sqref="S102">
    <cfRule type="expression" dxfId="1074" priority="1004">
      <formula>$T$16=1</formula>
    </cfRule>
  </conditionalFormatting>
  <conditionalFormatting sqref="E149:F149">
    <cfRule type="expression" dxfId="1073" priority="1003">
      <formula>$G$51=0%</formula>
    </cfRule>
  </conditionalFormatting>
  <conditionalFormatting sqref="AB166:AB172 U166:Z171 O166:R166 O167:O171">
    <cfRule type="expression" dxfId="1072" priority="1000">
      <formula>$L166=0</formula>
    </cfRule>
  </conditionalFormatting>
  <conditionalFormatting sqref="O172:R172 U172:Z172">
    <cfRule type="expression" dxfId="1071" priority="999">
      <formula>$L$86=0</formula>
    </cfRule>
  </conditionalFormatting>
  <conditionalFormatting sqref="O122:P125 S122:S125">
    <cfRule type="expression" dxfId="1070" priority="998">
      <formula>$R$36=1</formula>
    </cfRule>
  </conditionalFormatting>
  <conditionalFormatting sqref="O126:P126 S126 S128:S131 O128:Q131">
    <cfRule type="expression" dxfId="1069" priority="997">
      <formula>$R$40=1</formula>
    </cfRule>
  </conditionalFormatting>
  <conditionalFormatting sqref="O127:P127 S127">
    <cfRule type="expression" dxfId="1068" priority="1037">
      <formula>$R$41=1</formula>
    </cfRule>
  </conditionalFormatting>
  <conditionalFormatting sqref="O132:P132 S132">
    <cfRule type="expression" dxfId="1067" priority="996">
      <formula>$R$46=1</formula>
    </cfRule>
  </conditionalFormatting>
  <conditionalFormatting sqref="L110 K105">
    <cfRule type="expression" dxfId="1066" priority="1038">
      <formula>$G$15="Simple"</formula>
    </cfRule>
  </conditionalFormatting>
  <conditionalFormatting sqref="L111:L115 K106:K110">
    <cfRule type="expression" dxfId="1065" priority="1039">
      <formula>$G$15="Intermediate"</formula>
    </cfRule>
  </conditionalFormatting>
  <conditionalFormatting sqref="E160:F165 I160:I165">
    <cfRule type="expression" dxfId="1064" priority="1040">
      <formula>$G$73="No"</formula>
    </cfRule>
  </conditionalFormatting>
  <conditionalFormatting sqref="O163:P163">
    <cfRule type="expression" dxfId="1063" priority="995">
      <formula>$P$76="No"</formula>
    </cfRule>
  </conditionalFormatting>
  <conditionalFormatting sqref="S163">
    <cfRule type="expression" dxfId="1062" priority="994">
      <formula>$P$77="No"</formula>
    </cfRule>
  </conditionalFormatting>
  <conditionalFormatting sqref="S114">
    <cfRule type="expression" dxfId="1061" priority="993">
      <formula>$Q$20="Cost-Based"</formula>
    </cfRule>
  </conditionalFormatting>
  <conditionalFormatting sqref="G108">
    <cfRule type="expression" dxfId="1060" priority="991">
      <formula>$G$15="Complex"</formula>
    </cfRule>
  </conditionalFormatting>
  <conditionalFormatting sqref="G94">
    <cfRule type="expression" dxfId="1059" priority="990">
      <formula>#REF!="Solar Thermal Electric"</formula>
    </cfRule>
  </conditionalFormatting>
  <conditionalFormatting sqref="G122:G129">
    <cfRule type="expression" dxfId="1058" priority="989">
      <formula>$G$30="Simple"</formula>
    </cfRule>
  </conditionalFormatting>
  <conditionalFormatting sqref="G143">
    <cfRule type="expression" dxfId="1057" priority="988">
      <formula>$G$57="Fail"</formula>
    </cfRule>
  </conditionalFormatting>
  <conditionalFormatting sqref="G132:G134">
    <cfRule type="expression" dxfId="1056" priority="987">
      <formula>$G$15="Simple"</formula>
    </cfRule>
  </conditionalFormatting>
  <conditionalFormatting sqref="G146">
    <cfRule type="expression" dxfId="1055" priority="986">
      <formula>$G$60="Fail"</formula>
    </cfRule>
  </conditionalFormatting>
  <conditionalFormatting sqref="G102">
    <cfRule type="expression" dxfId="1054" priority="985">
      <formula>$G$15="Simple"</formula>
    </cfRule>
  </conditionalFormatting>
  <conditionalFormatting sqref="G107">
    <cfRule type="expression" dxfId="1053" priority="984">
      <formula>$G$15="Intermediate"</formula>
    </cfRule>
  </conditionalFormatting>
  <conditionalFormatting sqref="G103 G105:G106">
    <cfRule type="expression" dxfId="1052" priority="983">
      <formula>$G$15="Intermediate"</formula>
    </cfRule>
  </conditionalFormatting>
  <conditionalFormatting sqref="G104">
    <cfRule type="expression" dxfId="1051" priority="981">
      <formula>$G$15="Intermediate"</formula>
    </cfRule>
    <cfRule type="expression" dxfId="1050" priority="982">
      <formula>$G$15="Intermediate"</formula>
    </cfRule>
  </conditionalFormatting>
  <conditionalFormatting sqref="G138:G146">
    <cfRule type="expression" dxfId="1049" priority="980">
      <formula>$G$51=0</formula>
    </cfRule>
  </conditionalFormatting>
  <conditionalFormatting sqref="G149">
    <cfRule type="expression" dxfId="1048" priority="979">
      <formula>$G$51=0%</formula>
    </cfRule>
  </conditionalFormatting>
  <conditionalFormatting sqref="G160:G165">
    <cfRule type="expression" dxfId="1047" priority="992">
      <formula>$G$73="No"</formula>
    </cfRule>
  </conditionalFormatting>
  <conditionalFormatting sqref="Q150">
    <cfRule type="expression" dxfId="1046" priority="977">
      <formula>$Q$63="Salvage"</formula>
    </cfRule>
  </conditionalFormatting>
  <conditionalFormatting sqref="Q100">
    <cfRule type="expression" dxfId="1045" priority="976">
      <formula>$T$14=1</formula>
    </cfRule>
  </conditionalFormatting>
  <conditionalFormatting sqref="Q101">
    <cfRule type="expression" dxfId="1044" priority="975">
      <formula>$T$15=1</formula>
    </cfRule>
  </conditionalFormatting>
  <conditionalFormatting sqref="Q99">
    <cfRule type="expression" dxfId="1043" priority="974">
      <formula>$T$13=1</formula>
    </cfRule>
  </conditionalFormatting>
  <conditionalFormatting sqref="Q106:Q107">
    <cfRule type="expression" dxfId="1042" priority="973">
      <formula>$Q$19="Performance-Based"</formula>
    </cfRule>
  </conditionalFormatting>
  <conditionalFormatting sqref="Q110:Q114">
    <cfRule type="expression" dxfId="1041" priority="972">
      <formula>$Q$19="Cost-Based"</formula>
    </cfRule>
  </conditionalFormatting>
  <conditionalFormatting sqref="Q108">
    <cfRule type="expression" dxfId="1040" priority="971">
      <formula>$T$22=0</formula>
    </cfRule>
  </conditionalFormatting>
  <conditionalFormatting sqref="Q122:Q125">
    <cfRule type="expression" dxfId="1039" priority="970">
      <formula>$R$36=1</formula>
    </cfRule>
  </conditionalFormatting>
  <conditionalFormatting sqref="Q126">
    <cfRule type="expression" dxfId="1038" priority="969">
      <formula>$R$40=1</formula>
    </cfRule>
  </conditionalFormatting>
  <conditionalFormatting sqref="Q127">
    <cfRule type="expression" dxfId="1037" priority="978">
      <formula>$R$41=1</formula>
    </cfRule>
  </conditionalFormatting>
  <conditionalFormatting sqref="Q132">
    <cfRule type="expression" dxfId="1036" priority="968">
      <formula>$R$46=1</formula>
    </cfRule>
  </conditionalFormatting>
  <conditionalFormatting sqref="P167:R171">
    <cfRule type="expression" dxfId="1035" priority="967">
      <formula>$L167=0</formula>
    </cfRule>
  </conditionalFormatting>
  <conditionalFormatting sqref="C187">
    <cfRule type="expression" dxfId="1034" priority="961">
      <formula>$G$15&lt;&gt;""</formula>
    </cfRule>
  </conditionalFormatting>
  <conditionalFormatting sqref="C203">
    <cfRule type="expression" dxfId="1033" priority="960">
      <formula>$G$31&gt;=0</formula>
    </cfRule>
  </conditionalFormatting>
  <conditionalFormatting sqref="C188">
    <cfRule type="expression" dxfId="1032" priority="955">
      <formula>AND($G$15="Simple",$G$16&gt;0)</formula>
    </cfRule>
    <cfRule type="expression" dxfId="1031" priority="959">
      <formula>AND($G$15="Simple",$G$16&lt;=0)</formula>
    </cfRule>
  </conditionalFormatting>
  <conditionalFormatting sqref="C189">
    <cfRule type="expression" dxfId="1030" priority="954">
      <formula>AND($G$15="Intermediate",$G$17&gt;0)</formula>
    </cfRule>
    <cfRule type="expression" dxfId="1029" priority="958">
      <formula>AND($G$15="Intermediate",$G$17&lt;=0)</formula>
    </cfRule>
  </conditionalFormatting>
  <conditionalFormatting sqref="C246">
    <cfRule type="expression" dxfId="1028" priority="927">
      <formula>$G$73="No"</formula>
    </cfRule>
    <cfRule type="expression" dxfId="1027" priority="928">
      <formula>$D$74=1</formula>
    </cfRule>
  </conditionalFormatting>
  <conditionalFormatting sqref="C234">
    <cfRule type="expression" dxfId="1026" priority="952">
      <formula>$D$62=1</formula>
    </cfRule>
  </conditionalFormatting>
  <conditionalFormatting sqref="H194 L203 K197">
    <cfRule type="expression" dxfId="1025" priority="962">
      <formula>$G$15="Complex"</formula>
    </cfRule>
  </conditionalFormatting>
  <conditionalFormatting sqref="C223">
    <cfRule type="expression" dxfId="1024" priority="953">
      <formula>$D$51=1</formula>
    </cfRule>
  </conditionalFormatting>
  <conditionalFormatting sqref="E180:F180 H180:I180">
    <cfRule type="expression" dxfId="1023" priority="957">
      <formula>#REF!="Solar Thermal Electric"</formula>
    </cfRule>
  </conditionalFormatting>
  <conditionalFormatting sqref="E208:F215 H208:H211 H213:H215">
    <cfRule type="expression" dxfId="1022" priority="956">
      <formula>$G$30="Simple"</formula>
    </cfRule>
  </conditionalFormatting>
  <conditionalFormatting sqref="O236:P236 S236">
    <cfRule type="expression" dxfId="1021" priority="951">
      <formula>$Q$63="Salvage"</formula>
    </cfRule>
  </conditionalFormatting>
  <conditionalFormatting sqref="E218:F220">
    <cfRule type="expression" dxfId="1020" priority="950">
      <formula>$G$15="Simple"</formula>
    </cfRule>
  </conditionalFormatting>
  <conditionalFormatting sqref="E189:F193">
    <cfRule type="expression" dxfId="1019" priority="949">
      <formula>$G$15="Intermediate"</formula>
    </cfRule>
  </conditionalFormatting>
  <conditionalFormatting sqref="E224:F232 I224:I232">
    <cfRule type="expression" dxfId="1018" priority="948">
      <formula>$G$51=0</formula>
    </cfRule>
  </conditionalFormatting>
  <conditionalFormatting sqref="O186:P186">
    <cfRule type="expression" dxfId="1017" priority="947">
      <formula>$T$14=1</formula>
    </cfRule>
  </conditionalFormatting>
  <conditionalFormatting sqref="O187:P187">
    <cfRule type="expression" dxfId="1016" priority="946">
      <formula>$T$15=1</formula>
    </cfRule>
  </conditionalFormatting>
  <conditionalFormatting sqref="O188">
    <cfRule type="expression" dxfId="1015" priority="945">
      <formula>$T$16=1</formula>
    </cfRule>
  </conditionalFormatting>
  <conditionalFormatting sqref="O185:P185">
    <cfRule type="expression" dxfId="1014" priority="944">
      <formula>$T$13=1</formula>
    </cfRule>
  </conditionalFormatting>
  <conditionalFormatting sqref="O192:P193 S192:S193 S195 O195:Q195">
    <cfRule type="expression" dxfId="1013" priority="943">
      <formula>$Q$19="Performance-Based"</formula>
    </cfRule>
  </conditionalFormatting>
  <conditionalFormatting sqref="O196:P200 S196:S200">
    <cfRule type="expression" dxfId="1012" priority="942">
      <formula>$Q$19="Cost-Based"</formula>
    </cfRule>
  </conditionalFormatting>
  <conditionalFormatting sqref="I188">
    <cfRule type="expression" dxfId="1011" priority="941">
      <formula>$G$15="Simple"</formula>
    </cfRule>
  </conditionalFormatting>
  <conditionalFormatting sqref="I194">
    <cfRule type="expression" dxfId="1010" priority="940">
      <formula>$G$15="Complex"</formula>
    </cfRule>
  </conditionalFormatting>
  <conditionalFormatting sqref="I189:I193">
    <cfRule type="expression" dxfId="1009" priority="939">
      <formula>$G$15="Intermediate"</formula>
    </cfRule>
  </conditionalFormatting>
  <conditionalFormatting sqref="I208:I215">
    <cfRule type="expression" dxfId="1008" priority="938">
      <formula>$G$30="Intermediate"</formula>
    </cfRule>
  </conditionalFormatting>
  <conditionalFormatting sqref="E188:F188">
    <cfRule type="expression" dxfId="1007" priority="937">
      <formula>$G$15="Simple"</formula>
    </cfRule>
  </conditionalFormatting>
  <conditionalFormatting sqref="F194">
    <cfRule type="expression" dxfId="1006" priority="936">
      <formula>$G$15="Complex"</formula>
    </cfRule>
  </conditionalFormatting>
  <conditionalFormatting sqref="E194">
    <cfRule type="expression" dxfId="1005" priority="935">
      <formula>$G$15="Complex"</formula>
    </cfRule>
  </conditionalFormatting>
  <conditionalFormatting sqref="O194:P194 S194">
    <cfRule type="expression" dxfId="1004" priority="934">
      <formula>$T$22=0</formula>
    </cfRule>
  </conditionalFormatting>
  <conditionalFormatting sqref="S185">
    <cfRule type="expression" dxfId="1003" priority="933">
      <formula>$T$13=1</formula>
    </cfRule>
  </conditionalFormatting>
  <conditionalFormatting sqref="S186">
    <cfRule type="expression" dxfId="1002" priority="932">
      <formula>$T$14=1</formula>
    </cfRule>
  </conditionalFormatting>
  <conditionalFormatting sqref="S187">
    <cfRule type="expression" dxfId="1001" priority="931">
      <formula>$T$15=1</formula>
    </cfRule>
  </conditionalFormatting>
  <conditionalFormatting sqref="S188">
    <cfRule type="expression" dxfId="1000" priority="930">
      <formula>$T$16=1</formula>
    </cfRule>
  </conditionalFormatting>
  <conditionalFormatting sqref="E235:F235">
    <cfRule type="expression" dxfId="999" priority="929">
      <formula>$G$51=0%</formula>
    </cfRule>
  </conditionalFormatting>
  <conditionalFormatting sqref="AB252:AB258 U252:Z252 O252:R252 O253:O257">
    <cfRule type="expression" dxfId="998" priority="926">
      <formula>$L252=0</formula>
    </cfRule>
  </conditionalFormatting>
  <conditionalFormatting sqref="O258:R258 U258:Z258">
    <cfRule type="expression" dxfId="997" priority="925">
      <formula>$L$86=0</formula>
    </cfRule>
  </conditionalFormatting>
  <conditionalFormatting sqref="O208:P211 S208:S211">
    <cfRule type="expression" dxfId="996" priority="924">
      <formula>$R$36=1</formula>
    </cfRule>
  </conditionalFormatting>
  <conditionalFormatting sqref="O212:P212 S212 S214:S217 O214:Q217">
    <cfRule type="expression" dxfId="995" priority="923">
      <formula>$R$40=1</formula>
    </cfRule>
  </conditionalFormatting>
  <conditionalFormatting sqref="O213:P213 S213">
    <cfRule type="expression" dxfId="994" priority="963">
      <formula>$R$41=1</formula>
    </cfRule>
  </conditionalFormatting>
  <conditionalFormatting sqref="O218:P218 S218">
    <cfRule type="expression" dxfId="993" priority="922">
      <formula>$R$46=1</formula>
    </cfRule>
  </conditionalFormatting>
  <conditionalFormatting sqref="L196 K191">
    <cfRule type="expression" dxfId="992" priority="964">
      <formula>$G$15="Simple"</formula>
    </cfRule>
  </conditionalFormatting>
  <conditionalFormatting sqref="L197:L201 K192:K196">
    <cfRule type="expression" dxfId="991" priority="965">
      <formula>$G$15="Intermediate"</formula>
    </cfRule>
  </conditionalFormatting>
  <conditionalFormatting sqref="E246:F251 I246:I251">
    <cfRule type="expression" dxfId="990" priority="966">
      <formula>$G$73="No"</formula>
    </cfRule>
  </conditionalFormatting>
  <conditionalFormatting sqref="O249:P249">
    <cfRule type="expression" dxfId="989" priority="921">
      <formula>$P$76="No"</formula>
    </cfRule>
  </conditionalFormatting>
  <conditionalFormatting sqref="S249">
    <cfRule type="expression" dxfId="988" priority="920">
      <formula>$P$77="No"</formula>
    </cfRule>
  </conditionalFormatting>
  <conditionalFormatting sqref="S200">
    <cfRule type="expression" dxfId="987" priority="919">
      <formula>$Q$20="Cost-Based"</formula>
    </cfRule>
  </conditionalFormatting>
  <conditionalFormatting sqref="G194">
    <cfRule type="expression" dxfId="986" priority="917">
      <formula>$G$15="Complex"</formula>
    </cfRule>
  </conditionalFormatting>
  <conditionalFormatting sqref="G180">
    <cfRule type="expression" dxfId="985" priority="916">
      <formula>#REF!="Solar Thermal Electric"</formula>
    </cfRule>
  </conditionalFormatting>
  <conditionalFormatting sqref="G208:G215">
    <cfRule type="expression" dxfId="984" priority="915">
      <formula>$G$30="Simple"</formula>
    </cfRule>
  </conditionalFormatting>
  <conditionalFormatting sqref="G229">
    <cfRule type="expression" dxfId="983" priority="914">
      <formula>$G$57="Fail"</formula>
    </cfRule>
  </conditionalFormatting>
  <conditionalFormatting sqref="G218:G220">
    <cfRule type="expression" dxfId="982" priority="913">
      <formula>$G$15="Simple"</formula>
    </cfRule>
  </conditionalFormatting>
  <conditionalFormatting sqref="G232">
    <cfRule type="expression" dxfId="981" priority="912">
      <formula>$G$60="Fail"</formula>
    </cfRule>
  </conditionalFormatting>
  <conditionalFormatting sqref="G188">
    <cfRule type="expression" dxfId="980" priority="911">
      <formula>$G$15="Simple"</formula>
    </cfRule>
  </conditionalFormatting>
  <conditionalFormatting sqref="G193">
    <cfRule type="expression" dxfId="979" priority="910">
      <formula>$G$15="Intermediate"</formula>
    </cfRule>
  </conditionalFormatting>
  <conditionalFormatting sqref="G189 G191:G192">
    <cfRule type="expression" dxfId="978" priority="909">
      <formula>$G$15="Intermediate"</formula>
    </cfRule>
  </conditionalFormatting>
  <conditionalFormatting sqref="G190">
    <cfRule type="expression" dxfId="977" priority="907">
      <formula>$G$15="Intermediate"</formula>
    </cfRule>
    <cfRule type="expression" dxfId="976" priority="908">
      <formula>$G$15="Intermediate"</formula>
    </cfRule>
  </conditionalFormatting>
  <conditionalFormatting sqref="G224:G232">
    <cfRule type="expression" dxfId="975" priority="906">
      <formula>$G$51=0</formula>
    </cfRule>
  </conditionalFormatting>
  <conditionalFormatting sqref="G235">
    <cfRule type="expression" dxfId="974" priority="905">
      <formula>$G$51=0%</formula>
    </cfRule>
  </conditionalFormatting>
  <conditionalFormatting sqref="G246:G251">
    <cfRule type="expression" dxfId="973" priority="918">
      <formula>$G$73="No"</formula>
    </cfRule>
  </conditionalFormatting>
  <conditionalFormatting sqref="Q236">
    <cfRule type="expression" dxfId="972" priority="903">
      <formula>$Q$63="Salvage"</formula>
    </cfRule>
  </conditionalFormatting>
  <conditionalFormatting sqref="Q186">
    <cfRule type="expression" dxfId="971" priority="902">
      <formula>$T$14=1</formula>
    </cfRule>
  </conditionalFormatting>
  <conditionalFormatting sqref="Q187">
    <cfRule type="expression" dxfId="970" priority="901">
      <formula>$T$15=1</formula>
    </cfRule>
  </conditionalFormatting>
  <conditionalFormatting sqref="Q185">
    <cfRule type="expression" dxfId="969" priority="900">
      <formula>$T$13=1</formula>
    </cfRule>
  </conditionalFormatting>
  <conditionalFormatting sqref="Q192:Q193">
    <cfRule type="expression" dxfId="968" priority="899">
      <formula>$Q$19="Performance-Based"</formula>
    </cfRule>
  </conditionalFormatting>
  <conditionalFormatting sqref="Q196:Q200">
    <cfRule type="expression" dxfId="967" priority="898">
      <formula>$Q$19="Cost-Based"</formula>
    </cfRule>
  </conditionalFormatting>
  <conditionalFormatting sqref="Q194">
    <cfRule type="expression" dxfId="966" priority="897">
      <formula>$T$22=0</formula>
    </cfRule>
  </conditionalFormatting>
  <conditionalFormatting sqref="Q208:Q211">
    <cfRule type="expression" dxfId="965" priority="896">
      <formula>$R$36=1</formula>
    </cfRule>
  </conditionalFormatting>
  <conditionalFormatting sqref="Q212">
    <cfRule type="expression" dxfId="964" priority="895">
      <formula>$R$40=1</formula>
    </cfRule>
  </conditionalFormatting>
  <conditionalFormatting sqref="Q213">
    <cfRule type="expression" dxfId="963" priority="904">
      <formula>$R$41=1</formula>
    </cfRule>
  </conditionalFormatting>
  <conditionalFormatting sqref="Q218">
    <cfRule type="expression" dxfId="962" priority="894">
      <formula>$R$46=1</formula>
    </cfRule>
  </conditionalFormatting>
  <conditionalFormatting sqref="P253:R257">
    <cfRule type="expression" dxfId="961" priority="893">
      <formula>$L253=0</formula>
    </cfRule>
  </conditionalFormatting>
  <conditionalFormatting sqref="Q81:R85">
    <cfRule type="expression" dxfId="960" priority="892">
      <formula>$L81=0</formula>
    </cfRule>
  </conditionalFormatting>
  <conditionalFormatting sqref="P81:P85">
    <cfRule type="expression" dxfId="959" priority="891">
      <formula>$L81=0</formula>
    </cfRule>
  </conditionalFormatting>
  <conditionalFormatting sqref="C273">
    <cfRule type="expression" dxfId="958" priority="885">
      <formula>$G$15&lt;&gt;""</formula>
    </cfRule>
  </conditionalFormatting>
  <conditionalFormatting sqref="C289">
    <cfRule type="expression" dxfId="957" priority="884">
      <formula>$G$31&gt;=0</formula>
    </cfRule>
  </conditionalFormatting>
  <conditionalFormatting sqref="C274">
    <cfRule type="expression" dxfId="956" priority="879">
      <formula>AND($G$15="Simple",$G$16&gt;0)</formula>
    </cfRule>
    <cfRule type="expression" dxfId="955" priority="883">
      <formula>AND($G$15="Simple",$G$16&lt;=0)</formula>
    </cfRule>
  </conditionalFormatting>
  <conditionalFormatting sqref="C275">
    <cfRule type="expression" dxfId="954" priority="878">
      <formula>AND($G$15="Intermediate",$G$17&gt;0)</formula>
    </cfRule>
    <cfRule type="expression" dxfId="953" priority="882">
      <formula>AND($G$15="Intermediate",$G$17&lt;=0)</formula>
    </cfRule>
  </conditionalFormatting>
  <conditionalFormatting sqref="C332">
    <cfRule type="expression" dxfId="952" priority="851">
      <formula>$G$73="No"</formula>
    </cfRule>
    <cfRule type="expression" dxfId="951" priority="852">
      <formula>$D$74=1</formula>
    </cfRule>
  </conditionalFormatting>
  <conditionalFormatting sqref="C320">
    <cfRule type="expression" dxfId="950" priority="876">
      <formula>$D$62=1</formula>
    </cfRule>
  </conditionalFormatting>
  <conditionalFormatting sqref="H280 L289 K283">
    <cfRule type="expression" dxfId="949" priority="886">
      <formula>$G$15="Complex"</formula>
    </cfRule>
  </conditionalFormatting>
  <conditionalFormatting sqref="C309">
    <cfRule type="expression" dxfId="948" priority="877">
      <formula>$D$51=1</formula>
    </cfRule>
  </conditionalFormatting>
  <conditionalFormatting sqref="E266:F266 H266:I266">
    <cfRule type="expression" dxfId="947" priority="881">
      <formula>#REF!="Solar Thermal Electric"</formula>
    </cfRule>
  </conditionalFormatting>
  <conditionalFormatting sqref="E294:F301 H294:H297 H299:H301">
    <cfRule type="expression" dxfId="946" priority="880">
      <formula>$G$30="Simple"</formula>
    </cfRule>
  </conditionalFormatting>
  <conditionalFormatting sqref="O322:P322 S322">
    <cfRule type="expression" dxfId="945" priority="875">
      <formula>$Q$63="Salvage"</formula>
    </cfRule>
  </conditionalFormatting>
  <conditionalFormatting sqref="E304:F306">
    <cfRule type="expression" dxfId="944" priority="874">
      <formula>$G$15="Simple"</formula>
    </cfRule>
  </conditionalFormatting>
  <conditionalFormatting sqref="E275:F279">
    <cfRule type="expression" dxfId="943" priority="873">
      <formula>$G$15="Intermediate"</formula>
    </cfRule>
  </conditionalFormatting>
  <conditionalFormatting sqref="E310:F318 I310:I318">
    <cfRule type="expression" dxfId="942" priority="872">
      <formula>$G$51=0</formula>
    </cfRule>
  </conditionalFormatting>
  <conditionalFormatting sqref="O272:P272">
    <cfRule type="expression" dxfId="941" priority="871">
      <formula>$T$14=1</formula>
    </cfRule>
  </conditionalFormatting>
  <conditionalFormatting sqref="O273:P273">
    <cfRule type="expression" dxfId="940" priority="870">
      <formula>$T$15=1</formula>
    </cfRule>
  </conditionalFormatting>
  <conditionalFormatting sqref="O274">
    <cfRule type="expression" dxfId="939" priority="869">
      <formula>$T$16=1</formula>
    </cfRule>
  </conditionalFormatting>
  <conditionalFormatting sqref="O271:P271">
    <cfRule type="expression" dxfId="938" priority="868">
      <formula>$T$13=1</formula>
    </cfRule>
  </conditionalFormatting>
  <conditionalFormatting sqref="O278:P279 S278:S279 S281 O281:Q281">
    <cfRule type="expression" dxfId="937" priority="867">
      <formula>$Q$19="Performance-Based"</formula>
    </cfRule>
  </conditionalFormatting>
  <conditionalFormatting sqref="O282:P286 S282:S286">
    <cfRule type="expression" dxfId="936" priority="866">
      <formula>$Q$19="Cost-Based"</formula>
    </cfRule>
  </conditionalFormatting>
  <conditionalFormatting sqref="I274">
    <cfRule type="expression" dxfId="935" priority="865">
      <formula>$G$15="Simple"</formula>
    </cfRule>
  </conditionalFormatting>
  <conditionalFormatting sqref="I280">
    <cfRule type="expression" dxfId="934" priority="864">
      <formula>$G$15="Complex"</formula>
    </cfRule>
  </conditionalFormatting>
  <conditionalFormatting sqref="I275:I279">
    <cfRule type="expression" dxfId="933" priority="863">
      <formula>$G$15="Intermediate"</formula>
    </cfRule>
  </conditionalFormatting>
  <conditionalFormatting sqref="I294:I301">
    <cfRule type="expression" dxfId="932" priority="862">
      <formula>$G$30="Intermediate"</formula>
    </cfRule>
  </conditionalFormatting>
  <conditionalFormatting sqref="E274:F274">
    <cfRule type="expression" dxfId="931" priority="861">
      <formula>$G$15="Simple"</formula>
    </cfRule>
  </conditionalFormatting>
  <conditionalFormatting sqref="F280">
    <cfRule type="expression" dxfId="930" priority="860">
      <formula>$G$15="Complex"</formula>
    </cfRule>
  </conditionalFormatting>
  <conditionalFormatting sqref="E280">
    <cfRule type="expression" dxfId="929" priority="859">
      <formula>$G$15="Complex"</formula>
    </cfRule>
  </conditionalFormatting>
  <conditionalFormatting sqref="O280:P280 S280">
    <cfRule type="expression" dxfId="928" priority="858">
      <formula>$T$22=0</formula>
    </cfRule>
  </conditionalFormatting>
  <conditionalFormatting sqref="S271">
    <cfRule type="expression" dxfId="927" priority="857">
      <formula>$T$13=1</formula>
    </cfRule>
  </conditionalFormatting>
  <conditionalFormatting sqref="S272">
    <cfRule type="expression" dxfId="926" priority="856">
      <formula>$T$14=1</formula>
    </cfRule>
  </conditionalFormatting>
  <conditionalFormatting sqref="S273">
    <cfRule type="expression" dxfId="925" priority="855">
      <formula>$T$15=1</formula>
    </cfRule>
  </conditionalFormatting>
  <conditionalFormatting sqref="S274">
    <cfRule type="expression" dxfId="924" priority="854">
      <formula>$T$16=1</formula>
    </cfRule>
  </conditionalFormatting>
  <conditionalFormatting sqref="E321:F321">
    <cfRule type="expression" dxfId="923" priority="853">
      <formula>$G$51=0%</formula>
    </cfRule>
  </conditionalFormatting>
  <conditionalFormatting sqref="AB338:AB344 U338:Z343 O338:R338 O339:O343">
    <cfRule type="expression" dxfId="922" priority="850">
      <formula>$L338=0</formula>
    </cfRule>
  </conditionalFormatting>
  <conditionalFormatting sqref="O344:R344 U344:Z344">
    <cfRule type="expression" dxfId="921" priority="849">
      <formula>$L$86=0</formula>
    </cfRule>
  </conditionalFormatting>
  <conditionalFormatting sqref="O294:P297 S294:S297">
    <cfRule type="expression" dxfId="920" priority="848">
      <formula>$R$36=1</formula>
    </cfRule>
  </conditionalFormatting>
  <conditionalFormatting sqref="O298:P298 S298 S300:S303 O300:Q303">
    <cfRule type="expression" dxfId="919" priority="847">
      <formula>$R$40=1</formula>
    </cfRule>
  </conditionalFormatting>
  <conditionalFormatting sqref="O299:P299 S299">
    <cfRule type="expression" dxfId="918" priority="887">
      <formula>$R$41=1</formula>
    </cfRule>
  </conditionalFormatting>
  <conditionalFormatting sqref="O304:P304 S304">
    <cfRule type="expression" dxfId="917" priority="846">
      <formula>$R$46=1</formula>
    </cfRule>
  </conditionalFormatting>
  <conditionalFormatting sqref="L282 K277">
    <cfRule type="expression" dxfId="916" priority="888">
      <formula>$G$15="Simple"</formula>
    </cfRule>
  </conditionalFormatting>
  <conditionalFormatting sqref="L283:L287 K278:K282">
    <cfRule type="expression" dxfId="915" priority="889">
      <formula>$G$15="Intermediate"</formula>
    </cfRule>
  </conditionalFormatting>
  <conditionalFormatting sqref="E332:F337 I332:I337">
    <cfRule type="expression" dxfId="914" priority="890">
      <formula>$G$73="No"</formula>
    </cfRule>
  </conditionalFormatting>
  <conditionalFormatting sqref="O335:P335">
    <cfRule type="expression" dxfId="913" priority="845">
      <formula>$P$76="No"</formula>
    </cfRule>
  </conditionalFormatting>
  <conditionalFormatting sqref="S335">
    <cfRule type="expression" dxfId="912" priority="844">
      <formula>$P$77="No"</formula>
    </cfRule>
  </conditionalFormatting>
  <conditionalFormatting sqref="S286">
    <cfRule type="expression" dxfId="911" priority="843">
      <formula>$Q$20="Cost-Based"</formula>
    </cfRule>
  </conditionalFormatting>
  <conditionalFormatting sqref="G280">
    <cfRule type="expression" dxfId="910" priority="841">
      <formula>$G$15="Complex"</formula>
    </cfRule>
  </conditionalFormatting>
  <conditionalFormatting sqref="G266">
    <cfRule type="expression" dxfId="909" priority="840">
      <formula>#REF!="Solar Thermal Electric"</formula>
    </cfRule>
  </conditionalFormatting>
  <conditionalFormatting sqref="G294:G301">
    <cfRule type="expression" dxfId="908" priority="839">
      <formula>$G$30="Simple"</formula>
    </cfRule>
  </conditionalFormatting>
  <conditionalFormatting sqref="G315">
    <cfRule type="expression" dxfId="907" priority="838">
      <formula>$G$57="Fail"</formula>
    </cfRule>
  </conditionalFormatting>
  <conditionalFormatting sqref="G304:G306">
    <cfRule type="expression" dxfId="906" priority="837">
      <formula>$G$15="Simple"</formula>
    </cfRule>
  </conditionalFormatting>
  <conditionalFormatting sqref="G318">
    <cfRule type="expression" dxfId="905" priority="836">
      <formula>$G$60="Fail"</formula>
    </cfRule>
  </conditionalFormatting>
  <conditionalFormatting sqref="G274">
    <cfRule type="expression" dxfId="904" priority="835">
      <formula>$G$15="Simple"</formula>
    </cfRule>
  </conditionalFormatting>
  <conditionalFormatting sqref="G279">
    <cfRule type="expression" dxfId="903" priority="834">
      <formula>$G$15="Intermediate"</formula>
    </cfRule>
  </conditionalFormatting>
  <conditionalFormatting sqref="G275 G277:G278">
    <cfRule type="expression" dxfId="902" priority="833">
      <formula>$G$15="Intermediate"</formula>
    </cfRule>
  </conditionalFormatting>
  <conditionalFormatting sqref="G276">
    <cfRule type="expression" dxfId="901" priority="831">
      <formula>$G$15="Intermediate"</formula>
    </cfRule>
    <cfRule type="expression" dxfId="900" priority="832">
      <formula>$G$15="Intermediate"</formula>
    </cfRule>
  </conditionalFormatting>
  <conditionalFormatting sqref="G310:G318">
    <cfRule type="expression" dxfId="899" priority="830">
      <formula>$G$51=0</formula>
    </cfRule>
  </conditionalFormatting>
  <conditionalFormatting sqref="G321">
    <cfRule type="expression" dxfId="898" priority="829">
      <formula>$G$51=0%</formula>
    </cfRule>
  </conditionalFormatting>
  <conditionalFormatting sqref="G332:G337">
    <cfRule type="expression" dxfId="897" priority="842">
      <formula>$G$73="No"</formula>
    </cfRule>
  </conditionalFormatting>
  <conditionalFormatting sqref="Q322">
    <cfRule type="expression" dxfId="896" priority="827">
      <formula>$Q$63="Salvage"</formula>
    </cfRule>
  </conditionalFormatting>
  <conditionalFormatting sqref="Q272">
    <cfRule type="expression" dxfId="895" priority="826">
      <formula>$T$14=1</formula>
    </cfRule>
  </conditionalFormatting>
  <conditionalFormatting sqref="Q273">
    <cfRule type="expression" dxfId="894" priority="825">
      <formula>$T$15=1</formula>
    </cfRule>
  </conditionalFormatting>
  <conditionalFormatting sqref="Q271">
    <cfRule type="expression" dxfId="893" priority="824">
      <formula>$T$13=1</formula>
    </cfRule>
  </conditionalFormatting>
  <conditionalFormatting sqref="Q278:Q279">
    <cfRule type="expression" dxfId="892" priority="823">
      <formula>$Q$19="Performance-Based"</formula>
    </cfRule>
  </conditionalFormatting>
  <conditionalFormatting sqref="Q282:Q286">
    <cfRule type="expression" dxfId="891" priority="822">
      <formula>$Q$19="Cost-Based"</formula>
    </cfRule>
  </conditionalFormatting>
  <conditionalFormatting sqref="Q280">
    <cfRule type="expression" dxfId="890" priority="821">
      <formula>$T$22=0</formula>
    </cfRule>
  </conditionalFormatting>
  <conditionalFormatting sqref="Q294:Q297">
    <cfRule type="expression" dxfId="889" priority="820">
      <formula>$R$36=1</formula>
    </cfRule>
  </conditionalFormatting>
  <conditionalFormatting sqref="Q298">
    <cfRule type="expression" dxfId="888" priority="819">
      <formula>$R$40=1</formula>
    </cfRule>
  </conditionalFormatting>
  <conditionalFormatting sqref="Q299">
    <cfRule type="expression" dxfId="887" priority="828">
      <formula>$R$41=1</formula>
    </cfRule>
  </conditionalFormatting>
  <conditionalFormatting sqref="Q304">
    <cfRule type="expression" dxfId="886" priority="818">
      <formula>$R$46=1</formula>
    </cfRule>
  </conditionalFormatting>
  <conditionalFormatting sqref="P339:R343">
    <cfRule type="expression" dxfId="885" priority="817">
      <formula>$L339=0</formula>
    </cfRule>
  </conditionalFormatting>
  <conditionalFormatting sqref="C359">
    <cfRule type="expression" dxfId="884" priority="811">
      <formula>$G$15&lt;&gt;""</formula>
    </cfRule>
  </conditionalFormatting>
  <conditionalFormatting sqref="C375">
    <cfRule type="expression" dxfId="883" priority="810">
      <formula>$G$31&gt;=0</formula>
    </cfRule>
  </conditionalFormatting>
  <conditionalFormatting sqref="C360">
    <cfRule type="expression" dxfId="882" priority="805">
      <formula>AND($G$15="Simple",$G$16&gt;0)</formula>
    </cfRule>
    <cfRule type="expression" dxfId="881" priority="809">
      <formula>AND($G$15="Simple",$G$16&lt;=0)</formula>
    </cfRule>
  </conditionalFormatting>
  <conditionalFormatting sqref="C361">
    <cfRule type="expression" dxfId="880" priority="804">
      <formula>AND($G$15="Intermediate",$G$17&gt;0)</formula>
    </cfRule>
    <cfRule type="expression" dxfId="879" priority="808">
      <formula>AND($G$15="Intermediate",$G$17&lt;=0)</formula>
    </cfRule>
  </conditionalFormatting>
  <conditionalFormatting sqref="C418">
    <cfRule type="expression" dxfId="878" priority="777">
      <formula>$G$73="No"</formula>
    </cfRule>
    <cfRule type="expression" dxfId="877" priority="778">
      <formula>$D$74=1</formula>
    </cfRule>
  </conditionalFormatting>
  <conditionalFormatting sqref="C406">
    <cfRule type="expression" dxfId="876" priority="802">
      <formula>$D$62=1</formula>
    </cfRule>
  </conditionalFormatting>
  <conditionalFormatting sqref="H366 L375 K369">
    <cfRule type="expression" dxfId="875" priority="812">
      <formula>$G$15="Complex"</formula>
    </cfRule>
  </conditionalFormatting>
  <conditionalFormatting sqref="C395">
    <cfRule type="expression" dxfId="874" priority="803">
      <formula>$D$51=1</formula>
    </cfRule>
  </conditionalFormatting>
  <conditionalFormatting sqref="E352:F352 H352:I352">
    <cfRule type="expression" dxfId="873" priority="807">
      <formula>#REF!="Solar Thermal Electric"</formula>
    </cfRule>
  </conditionalFormatting>
  <conditionalFormatting sqref="E380:F387 H380:H383 H385:H387">
    <cfRule type="expression" dxfId="872" priority="806">
      <formula>$G$30="Simple"</formula>
    </cfRule>
  </conditionalFormatting>
  <conditionalFormatting sqref="O408:P408 S408">
    <cfRule type="expression" dxfId="871" priority="801">
      <formula>$Q$63="Salvage"</formula>
    </cfRule>
  </conditionalFormatting>
  <conditionalFormatting sqref="E390:F392">
    <cfRule type="expression" dxfId="870" priority="800">
      <formula>$G$15="Simple"</formula>
    </cfRule>
  </conditionalFormatting>
  <conditionalFormatting sqref="E361:F365">
    <cfRule type="expression" dxfId="869" priority="799">
      <formula>$G$15="Intermediate"</formula>
    </cfRule>
  </conditionalFormatting>
  <conditionalFormatting sqref="E396:F404 I396:I404">
    <cfRule type="expression" dxfId="868" priority="798">
      <formula>$G$51=0</formula>
    </cfRule>
  </conditionalFormatting>
  <conditionalFormatting sqref="O358:P358">
    <cfRule type="expression" dxfId="867" priority="797">
      <formula>$T$14=1</formula>
    </cfRule>
  </conditionalFormatting>
  <conditionalFormatting sqref="O359:P359">
    <cfRule type="expression" dxfId="866" priority="796">
      <formula>$T$15=1</formula>
    </cfRule>
  </conditionalFormatting>
  <conditionalFormatting sqref="O360">
    <cfRule type="expression" dxfId="865" priority="795">
      <formula>$T$16=1</formula>
    </cfRule>
  </conditionalFormatting>
  <conditionalFormatting sqref="O357:P357">
    <cfRule type="expression" dxfId="864" priority="794">
      <formula>$T$13=1</formula>
    </cfRule>
  </conditionalFormatting>
  <conditionalFormatting sqref="O364:P365 S364:S365 S367 O367:Q367">
    <cfRule type="expression" dxfId="863" priority="793">
      <formula>$Q$19="Performance-Based"</formula>
    </cfRule>
  </conditionalFormatting>
  <conditionalFormatting sqref="O368:P372 S368:S372">
    <cfRule type="expression" dxfId="862" priority="792">
      <formula>$Q$19="Cost-Based"</formula>
    </cfRule>
  </conditionalFormatting>
  <conditionalFormatting sqref="I360">
    <cfRule type="expression" dxfId="861" priority="791">
      <formula>$G$15="Simple"</formula>
    </cfRule>
  </conditionalFormatting>
  <conditionalFormatting sqref="I366">
    <cfRule type="expression" dxfId="860" priority="790">
      <formula>$G$15="Complex"</formula>
    </cfRule>
  </conditionalFormatting>
  <conditionalFormatting sqref="I361:I365">
    <cfRule type="expression" dxfId="859" priority="789">
      <formula>$G$15="Intermediate"</formula>
    </cfRule>
  </conditionalFormatting>
  <conditionalFormatting sqref="I380:I387">
    <cfRule type="expression" dxfId="858" priority="788">
      <formula>$G$30="Intermediate"</formula>
    </cfRule>
  </conditionalFormatting>
  <conditionalFormatting sqref="E360:F360">
    <cfRule type="expression" dxfId="857" priority="787">
      <formula>$G$15="Simple"</formula>
    </cfRule>
  </conditionalFormatting>
  <conditionalFormatting sqref="F366">
    <cfRule type="expression" dxfId="856" priority="786">
      <formula>$G$15="Complex"</formula>
    </cfRule>
  </conditionalFormatting>
  <conditionalFormatting sqref="E366">
    <cfRule type="expression" dxfId="855" priority="785">
      <formula>$G$15="Complex"</formula>
    </cfRule>
  </conditionalFormatting>
  <conditionalFormatting sqref="O366:P366 S366">
    <cfRule type="expression" dxfId="854" priority="784">
      <formula>$T$22=0</formula>
    </cfRule>
  </conditionalFormatting>
  <conditionalFormatting sqref="S357">
    <cfRule type="expression" dxfId="853" priority="783">
      <formula>$T$13=1</formula>
    </cfRule>
  </conditionalFormatting>
  <conditionalFormatting sqref="S358">
    <cfRule type="expression" dxfId="852" priority="782">
      <formula>$T$14=1</formula>
    </cfRule>
  </conditionalFormatting>
  <conditionalFormatting sqref="S359">
    <cfRule type="expression" dxfId="851" priority="781">
      <formula>$T$15=1</formula>
    </cfRule>
  </conditionalFormatting>
  <conditionalFormatting sqref="S360">
    <cfRule type="expression" dxfId="850" priority="780">
      <formula>$T$16=1</formula>
    </cfRule>
  </conditionalFormatting>
  <conditionalFormatting sqref="E407:F407">
    <cfRule type="expression" dxfId="849" priority="779">
      <formula>$G$51=0%</formula>
    </cfRule>
  </conditionalFormatting>
  <conditionalFormatting sqref="AB424:AB430 U424:Z429 O424:R424 O425:O429">
    <cfRule type="expression" dxfId="848" priority="776">
      <formula>$L424=0</formula>
    </cfRule>
  </conditionalFormatting>
  <conditionalFormatting sqref="O430:R430 U430:Z430">
    <cfRule type="expression" dxfId="847" priority="775">
      <formula>$L$86=0</formula>
    </cfRule>
  </conditionalFormatting>
  <conditionalFormatting sqref="O380:P383 S380:S383">
    <cfRule type="expression" dxfId="846" priority="774">
      <formula>$R$36=1</formula>
    </cfRule>
  </conditionalFormatting>
  <conditionalFormatting sqref="O384:P384 S384 S386:S389 O386:Q389">
    <cfRule type="expression" dxfId="845" priority="773">
      <formula>$R$40=1</formula>
    </cfRule>
  </conditionalFormatting>
  <conditionalFormatting sqref="O385:P385 S385">
    <cfRule type="expression" dxfId="844" priority="813">
      <formula>$R$41=1</formula>
    </cfRule>
  </conditionalFormatting>
  <conditionalFormatting sqref="O390:P390 S390">
    <cfRule type="expression" dxfId="843" priority="772">
      <formula>$R$46=1</formula>
    </cfRule>
  </conditionalFormatting>
  <conditionalFormatting sqref="L368 K363">
    <cfRule type="expression" dxfId="842" priority="814">
      <formula>$G$15="Simple"</formula>
    </cfRule>
  </conditionalFormatting>
  <conditionalFormatting sqref="L369:L373 K364:K368">
    <cfRule type="expression" dxfId="841" priority="815">
      <formula>$G$15="Intermediate"</formula>
    </cfRule>
  </conditionalFormatting>
  <conditionalFormatting sqref="E418:F423 I418:I423">
    <cfRule type="expression" dxfId="840" priority="816">
      <formula>$G$73="No"</formula>
    </cfRule>
  </conditionalFormatting>
  <conditionalFormatting sqref="O421:P421">
    <cfRule type="expression" dxfId="839" priority="771">
      <formula>$P$76="No"</formula>
    </cfRule>
  </conditionalFormatting>
  <conditionalFormatting sqref="S421">
    <cfRule type="expression" dxfId="838" priority="770">
      <formula>$P$77="No"</formula>
    </cfRule>
  </conditionalFormatting>
  <conditionalFormatting sqref="S372">
    <cfRule type="expression" dxfId="837" priority="769">
      <formula>$Q$20="Cost-Based"</formula>
    </cfRule>
  </conditionalFormatting>
  <conditionalFormatting sqref="G366">
    <cfRule type="expression" dxfId="836" priority="767">
      <formula>$G$15="Complex"</formula>
    </cfRule>
  </conditionalFormatting>
  <conditionalFormatting sqref="G352">
    <cfRule type="expression" dxfId="835" priority="766">
      <formula>#REF!="Solar Thermal Electric"</formula>
    </cfRule>
  </conditionalFormatting>
  <conditionalFormatting sqref="G380:G387">
    <cfRule type="expression" dxfId="834" priority="765">
      <formula>$G$30="Simple"</formula>
    </cfRule>
  </conditionalFormatting>
  <conditionalFormatting sqref="G401">
    <cfRule type="expression" dxfId="833" priority="764">
      <formula>$G$57="Fail"</formula>
    </cfRule>
  </conditionalFormatting>
  <conditionalFormatting sqref="G390:G392">
    <cfRule type="expression" dxfId="832" priority="763">
      <formula>$G$15="Simple"</formula>
    </cfRule>
  </conditionalFormatting>
  <conditionalFormatting sqref="G404">
    <cfRule type="expression" dxfId="831" priority="762">
      <formula>$G$60="Fail"</formula>
    </cfRule>
  </conditionalFormatting>
  <conditionalFormatting sqref="G360">
    <cfRule type="expression" dxfId="830" priority="761">
      <formula>$G$15="Simple"</formula>
    </cfRule>
  </conditionalFormatting>
  <conditionalFormatting sqref="G365">
    <cfRule type="expression" dxfId="829" priority="760">
      <formula>$G$15="Intermediate"</formula>
    </cfRule>
  </conditionalFormatting>
  <conditionalFormatting sqref="G361 G363:G364">
    <cfRule type="expression" dxfId="828" priority="759">
      <formula>$G$15="Intermediate"</formula>
    </cfRule>
  </conditionalFormatting>
  <conditionalFormatting sqref="G362">
    <cfRule type="expression" dxfId="827" priority="757">
      <formula>$G$15="Intermediate"</formula>
    </cfRule>
    <cfRule type="expression" dxfId="826" priority="758">
      <formula>$G$15="Intermediate"</formula>
    </cfRule>
  </conditionalFormatting>
  <conditionalFormatting sqref="G396:G404">
    <cfRule type="expression" dxfId="825" priority="756">
      <formula>$G$51=0</formula>
    </cfRule>
  </conditionalFormatting>
  <conditionalFormatting sqref="G407">
    <cfRule type="expression" dxfId="824" priority="755">
      <formula>$G$51=0%</formula>
    </cfRule>
  </conditionalFormatting>
  <conditionalFormatting sqref="G418:G423">
    <cfRule type="expression" dxfId="823" priority="768">
      <formula>$G$73="No"</formula>
    </cfRule>
  </conditionalFormatting>
  <conditionalFormatting sqref="Q408">
    <cfRule type="expression" dxfId="822" priority="753">
      <formula>$Q$63="Salvage"</formula>
    </cfRule>
  </conditionalFormatting>
  <conditionalFormatting sqref="Q358">
    <cfRule type="expression" dxfId="821" priority="752">
      <formula>$T$14=1</formula>
    </cfRule>
  </conditionalFormatting>
  <conditionalFormatting sqref="Q359">
    <cfRule type="expression" dxfId="820" priority="751">
      <formula>$T$15=1</formula>
    </cfRule>
  </conditionalFormatting>
  <conditionalFormatting sqref="Q357">
    <cfRule type="expression" dxfId="819" priority="750">
      <formula>$T$13=1</formula>
    </cfRule>
  </conditionalFormatting>
  <conditionalFormatting sqref="Q364:Q365">
    <cfRule type="expression" dxfId="818" priority="749">
      <formula>$Q$19="Performance-Based"</formula>
    </cfRule>
  </conditionalFormatting>
  <conditionalFormatting sqref="Q368:Q372">
    <cfRule type="expression" dxfId="817" priority="748">
      <formula>$Q$19="Cost-Based"</formula>
    </cfRule>
  </conditionalFormatting>
  <conditionalFormatting sqref="Q366">
    <cfRule type="expression" dxfId="816" priority="747">
      <formula>$T$22=0</formula>
    </cfRule>
  </conditionalFormatting>
  <conditionalFormatting sqref="Q380:Q383">
    <cfRule type="expression" dxfId="815" priority="746">
      <formula>$R$36=1</formula>
    </cfRule>
  </conditionalFormatting>
  <conditionalFormatting sqref="Q384">
    <cfRule type="expression" dxfId="814" priority="745">
      <formula>$R$40=1</formula>
    </cfRule>
  </conditionalFormatting>
  <conditionalFormatting sqref="Q385">
    <cfRule type="expression" dxfId="813" priority="754">
      <formula>$R$41=1</formula>
    </cfRule>
  </conditionalFormatting>
  <conditionalFormatting sqref="Q390">
    <cfRule type="expression" dxfId="812" priority="744">
      <formula>$R$46=1</formula>
    </cfRule>
  </conditionalFormatting>
  <conditionalFormatting sqref="P425:R429">
    <cfRule type="expression" dxfId="811" priority="743">
      <formula>$L425=0</formula>
    </cfRule>
  </conditionalFormatting>
  <conditionalFormatting sqref="C445">
    <cfRule type="expression" dxfId="810" priority="737">
      <formula>$G$15&lt;&gt;""</formula>
    </cfRule>
  </conditionalFormatting>
  <conditionalFormatting sqref="C461">
    <cfRule type="expression" dxfId="809" priority="736">
      <formula>$G$31&gt;=0</formula>
    </cfRule>
  </conditionalFormatting>
  <conditionalFormatting sqref="C446">
    <cfRule type="expression" dxfId="808" priority="731">
      <formula>AND($G$15="Simple",$G$16&gt;0)</formula>
    </cfRule>
    <cfRule type="expression" dxfId="807" priority="735">
      <formula>AND($G$15="Simple",$G$16&lt;=0)</formula>
    </cfRule>
  </conditionalFormatting>
  <conditionalFormatting sqref="C447">
    <cfRule type="expression" dxfId="806" priority="730">
      <formula>AND($G$15="Intermediate",$G$17&gt;0)</formula>
    </cfRule>
    <cfRule type="expression" dxfId="805" priority="734">
      <formula>AND($G$15="Intermediate",$G$17&lt;=0)</formula>
    </cfRule>
  </conditionalFormatting>
  <conditionalFormatting sqref="C504">
    <cfRule type="expression" dxfId="804" priority="703">
      <formula>$G$73="No"</formula>
    </cfRule>
    <cfRule type="expression" dxfId="803" priority="704">
      <formula>$D$74=1</formula>
    </cfRule>
  </conditionalFormatting>
  <conditionalFormatting sqref="C492">
    <cfRule type="expression" dxfId="802" priority="728">
      <formula>$D$62=1</formula>
    </cfRule>
  </conditionalFormatting>
  <conditionalFormatting sqref="H452 L461 K455">
    <cfRule type="expression" dxfId="801" priority="738">
      <formula>$G$15="Complex"</formula>
    </cfRule>
  </conditionalFormatting>
  <conditionalFormatting sqref="C481">
    <cfRule type="expression" dxfId="800" priority="729">
      <formula>$D$51=1</formula>
    </cfRule>
  </conditionalFormatting>
  <conditionalFormatting sqref="E438:F438 H438:I438">
    <cfRule type="expression" dxfId="799" priority="733">
      <formula>#REF!="Solar Thermal Electric"</formula>
    </cfRule>
  </conditionalFormatting>
  <conditionalFormatting sqref="E466:F473 H466:H469 H471:H473">
    <cfRule type="expression" dxfId="798" priority="732">
      <formula>$G$30="Simple"</formula>
    </cfRule>
  </conditionalFormatting>
  <conditionalFormatting sqref="O494:P494 S494">
    <cfRule type="expression" dxfId="797" priority="727">
      <formula>$Q$63="Salvage"</formula>
    </cfRule>
  </conditionalFormatting>
  <conditionalFormatting sqref="E476:F478">
    <cfRule type="expression" dxfId="796" priority="726">
      <formula>$G$15="Simple"</formula>
    </cfRule>
  </conditionalFormatting>
  <conditionalFormatting sqref="E447:F451">
    <cfRule type="expression" dxfId="795" priority="725">
      <formula>$G$15="Intermediate"</formula>
    </cfRule>
  </conditionalFormatting>
  <conditionalFormatting sqref="E482:F490 I482:I490">
    <cfRule type="expression" dxfId="794" priority="724">
      <formula>$G$51=0</formula>
    </cfRule>
  </conditionalFormatting>
  <conditionalFormatting sqref="O444:P444">
    <cfRule type="expression" dxfId="793" priority="723">
      <formula>$T$14=1</formula>
    </cfRule>
  </conditionalFormatting>
  <conditionalFormatting sqref="O445:P445">
    <cfRule type="expression" dxfId="792" priority="722">
      <formula>$T$15=1</formula>
    </cfRule>
  </conditionalFormatting>
  <conditionalFormatting sqref="O446">
    <cfRule type="expression" dxfId="791" priority="721">
      <formula>$T$16=1</formula>
    </cfRule>
  </conditionalFormatting>
  <conditionalFormatting sqref="O443:P443">
    <cfRule type="expression" dxfId="790" priority="720">
      <formula>$T$13=1</formula>
    </cfRule>
  </conditionalFormatting>
  <conditionalFormatting sqref="O450:P451 S450:S451 S453 O453:Q453">
    <cfRule type="expression" dxfId="789" priority="719">
      <formula>$Q$19="Performance-Based"</formula>
    </cfRule>
  </conditionalFormatting>
  <conditionalFormatting sqref="O454:P458 S454:S458">
    <cfRule type="expression" dxfId="788" priority="718">
      <formula>$Q$19="Cost-Based"</formula>
    </cfRule>
  </conditionalFormatting>
  <conditionalFormatting sqref="I446">
    <cfRule type="expression" dxfId="787" priority="717">
      <formula>$G$15="Simple"</formula>
    </cfRule>
  </conditionalFormatting>
  <conditionalFormatting sqref="I452">
    <cfRule type="expression" dxfId="786" priority="716">
      <formula>$G$15="Complex"</formula>
    </cfRule>
  </conditionalFormatting>
  <conditionalFormatting sqref="I447:I451">
    <cfRule type="expression" dxfId="785" priority="715">
      <formula>$G$15="Intermediate"</formula>
    </cfRule>
  </conditionalFormatting>
  <conditionalFormatting sqref="I466:I473">
    <cfRule type="expression" dxfId="784" priority="714">
      <formula>$G$30="Intermediate"</formula>
    </cfRule>
  </conditionalFormatting>
  <conditionalFormatting sqref="E446:F446">
    <cfRule type="expression" dxfId="783" priority="713">
      <formula>$G$15="Simple"</formula>
    </cfRule>
  </conditionalFormatting>
  <conditionalFormatting sqref="F452">
    <cfRule type="expression" dxfId="782" priority="712">
      <formula>$G$15="Complex"</formula>
    </cfRule>
  </conditionalFormatting>
  <conditionalFormatting sqref="E452">
    <cfRule type="expression" dxfId="781" priority="711">
      <formula>$G$15="Complex"</formula>
    </cfRule>
  </conditionalFormatting>
  <conditionalFormatting sqref="O452:P452 S452">
    <cfRule type="expression" dxfId="780" priority="710">
      <formula>$T$22=0</formula>
    </cfRule>
  </conditionalFormatting>
  <conditionalFormatting sqref="S443">
    <cfRule type="expression" dxfId="779" priority="709">
      <formula>$T$13=1</formula>
    </cfRule>
  </conditionalFormatting>
  <conditionalFormatting sqref="S444">
    <cfRule type="expression" dxfId="778" priority="708">
      <formula>$T$14=1</formula>
    </cfRule>
  </conditionalFormatting>
  <conditionalFormatting sqref="S445">
    <cfRule type="expression" dxfId="777" priority="707">
      <formula>$T$15=1</formula>
    </cfRule>
  </conditionalFormatting>
  <conditionalFormatting sqref="S446">
    <cfRule type="expression" dxfId="776" priority="706">
      <formula>$T$16=1</formula>
    </cfRule>
  </conditionalFormatting>
  <conditionalFormatting sqref="E493:F493">
    <cfRule type="expression" dxfId="775" priority="705">
      <formula>$G$51=0%</formula>
    </cfRule>
  </conditionalFormatting>
  <conditionalFormatting sqref="AB510:AB516 U510:Z515 O510:R510 O511:O515">
    <cfRule type="expression" dxfId="774" priority="702">
      <formula>$L510=0</formula>
    </cfRule>
  </conditionalFormatting>
  <conditionalFormatting sqref="O516:R516 U516:Z516">
    <cfRule type="expression" dxfId="773" priority="701">
      <formula>$L$86=0</formula>
    </cfRule>
  </conditionalFormatting>
  <conditionalFormatting sqref="O466:P469 S466:S469">
    <cfRule type="expression" dxfId="772" priority="700">
      <formula>$R$36=1</formula>
    </cfRule>
  </conditionalFormatting>
  <conditionalFormatting sqref="O470:P470 S470 S472:S475 O472:Q475">
    <cfRule type="expression" dxfId="771" priority="699">
      <formula>$R$40=1</formula>
    </cfRule>
  </conditionalFormatting>
  <conditionalFormatting sqref="O471:P471 S471">
    <cfRule type="expression" dxfId="770" priority="739">
      <formula>$R$41=1</formula>
    </cfRule>
  </conditionalFormatting>
  <conditionalFormatting sqref="O476:P476 S476">
    <cfRule type="expression" dxfId="769" priority="698">
      <formula>$R$46=1</formula>
    </cfRule>
  </conditionalFormatting>
  <conditionalFormatting sqref="L454 K449">
    <cfRule type="expression" dxfId="768" priority="740">
      <formula>$G$15="Simple"</formula>
    </cfRule>
  </conditionalFormatting>
  <conditionalFormatting sqref="L455:L459 K450:K454">
    <cfRule type="expression" dxfId="767" priority="741">
      <formula>$G$15="Intermediate"</formula>
    </cfRule>
  </conditionalFormatting>
  <conditionalFormatting sqref="E504:F509 I504:I509">
    <cfRule type="expression" dxfId="766" priority="742">
      <formula>$G$73="No"</formula>
    </cfRule>
  </conditionalFormatting>
  <conditionalFormatting sqref="O507:P507">
    <cfRule type="expression" dxfId="765" priority="697">
      <formula>$P$76="No"</formula>
    </cfRule>
  </conditionalFormatting>
  <conditionalFormatting sqref="S507">
    <cfRule type="expression" dxfId="764" priority="696">
      <formula>$P$77="No"</formula>
    </cfRule>
  </conditionalFormatting>
  <conditionalFormatting sqref="S458">
    <cfRule type="expression" dxfId="763" priority="695">
      <formula>$Q$20="Cost-Based"</formula>
    </cfRule>
  </conditionalFormatting>
  <conditionalFormatting sqref="G452">
    <cfRule type="expression" dxfId="762" priority="693">
      <formula>$G$15="Complex"</formula>
    </cfRule>
  </conditionalFormatting>
  <conditionalFormatting sqref="G438">
    <cfRule type="expression" dxfId="761" priority="692">
      <formula>#REF!="Solar Thermal Electric"</formula>
    </cfRule>
  </conditionalFormatting>
  <conditionalFormatting sqref="G466:G473">
    <cfRule type="expression" dxfId="760" priority="691">
      <formula>$G$30="Simple"</formula>
    </cfRule>
  </conditionalFormatting>
  <conditionalFormatting sqref="G487">
    <cfRule type="expression" dxfId="759" priority="690">
      <formula>$G$57="Fail"</formula>
    </cfRule>
  </conditionalFormatting>
  <conditionalFormatting sqref="G476:G478">
    <cfRule type="expression" dxfId="758" priority="689">
      <formula>$G$15="Simple"</formula>
    </cfRule>
  </conditionalFormatting>
  <conditionalFormatting sqref="G490">
    <cfRule type="expression" dxfId="757" priority="688">
      <formula>$G$60="Fail"</formula>
    </cfRule>
  </conditionalFormatting>
  <conditionalFormatting sqref="G446">
    <cfRule type="expression" dxfId="756" priority="687">
      <formula>$G$15="Simple"</formula>
    </cfRule>
  </conditionalFormatting>
  <conditionalFormatting sqref="G451">
    <cfRule type="expression" dxfId="755" priority="686">
      <formula>$G$15="Intermediate"</formula>
    </cfRule>
  </conditionalFormatting>
  <conditionalFormatting sqref="G447 G449:G450">
    <cfRule type="expression" dxfId="754" priority="685">
      <formula>$G$15="Intermediate"</formula>
    </cfRule>
  </conditionalFormatting>
  <conditionalFormatting sqref="G448">
    <cfRule type="expression" dxfId="753" priority="683">
      <formula>$G$15="Intermediate"</formula>
    </cfRule>
    <cfRule type="expression" dxfId="752" priority="684">
      <formula>$G$15="Intermediate"</formula>
    </cfRule>
  </conditionalFormatting>
  <conditionalFormatting sqref="G482:G490">
    <cfRule type="expression" dxfId="751" priority="682">
      <formula>$G$51=0</formula>
    </cfRule>
  </conditionalFormatting>
  <conditionalFormatting sqref="G493">
    <cfRule type="expression" dxfId="750" priority="681">
      <formula>$G$51=0%</formula>
    </cfRule>
  </conditionalFormatting>
  <conditionalFormatting sqref="G504:G509">
    <cfRule type="expression" dxfId="749" priority="694">
      <formula>$G$73="No"</formula>
    </cfRule>
  </conditionalFormatting>
  <conditionalFormatting sqref="Q494">
    <cfRule type="expression" dxfId="748" priority="679">
      <formula>$Q$63="Salvage"</formula>
    </cfRule>
  </conditionalFormatting>
  <conditionalFormatting sqref="Q444">
    <cfRule type="expression" dxfId="747" priority="678">
      <formula>$T$14=1</formula>
    </cfRule>
  </conditionalFormatting>
  <conditionalFormatting sqref="Q445">
    <cfRule type="expression" dxfId="746" priority="677">
      <formula>$T$15=1</formula>
    </cfRule>
  </conditionalFormatting>
  <conditionalFormatting sqref="Q443">
    <cfRule type="expression" dxfId="745" priority="676">
      <formula>$T$13=1</formula>
    </cfRule>
  </conditionalFormatting>
  <conditionalFormatting sqref="Q450:Q451">
    <cfRule type="expression" dxfId="744" priority="675">
      <formula>$Q$19="Performance-Based"</formula>
    </cfRule>
  </conditionalFormatting>
  <conditionalFormatting sqref="Q454:Q458">
    <cfRule type="expression" dxfId="743" priority="674">
      <formula>$Q$19="Cost-Based"</formula>
    </cfRule>
  </conditionalFormatting>
  <conditionalFormatting sqref="Q452">
    <cfRule type="expression" dxfId="742" priority="673">
      <formula>$T$22=0</formula>
    </cfRule>
  </conditionalFormatting>
  <conditionalFormatting sqref="Q466:Q469">
    <cfRule type="expression" dxfId="741" priority="672">
      <formula>$R$36=1</formula>
    </cfRule>
  </conditionalFormatting>
  <conditionalFormatting sqref="Q470">
    <cfRule type="expression" dxfId="740" priority="671">
      <formula>$R$40=1</formula>
    </cfRule>
  </conditionalFormatting>
  <conditionalFormatting sqref="Q471">
    <cfRule type="expression" dxfId="739" priority="680">
      <formula>$R$41=1</formula>
    </cfRule>
  </conditionalFormatting>
  <conditionalFormatting sqref="Q476">
    <cfRule type="expression" dxfId="738" priority="670">
      <formula>$R$46=1</formula>
    </cfRule>
  </conditionalFormatting>
  <conditionalFormatting sqref="P511:R515">
    <cfRule type="expression" dxfId="737" priority="669">
      <formula>$L511=0</formula>
    </cfRule>
  </conditionalFormatting>
  <conditionalFormatting sqref="C531">
    <cfRule type="expression" dxfId="736" priority="663">
      <formula>$G$15&lt;&gt;""</formula>
    </cfRule>
  </conditionalFormatting>
  <conditionalFormatting sqref="C547">
    <cfRule type="expression" dxfId="735" priority="662">
      <formula>$G$31&gt;=0</formula>
    </cfRule>
  </conditionalFormatting>
  <conditionalFormatting sqref="C532">
    <cfRule type="expression" dxfId="734" priority="657">
      <formula>AND($G$15="Simple",$G$16&gt;0)</formula>
    </cfRule>
    <cfRule type="expression" dxfId="733" priority="661">
      <formula>AND($G$15="Simple",$G$16&lt;=0)</formula>
    </cfRule>
  </conditionalFormatting>
  <conditionalFormatting sqref="C533">
    <cfRule type="expression" dxfId="732" priority="656">
      <formula>AND($G$15="Intermediate",$G$17&gt;0)</formula>
    </cfRule>
    <cfRule type="expression" dxfId="731" priority="660">
      <formula>AND($G$15="Intermediate",$G$17&lt;=0)</formula>
    </cfRule>
  </conditionalFormatting>
  <conditionalFormatting sqref="C590">
    <cfRule type="expression" dxfId="730" priority="629">
      <formula>$G$73="No"</formula>
    </cfRule>
    <cfRule type="expression" dxfId="729" priority="630">
      <formula>$D$74=1</formula>
    </cfRule>
  </conditionalFormatting>
  <conditionalFormatting sqref="C578">
    <cfRule type="expression" dxfId="728" priority="654">
      <formula>$D$62=1</formula>
    </cfRule>
  </conditionalFormatting>
  <conditionalFormatting sqref="H538 L547 K541">
    <cfRule type="expression" dxfId="727" priority="664">
      <formula>$G$15="Complex"</formula>
    </cfRule>
  </conditionalFormatting>
  <conditionalFormatting sqref="C567">
    <cfRule type="expression" dxfId="726" priority="655">
      <formula>$D$51=1</formula>
    </cfRule>
  </conditionalFormatting>
  <conditionalFormatting sqref="E524:F524 H524:I524">
    <cfRule type="expression" dxfId="725" priority="659">
      <formula>#REF!="Solar Thermal Electric"</formula>
    </cfRule>
  </conditionalFormatting>
  <conditionalFormatting sqref="E552:F559 H552:H555 H557:H559">
    <cfRule type="expression" dxfId="724" priority="658">
      <formula>$G$30="Simple"</formula>
    </cfRule>
  </conditionalFormatting>
  <conditionalFormatting sqref="O580:P580 S580">
    <cfRule type="expression" dxfId="723" priority="653">
      <formula>$Q$63="Salvage"</formula>
    </cfRule>
  </conditionalFormatting>
  <conditionalFormatting sqref="E562:F564">
    <cfRule type="expression" dxfId="722" priority="652">
      <formula>$G$15="Simple"</formula>
    </cfRule>
  </conditionalFormatting>
  <conditionalFormatting sqref="E533:F537">
    <cfRule type="expression" dxfId="721" priority="651">
      <formula>$G$15="Intermediate"</formula>
    </cfRule>
  </conditionalFormatting>
  <conditionalFormatting sqref="E568:F576 I568:I576">
    <cfRule type="expression" dxfId="720" priority="650">
      <formula>$G$51=0</formula>
    </cfRule>
  </conditionalFormatting>
  <conditionalFormatting sqref="O530:P530">
    <cfRule type="expression" dxfId="719" priority="649">
      <formula>$T$14=1</formula>
    </cfRule>
  </conditionalFormatting>
  <conditionalFormatting sqref="O531:P531">
    <cfRule type="expression" dxfId="718" priority="648">
      <formula>$T$15=1</formula>
    </cfRule>
  </conditionalFormatting>
  <conditionalFormatting sqref="O532">
    <cfRule type="expression" dxfId="717" priority="647">
      <formula>$T$16=1</formula>
    </cfRule>
  </conditionalFormatting>
  <conditionalFormatting sqref="O529:P529">
    <cfRule type="expression" dxfId="716" priority="646">
      <formula>$T$13=1</formula>
    </cfRule>
  </conditionalFormatting>
  <conditionalFormatting sqref="O536:P537 S536:S537 S539 O539:Q539">
    <cfRule type="expression" dxfId="715" priority="645">
      <formula>$Q$19="Performance-Based"</formula>
    </cfRule>
  </conditionalFormatting>
  <conditionalFormatting sqref="O540:P544 S540:S544">
    <cfRule type="expression" dxfId="714" priority="644">
      <formula>$Q$19="Cost-Based"</formula>
    </cfRule>
  </conditionalFormatting>
  <conditionalFormatting sqref="I532">
    <cfRule type="expression" dxfId="713" priority="643">
      <formula>$G$15="Simple"</formula>
    </cfRule>
  </conditionalFormatting>
  <conditionalFormatting sqref="I538">
    <cfRule type="expression" dxfId="712" priority="642">
      <formula>$G$15="Complex"</formula>
    </cfRule>
  </conditionalFormatting>
  <conditionalFormatting sqref="I533:I537">
    <cfRule type="expression" dxfId="711" priority="641">
      <formula>$G$15="Intermediate"</formula>
    </cfRule>
  </conditionalFormatting>
  <conditionalFormatting sqref="I552:I559">
    <cfRule type="expression" dxfId="710" priority="640">
      <formula>$G$30="Intermediate"</formula>
    </cfRule>
  </conditionalFormatting>
  <conditionalFormatting sqref="E532:F532">
    <cfRule type="expression" dxfId="709" priority="639">
      <formula>$G$15="Simple"</formula>
    </cfRule>
  </conditionalFormatting>
  <conditionalFormatting sqref="F538">
    <cfRule type="expression" dxfId="708" priority="638">
      <formula>$G$15="Complex"</formula>
    </cfRule>
  </conditionalFormatting>
  <conditionalFormatting sqref="E538">
    <cfRule type="expression" dxfId="707" priority="637">
      <formula>$G$15="Complex"</formula>
    </cfRule>
  </conditionalFormatting>
  <conditionalFormatting sqref="O538:P538 S538">
    <cfRule type="expression" dxfId="706" priority="636">
      <formula>$T$22=0</formula>
    </cfRule>
  </conditionalFormatting>
  <conditionalFormatting sqref="S529">
    <cfRule type="expression" dxfId="705" priority="635">
      <formula>$T$13=1</formula>
    </cfRule>
  </conditionalFormatting>
  <conditionalFormatting sqref="S530">
    <cfRule type="expression" dxfId="704" priority="634">
      <formula>$T$14=1</formula>
    </cfRule>
  </conditionalFormatting>
  <conditionalFormatting sqref="S531">
    <cfRule type="expression" dxfId="703" priority="633">
      <formula>$T$15=1</formula>
    </cfRule>
  </conditionalFormatting>
  <conditionalFormatting sqref="S532">
    <cfRule type="expression" dxfId="702" priority="632">
      <formula>$T$16=1</formula>
    </cfRule>
  </conditionalFormatting>
  <conditionalFormatting sqref="E579:F579">
    <cfRule type="expression" dxfId="701" priority="631">
      <formula>$G$51=0%</formula>
    </cfRule>
  </conditionalFormatting>
  <conditionalFormatting sqref="AB596:AB602 U596:Z601 O596:R596 O597:O601">
    <cfRule type="expression" dxfId="700" priority="628">
      <formula>$L596=0</formula>
    </cfRule>
  </conditionalFormatting>
  <conditionalFormatting sqref="O602:R602 U602:Z602">
    <cfRule type="expression" dxfId="699" priority="627">
      <formula>$L$86=0</formula>
    </cfRule>
  </conditionalFormatting>
  <conditionalFormatting sqref="O552:P555 S552:S555">
    <cfRule type="expression" dxfId="698" priority="626">
      <formula>$R$36=1</formula>
    </cfRule>
  </conditionalFormatting>
  <conditionalFormatting sqref="O556:P556 S556 S558:S561 O558:Q561">
    <cfRule type="expression" dxfId="697" priority="625">
      <formula>$R$40=1</formula>
    </cfRule>
  </conditionalFormatting>
  <conditionalFormatting sqref="O557:P557 S557">
    <cfRule type="expression" dxfId="696" priority="665">
      <formula>$R$41=1</formula>
    </cfRule>
  </conditionalFormatting>
  <conditionalFormatting sqref="O562:P562 S562">
    <cfRule type="expression" dxfId="695" priority="624">
      <formula>$R$46=1</formula>
    </cfRule>
  </conditionalFormatting>
  <conditionalFormatting sqref="L540 K535">
    <cfRule type="expression" dxfId="694" priority="666">
      <formula>$G$15="Simple"</formula>
    </cfRule>
  </conditionalFormatting>
  <conditionalFormatting sqref="L541:L545 K536:K540">
    <cfRule type="expression" dxfId="693" priority="667">
      <formula>$G$15="Intermediate"</formula>
    </cfRule>
  </conditionalFormatting>
  <conditionalFormatting sqref="E590:F595 I590:I595">
    <cfRule type="expression" dxfId="692" priority="668">
      <formula>$G$73="No"</formula>
    </cfRule>
  </conditionalFormatting>
  <conditionalFormatting sqref="O593:P593">
    <cfRule type="expression" dxfId="691" priority="623">
      <formula>$P$76="No"</formula>
    </cfRule>
  </conditionalFormatting>
  <conditionalFormatting sqref="S593">
    <cfRule type="expression" dxfId="690" priority="622">
      <formula>$P$77="No"</formula>
    </cfRule>
  </conditionalFormatting>
  <conditionalFormatting sqref="S544">
    <cfRule type="expression" dxfId="689" priority="621">
      <formula>$Q$20="Cost-Based"</formula>
    </cfRule>
  </conditionalFormatting>
  <conditionalFormatting sqref="G538">
    <cfRule type="expression" dxfId="688" priority="619">
      <formula>$G$15="Complex"</formula>
    </cfRule>
  </conditionalFormatting>
  <conditionalFormatting sqref="G524">
    <cfRule type="expression" dxfId="687" priority="618">
      <formula>#REF!="Solar Thermal Electric"</formula>
    </cfRule>
  </conditionalFormatting>
  <conditionalFormatting sqref="G552:G559">
    <cfRule type="expression" dxfId="686" priority="617">
      <formula>$G$30="Simple"</formula>
    </cfRule>
  </conditionalFormatting>
  <conditionalFormatting sqref="G573">
    <cfRule type="expression" dxfId="685" priority="616">
      <formula>$G$57="Fail"</formula>
    </cfRule>
  </conditionalFormatting>
  <conditionalFormatting sqref="G562:G564">
    <cfRule type="expression" dxfId="684" priority="615">
      <formula>$G$15="Simple"</formula>
    </cfRule>
  </conditionalFormatting>
  <conditionalFormatting sqref="G576">
    <cfRule type="expression" dxfId="683" priority="614">
      <formula>$G$60="Fail"</formula>
    </cfRule>
  </conditionalFormatting>
  <conditionalFormatting sqref="G532">
    <cfRule type="expression" dxfId="682" priority="613">
      <formula>$G$15="Simple"</formula>
    </cfRule>
  </conditionalFormatting>
  <conditionalFormatting sqref="G537">
    <cfRule type="expression" dxfId="681" priority="612">
      <formula>$G$15="Intermediate"</formula>
    </cfRule>
  </conditionalFormatting>
  <conditionalFormatting sqref="G533 G535:G536">
    <cfRule type="expression" dxfId="680" priority="611">
      <formula>$G$15="Intermediate"</formula>
    </cfRule>
  </conditionalFormatting>
  <conditionalFormatting sqref="G534">
    <cfRule type="expression" dxfId="679" priority="609">
      <formula>$G$15="Intermediate"</formula>
    </cfRule>
    <cfRule type="expression" dxfId="678" priority="610">
      <formula>$G$15="Intermediate"</formula>
    </cfRule>
  </conditionalFormatting>
  <conditionalFormatting sqref="G568:G576">
    <cfRule type="expression" dxfId="677" priority="608">
      <formula>$G$51=0</formula>
    </cfRule>
  </conditionalFormatting>
  <conditionalFormatting sqref="G579">
    <cfRule type="expression" dxfId="676" priority="607">
      <formula>$G$51=0%</formula>
    </cfRule>
  </conditionalFormatting>
  <conditionalFormatting sqref="G590:G595">
    <cfRule type="expression" dxfId="675" priority="620">
      <formula>$G$73="No"</formula>
    </cfRule>
  </conditionalFormatting>
  <conditionalFormatting sqref="Q580">
    <cfRule type="expression" dxfId="674" priority="605">
      <formula>$Q$63="Salvage"</formula>
    </cfRule>
  </conditionalFormatting>
  <conditionalFormatting sqref="Q530">
    <cfRule type="expression" dxfId="673" priority="604">
      <formula>$T$14=1</formula>
    </cfRule>
  </conditionalFormatting>
  <conditionalFormatting sqref="Q531">
    <cfRule type="expression" dxfId="672" priority="603">
      <formula>$T$15=1</formula>
    </cfRule>
  </conditionalFormatting>
  <conditionalFormatting sqref="Q529">
    <cfRule type="expression" dxfId="671" priority="602">
      <formula>$T$13=1</formula>
    </cfRule>
  </conditionalFormatting>
  <conditionalFormatting sqref="Q536:Q537">
    <cfRule type="expression" dxfId="670" priority="601">
      <formula>$Q$19="Performance-Based"</formula>
    </cfRule>
  </conditionalFormatting>
  <conditionalFormatting sqref="Q540:Q544">
    <cfRule type="expression" dxfId="669" priority="600">
      <formula>$Q$19="Cost-Based"</formula>
    </cfRule>
  </conditionalFormatting>
  <conditionalFormatting sqref="Q538">
    <cfRule type="expression" dxfId="668" priority="599">
      <formula>$T$22=0</formula>
    </cfRule>
  </conditionalFormatting>
  <conditionalFormatting sqref="Q552:Q555">
    <cfRule type="expression" dxfId="667" priority="598">
      <formula>$R$36=1</formula>
    </cfRule>
  </conditionalFormatting>
  <conditionalFormatting sqref="Q556">
    <cfRule type="expression" dxfId="666" priority="597">
      <formula>$R$40=1</formula>
    </cfRule>
  </conditionalFormatting>
  <conditionalFormatting sqref="Q557">
    <cfRule type="expression" dxfId="665" priority="606">
      <formula>$R$41=1</formula>
    </cfRule>
  </conditionalFormatting>
  <conditionalFormatting sqref="Q562">
    <cfRule type="expression" dxfId="664" priority="596">
      <formula>$R$46=1</formula>
    </cfRule>
  </conditionalFormatting>
  <conditionalFormatting sqref="P597:R601">
    <cfRule type="expression" dxfId="663" priority="595">
      <formula>$L597=0</formula>
    </cfRule>
  </conditionalFormatting>
  <conditionalFormatting sqref="C617">
    <cfRule type="expression" dxfId="662" priority="589">
      <formula>$G$15&lt;&gt;""</formula>
    </cfRule>
  </conditionalFormatting>
  <conditionalFormatting sqref="C633">
    <cfRule type="expression" dxfId="661" priority="588">
      <formula>$G$31&gt;=0</formula>
    </cfRule>
  </conditionalFormatting>
  <conditionalFormatting sqref="C618">
    <cfRule type="expression" dxfId="660" priority="583">
      <formula>AND($G$15="Simple",$G$16&gt;0)</formula>
    </cfRule>
    <cfRule type="expression" dxfId="659" priority="587">
      <formula>AND($G$15="Simple",$G$16&lt;=0)</formula>
    </cfRule>
  </conditionalFormatting>
  <conditionalFormatting sqref="C619">
    <cfRule type="expression" dxfId="658" priority="582">
      <formula>AND($G$15="Intermediate",$G$17&gt;0)</formula>
    </cfRule>
    <cfRule type="expression" dxfId="657" priority="586">
      <formula>AND($G$15="Intermediate",$G$17&lt;=0)</formula>
    </cfRule>
  </conditionalFormatting>
  <conditionalFormatting sqref="C676">
    <cfRule type="expression" dxfId="656" priority="555">
      <formula>$G$73="No"</formula>
    </cfRule>
    <cfRule type="expression" dxfId="655" priority="556">
      <formula>$D$74=1</formula>
    </cfRule>
  </conditionalFormatting>
  <conditionalFormatting sqref="C664">
    <cfRule type="expression" dxfId="654" priority="580">
      <formula>$D$62=1</formula>
    </cfRule>
  </conditionalFormatting>
  <conditionalFormatting sqref="H624 L633 K627">
    <cfRule type="expression" dxfId="653" priority="590">
      <formula>$G$15="Complex"</formula>
    </cfRule>
  </conditionalFormatting>
  <conditionalFormatting sqref="C653">
    <cfRule type="expression" dxfId="652" priority="581">
      <formula>$D$51=1</formula>
    </cfRule>
  </conditionalFormatting>
  <conditionalFormatting sqref="E610:F610 H610:I610">
    <cfRule type="expression" dxfId="651" priority="585">
      <formula>#REF!="Solar Thermal Electric"</formula>
    </cfRule>
  </conditionalFormatting>
  <conditionalFormatting sqref="E638:F645 H638:H641 H643:H645">
    <cfRule type="expression" dxfId="650" priority="584">
      <formula>$G$30="Simple"</formula>
    </cfRule>
  </conditionalFormatting>
  <conditionalFormatting sqref="O666:P666 S666">
    <cfRule type="expression" dxfId="649" priority="579">
      <formula>$Q$63="Salvage"</formula>
    </cfRule>
  </conditionalFormatting>
  <conditionalFormatting sqref="E648:F650">
    <cfRule type="expression" dxfId="648" priority="578">
      <formula>$G$15="Simple"</formula>
    </cfRule>
  </conditionalFormatting>
  <conditionalFormatting sqref="E619:F623">
    <cfRule type="expression" dxfId="647" priority="577">
      <formula>$G$15="Intermediate"</formula>
    </cfRule>
  </conditionalFormatting>
  <conditionalFormatting sqref="E654:F662 I654:I662">
    <cfRule type="expression" dxfId="646" priority="576">
      <formula>$G$51=0</formula>
    </cfRule>
  </conditionalFormatting>
  <conditionalFormatting sqref="O616:P616">
    <cfRule type="expression" dxfId="645" priority="575">
      <formula>$T$14=1</formula>
    </cfRule>
  </conditionalFormatting>
  <conditionalFormatting sqref="O617:P617">
    <cfRule type="expression" dxfId="644" priority="574">
      <formula>$T$15=1</formula>
    </cfRule>
  </conditionalFormatting>
  <conditionalFormatting sqref="O618">
    <cfRule type="expression" dxfId="643" priority="573">
      <formula>$T$16=1</formula>
    </cfRule>
  </conditionalFormatting>
  <conditionalFormatting sqref="O615:P615">
    <cfRule type="expression" dxfId="642" priority="572">
      <formula>$T$13=1</formula>
    </cfRule>
  </conditionalFormatting>
  <conditionalFormatting sqref="O622:P623 S622:S623 S625 O625:Q625">
    <cfRule type="expression" dxfId="641" priority="571">
      <formula>$Q$19="Performance-Based"</formula>
    </cfRule>
  </conditionalFormatting>
  <conditionalFormatting sqref="O626:P630 S626:S630">
    <cfRule type="expression" dxfId="640" priority="570">
      <formula>$Q$19="Cost-Based"</formula>
    </cfRule>
  </conditionalFormatting>
  <conditionalFormatting sqref="I618">
    <cfRule type="expression" dxfId="639" priority="569">
      <formula>$G$15="Simple"</formula>
    </cfRule>
  </conditionalFormatting>
  <conditionalFormatting sqref="I624">
    <cfRule type="expression" dxfId="638" priority="568">
      <formula>$G$15="Complex"</formula>
    </cfRule>
  </conditionalFormatting>
  <conditionalFormatting sqref="I619:I623">
    <cfRule type="expression" dxfId="637" priority="567">
      <formula>$G$15="Intermediate"</formula>
    </cfRule>
  </conditionalFormatting>
  <conditionalFormatting sqref="I638:I645">
    <cfRule type="expression" dxfId="636" priority="566">
      <formula>$G$30="Intermediate"</formula>
    </cfRule>
  </conditionalFormatting>
  <conditionalFormatting sqref="E618:F618">
    <cfRule type="expression" dxfId="635" priority="565">
      <formula>$G$15="Simple"</formula>
    </cfRule>
  </conditionalFormatting>
  <conditionalFormatting sqref="F624">
    <cfRule type="expression" dxfId="634" priority="564">
      <formula>$G$15="Complex"</formula>
    </cfRule>
  </conditionalFormatting>
  <conditionalFormatting sqref="E624">
    <cfRule type="expression" dxfId="633" priority="563">
      <formula>$G$15="Complex"</formula>
    </cfRule>
  </conditionalFormatting>
  <conditionalFormatting sqref="O624:P624 S624">
    <cfRule type="expression" dxfId="632" priority="562">
      <formula>$T$22=0</formula>
    </cfRule>
  </conditionalFormatting>
  <conditionalFormatting sqref="S615">
    <cfRule type="expression" dxfId="631" priority="561">
      <formula>$T$13=1</formula>
    </cfRule>
  </conditionalFormatting>
  <conditionalFormatting sqref="S616">
    <cfRule type="expression" dxfId="630" priority="560">
      <formula>$T$14=1</formula>
    </cfRule>
  </conditionalFormatting>
  <conditionalFormatting sqref="S617">
    <cfRule type="expression" dxfId="629" priority="559">
      <formula>$T$15=1</formula>
    </cfRule>
  </conditionalFormatting>
  <conditionalFormatting sqref="S618">
    <cfRule type="expression" dxfId="628" priority="558">
      <formula>$T$16=1</formula>
    </cfRule>
  </conditionalFormatting>
  <conditionalFormatting sqref="E665:F665">
    <cfRule type="expression" dxfId="627" priority="557">
      <formula>$G$51=0%</formula>
    </cfRule>
  </conditionalFormatting>
  <conditionalFormatting sqref="AB682:AB688 U682:Z687 O682:R682 O683:O687">
    <cfRule type="expression" dxfId="626" priority="554">
      <formula>$L682=0</formula>
    </cfRule>
  </conditionalFormatting>
  <conditionalFormatting sqref="O688:R688 U688:Z688">
    <cfRule type="expression" dxfId="625" priority="553">
      <formula>$L$86=0</formula>
    </cfRule>
  </conditionalFormatting>
  <conditionalFormatting sqref="O638:P641 S638:S641">
    <cfRule type="expression" dxfId="624" priority="552">
      <formula>$R$36=1</formula>
    </cfRule>
  </conditionalFormatting>
  <conditionalFormatting sqref="O642:P642 S642 S644:S647 O644:Q647">
    <cfRule type="expression" dxfId="623" priority="551">
      <formula>$R$40=1</formula>
    </cfRule>
  </conditionalFormatting>
  <conditionalFormatting sqref="O643:P643 S643">
    <cfRule type="expression" dxfId="622" priority="591">
      <formula>$R$41=1</formula>
    </cfRule>
  </conditionalFormatting>
  <conditionalFormatting sqref="O648:P648 S648">
    <cfRule type="expression" dxfId="621" priority="550">
      <formula>$R$46=1</formula>
    </cfRule>
  </conditionalFormatting>
  <conditionalFormatting sqref="L626 K621">
    <cfRule type="expression" dxfId="620" priority="592">
      <formula>$G$15="Simple"</formula>
    </cfRule>
  </conditionalFormatting>
  <conditionalFormatting sqref="L627:L631 K622:K626">
    <cfRule type="expression" dxfId="619" priority="593">
      <formula>$G$15="Intermediate"</formula>
    </cfRule>
  </conditionalFormatting>
  <conditionalFormatting sqref="E676:F681 I676:I681">
    <cfRule type="expression" dxfId="618" priority="594">
      <formula>$G$73="No"</formula>
    </cfRule>
  </conditionalFormatting>
  <conditionalFormatting sqref="O679:P679">
    <cfRule type="expression" dxfId="617" priority="549">
      <formula>$P$76="No"</formula>
    </cfRule>
  </conditionalFormatting>
  <conditionalFormatting sqref="S679">
    <cfRule type="expression" dxfId="616" priority="548">
      <formula>$P$77="No"</formula>
    </cfRule>
  </conditionalFormatting>
  <conditionalFormatting sqref="S630">
    <cfRule type="expression" dxfId="615" priority="547">
      <formula>$Q$20="Cost-Based"</formula>
    </cfRule>
  </conditionalFormatting>
  <conditionalFormatting sqref="G624">
    <cfRule type="expression" dxfId="614" priority="545">
      <formula>$G$15="Complex"</formula>
    </cfRule>
  </conditionalFormatting>
  <conditionalFormatting sqref="G610">
    <cfRule type="expression" dxfId="613" priority="544">
      <formula>#REF!="Solar Thermal Electric"</formula>
    </cfRule>
  </conditionalFormatting>
  <conditionalFormatting sqref="G638:G645">
    <cfRule type="expression" dxfId="612" priority="543">
      <formula>$G$30="Simple"</formula>
    </cfRule>
  </conditionalFormatting>
  <conditionalFormatting sqref="G659">
    <cfRule type="expression" dxfId="611" priority="542">
      <formula>$G$57="Fail"</formula>
    </cfRule>
  </conditionalFormatting>
  <conditionalFormatting sqref="G648:G650">
    <cfRule type="expression" dxfId="610" priority="541">
      <formula>$G$15="Simple"</formula>
    </cfRule>
  </conditionalFormatting>
  <conditionalFormatting sqref="G662">
    <cfRule type="expression" dxfId="609" priority="540">
      <formula>$G$60="Fail"</formula>
    </cfRule>
  </conditionalFormatting>
  <conditionalFormatting sqref="G618">
    <cfRule type="expression" dxfId="608" priority="539">
      <formula>$G$15="Simple"</formula>
    </cfRule>
  </conditionalFormatting>
  <conditionalFormatting sqref="G623">
    <cfRule type="expression" dxfId="607" priority="538">
      <formula>$G$15="Intermediate"</formula>
    </cfRule>
  </conditionalFormatting>
  <conditionalFormatting sqref="G619 G621:G622">
    <cfRule type="expression" dxfId="606" priority="537">
      <formula>$G$15="Intermediate"</formula>
    </cfRule>
  </conditionalFormatting>
  <conditionalFormatting sqref="G620">
    <cfRule type="expression" dxfId="605" priority="535">
      <formula>$G$15="Intermediate"</formula>
    </cfRule>
    <cfRule type="expression" dxfId="604" priority="536">
      <formula>$G$15="Intermediate"</formula>
    </cfRule>
  </conditionalFormatting>
  <conditionalFormatting sqref="G654:G662">
    <cfRule type="expression" dxfId="603" priority="534">
      <formula>$G$51=0</formula>
    </cfRule>
  </conditionalFormatting>
  <conditionalFormatting sqref="G665">
    <cfRule type="expression" dxfId="602" priority="533">
      <formula>$G$51=0%</formula>
    </cfRule>
  </conditionalFormatting>
  <conditionalFormatting sqref="G676:G681">
    <cfRule type="expression" dxfId="601" priority="546">
      <formula>$G$73="No"</formula>
    </cfRule>
  </conditionalFormatting>
  <conditionalFormatting sqref="Q666">
    <cfRule type="expression" dxfId="600" priority="531">
      <formula>$Q$63="Salvage"</formula>
    </cfRule>
  </conditionalFormatting>
  <conditionalFormatting sqref="Q616">
    <cfRule type="expression" dxfId="599" priority="530">
      <formula>$T$14=1</formula>
    </cfRule>
  </conditionalFormatting>
  <conditionalFormatting sqref="Q617">
    <cfRule type="expression" dxfId="598" priority="529">
      <formula>$T$15=1</formula>
    </cfRule>
  </conditionalFormatting>
  <conditionalFormatting sqref="Q615">
    <cfRule type="expression" dxfId="597" priority="528">
      <formula>$T$13=1</formula>
    </cfRule>
  </conditionalFormatting>
  <conditionalFormatting sqref="Q622:Q623">
    <cfRule type="expression" dxfId="596" priority="527">
      <formula>$Q$19="Performance-Based"</formula>
    </cfRule>
  </conditionalFormatting>
  <conditionalFormatting sqref="Q626:Q630">
    <cfRule type="expression" dxfId="595" priority="526">
      <formula>$Q$19="Cost-Based"</formula>
    </cfRule>
  </conditionalFormatting>
  <conditionalFormatting sqref="Q624">
    <cfRule type="expression" dxfId="594" priority="525">
      <formula>$T$22=0</formula>
    </cfRule>
  </conditionalFormatting>
  <conditionalFormatting sqref="Q638:Q641">
    <cfRule type="expression" dxfId="593" priority="524">
      <formula>$R$36=1</formula>
    </cfRule>
  </conditionalFormatting>
  <conditionalFormatting sqref="Q642">
    <cfRule type="expression" dxfId="592" priority="523">
      <formula>$R$40=1</formula>
    </cfRule>
  </conditionalFormatting>
  <conditionalFormatting sqref="Q643">
    <cfRule type="expression" dxfId="591" priority="532">
      <formula>$R$41=1</formula>
    </cfRule>
  </conditionalFormatting>
  <conditionalFormatting sqref="Q648">
    <cfRule type="expression" dxfId="590" priority="522">
      <formula>$R$46=1</formula>
    </cfRule>
  </conditionalFormatting>
  <conditionalFormatting sqref="P683:R687">
    <cfRule type="expression" dxfId="589" priority="521">
      <formula>$L683=0</formula>
    </cfRule>
  </conditionalFormatting>
  <conditionalFormatting sqref="C703">
    <cfRule type="expression" dxfId="588" priority="515">
      <formula>$G$15&lt;&gt;""</formula>
    </cfRule>
  </conditionalFormatting>
  <conditionalFormatting sqref="C719">
    <cfRule type="expression" dxfId="587" priority="514">
      <formula>$G$31&gt;=0</formula>
    </cfRule>
  </conditionalFormatting>
  <conditionalFormatting sqref="C704">
    <cfRule type="expression" dxfId="586" priority="509">
      <formula>AND($G$15="Simple",$G$16&gt;0)</formula>
    </cfRule>
    <cfRule type="expression" dxfId="585" priority="513">
      <formula>AND($G$15="Simple",$G$16&lt;=0)</formula>
    </cfRule>
  </conditionalFormatting>
  <conditionalFormatting sqref="C705">
    <cfRule type="expression" dxfId="584" priority="508">
      <formula>AND($G$15="Intermediate",$G$17&gt;0)</formula>
    </cfRule>
    <cfRule type="expression" dxfId="583" priority="512">
      <formula>AND($G$15="Intermediate",$G$17&lt;=0)</formula>
    </cfRule>
  </conditionalFormatting>
  <conditionalFormatting sqref="C762">
    <cfRule type="expression" dxfId="582" priority="481">
      <formula>$G$73="No"</formula>
    </cfRule>
    <cfRule type="expression" dxfId="581" priority="482">
      <formula>$D$74=1</formula>
    </cfRule>
  </conditionalFormatting>
  <conditionalFormatting sqref="C750">
    <cfRule type="expression" dxfId="580" priority="506">
      <formula>$D$62=1</formula>
    </cfRule>
  </conditionalFormatting>
  <conditionalFormatting sqref="H710 L719 K713">
    <cfRule type="expression" dxfId="579" priority="516">
      <formula>$G$15="Complex"</formula>
    </cfRule>
  </conditionalFormatting>
  <conditionalFormatting sqref="C739">
    <cfRule type="expression" dxfId="578" priority="507">
      <formula>$D$51=1</formula>
    </cfRule>
  </conditionalFormatting>
  <conditionalFormatting sqref="E696:F696 H696:I696">
    <cfRule type="expression" dxfId="577" priority="511">
      <formula>#REF!="Solar Thermal Electric"</formula>
    </cfRule>
  </conditionalFormatting>
  <conditionalFormatting sqref="E724:F731 H724:H727 H729:H731">
    <cfRule type="expression" dxfId="576" priority="510">
      <formula>$G$30="Simple"</formula>
    </cfRule>
  </conditionalFormatting>
  <conditionalFormatting sqref="O752:P752 S752">
    <cfRule type="expression" dxfId="575" priority="505">
      <formula>$Q$63="Salvage"</formula>
    </cfRule>
  </conditionalFormatting>
  <conditionalFormatting sqref="E734:F736">
    <cfRule type="expression" dxfId="574" priority="504">
      <formula>$G$15="Simple"</formula>
    </cfRule>
  </conditionalFormatting>
  <conditionalFormatting sqref="E705:F709">
    <cfRule type="expression" dxfId="573" priority="503">
      <formula>$G$15="Intermediate"</formula>
    </cfRule>
  </conditionalFormatting>
  <conditionalFormatting sqref="E740:F748 I740:I748">
    <cfRule type="expression" dxfId="572" priority="502">
      <formula>$G$51=0</formula>
    </cfRule>
  </conditionalFormatting>
  <conditionalFormatting sqref="O702:P702">
    <cfRule type="expression" dxfId="571" priority="501">
      <formula>$T$14=1</formula>
    </cfRule>
  </conditionalFormatting>
  <conditionalFormatting sqref="O703:P703">
    <cfRule type="expression" dxfId="570" priority="500">
      <formula>$T$15=1</formula>
    </cfRule>
  </conditionalFormatting>
  <conditionalFormatting sqref="O704">
    <cfRule type="expression" dxfId="569" priority="499">
      <formula>$T$16=1</formula>
    </cfRule>
  </conditionalFormatting>
  <conditionalFormatting sqref="O701:P701">
    <cfRule type="expression" dxfId="568" priority="498">
      <formula>$T$13=1</formula>
    </cfRule>
  </conditionalFormatting>
  <conditionalFormatting sqref="O708:P709 S708:S709 S711 O711:Q711">
    <cfRule type="expression" dxfId="567" priority="497">
      <formula>$Q$19="Performance-Based"</formula>
    </cfRule>
  </conditionalFormatting>
  <conditionalFormatting sqref="O712:P716 S712:S716">
    <cfRule type="expression" dxfId="566" priority="496">
      <formula>$Q$19="Cost-Based"</formula>
    </cfRule>
  </conditionalFormatting>
  <conditionalFormatting sqref="I704">
    <cfRule type="expression" dxfId="565" priority="495">
      <formula>$G$15="Simple"</formula>
    </cfRule>
  </conditionalFormatting>
  <conditionalFormatting sqref="I710">
    <cfRule type="expression" dxfId="564" priority="494">
      <formula>$G$15="Complex"</formula>
    </cfRule>
  </conditionalFormatting>
  <conditionalFormatting sqref="I705:I709">
    <cfRule type="expression" dxfId="563" priority="493">
      <formula>$G$15="Intermediate"</formula>
    </cfRule>
  </conditionalFormatting>
  <conditionalFormatting sqref="I724:I731">
    <cfRule type="expression" dxfId="562" priority="492">
      <formula>$G$30="Intermediate"</formula>
    </cfRule>
  </conditionalFormatting>
  <conditionalFormatting sqref="E704:F704">
    <cfRule type="expression" dxfId="561" priority="491">
      <formula>$G$15="Simple"</formula>
    </cfRule>
  </conditionalFormatting>
  <conditionalFormatting sqref="F710">
    <cfRule type="expression" dxfId="560" priority="490">
      <formula>$G$15="Complex"</formula>
    </cfRule>
  </conditionalFormatting>
  <conditionalFormatting sqref="E710">
    <cfRule type="expression" dxfId="559" priority="489">
      <formula>$G$15="Complex"</formula>
    </cfRule>
  </conditionalFormatting>
  <conditionalFormatting sqref="O710:P710 S710">
    <cfRule type="expression" dxfId="558" priority="488">
      <formula>$T$22=0</formula>
    </cfRule>
  </conditionalFormatting>
  <conditionalFormatting sqref="S701">
    <cfRule type="expression" dxfId="557" priority="487">
      <formula>$T$13=1</formula>
    </cfRule>
  </conditionalFormatting>
  <conditionalFormatting sqref="S702">
    <cfRule type="expression" dxfId="556" priority="486">
      <formula>$T$14=1</formula>
    </cfRule>
  </conditionalFormatting>
  <conditionalFormatting sqref="S703">
    <cfRule type="expression" dxfId="555" priority="485">
      <formula>$T$15=1</formula>
    </cfRule>
  </conditionalFormatting>
  <conditionalFormatting sqref="S704">
    <cfRule type="expression" dxfId="554" priority="484">
      <formula>$T$16=1</formula>
    </cfRule>
  </conditionalFormatting>
  <conditionalFormatting sqref="E751:F751">
    <cfRule type="expression" dxfId="553" priority="483">
      <formula>$G$51=0%</formula>
    </cfRule>
  </conditionalFormatting>
  <conditionalFormatting sqref="AB768:AB774 U768:Z773 O768:R768 O769:O773">
    <cfRule type="expression" dxfId="552" priority="480">
      <formula>$L768=0</formula>
    </cfRule>
  </conditionalFormatting>
  <conditionalFormatting sqref="O774:R774 U774:Z774">
    <cfRule type="expression" dxfId="551" priority="479">
      <formula>$L$86=0</formula>
    </cfRule>
  </conditionalFormatting>
  <conditionalFormatting sqref="O724:P727 S724:S727">
    <cfRule type="expression" dxfId="550" priority="478">
      <formula>$R$36=1</formula>
    </cfRule>
  </conditionalFormatting>
  <conditionalFormatting sqref="O728:P728 S728 S730:S733 O730:Q733">
    <cfRule type="expression" dxfId="549" priority="477">
      <formula>$R$40=1</formula>
    </cfRule>
  </conditionalFormatting>
  <conditionalFormatting sqref="O729:P729 S729">
    <cfRule type="expression" dxfId="548" priority="517">
      <formula>$R$41=1</formula>
    </cfRule>
  </conditionalFormatting>
  <conditionalFormatting sqref="O734:P734 S734">
    <cfRule type="expression" dxfId="547" priority="476">
      <formula>$R$46=1</formula>
    </cfRule>
  </conditionalFormatting>
  <conditionalFormatting sqref="L712 K707">
    <cfRule type="expression" dxfId="546" priority="518">
      <formula>$G$15="Simple"</formula>
    </cfRule>
  </conditionalFormatting>
  <conditionalFormatting sqref="L713:L717 K708:K712">
    <cfRule type="expression" dxfId="545" priority="519">
      <formula>$G$15="Intermediate"</formula>
    </cfRule>
  </conditionalFormatting>
  <conditionalFormatting sqref="E762:F767 I762:I767">
    <cfRule type="expression" dxfId="544" priority="520">
      <formula>$G$73="No"</formula>
    </cfRule>
  </conditionalFormatting>
  <conditionalFormatting sqref="O765:P765">
    <cfRule type="expression" dxfId="543" priority="475">
      <formula>$P$76="No"</formula>
    </cfRule>
  </conditionalFormatting>
  <conditionalFormatting sqref="S765">
    <cfRule type="expression" dxfId="542" priority="474">
      <formula>$P$77="No"</formula>
    </cfRule>
  </conditionalFormatting>
  <conditionalFormatting sqref="S716">
    <cfRule type="expression" dxfId="541" priority="473">
      <formula>$Q$20="Cost-Based"</formula>
    </cfRule>
  </conditionalFormatting>
  <conditionalFormatting sqref="G710">
    <cfRule type="expression" dxfId="540" priority="471">
      <formula>$G$15="Complex"</formula>
    </cfRule>
  </conditionalFormatting>
  <conditionalFormatting sqref="G696">
    <cfRule type="expression" dxfId="539" priority="470">
      <formula>#REF!="Solar Thermal Electric"</formula>
    </cfRule>
  </conditionalFormatting>
  <conditionalFormatting sqref="G724:G731">
    <cfRule type="expression" dxfId="538" priority="469">
      <formula>$G$30="Simple"</formula>
    </cfRule>
  </conditionalFormatting>
  <conditionalFormatting sqref="G745">
    <cfRule type="expression" dxfId="537" priority="468">
      <formula>$G$57="Fail"</formula>
    </cfRule>
  </conditionalFormatting>
  <conditionalFormatting sqref="G734:G736">
    <cfRule type="expression" dxfId="536" priority="467">
      <formula>$G$15="Simple"</formula>
    </cfRule>
  </conditionalFormatting>
  <conditionalFormatting sqref="G748">
    <cfRule type="expression" dxfId="535" priority="466">
      <formula>$G$60="Fail"</formula>
    </cfRule>
  </conditionalFormatting>
  <conditionalFormatting sqref="G704">
    <cfRule type="expression" dxfId="534" priority="465">
      <formula>$G$15="Simple"</formula>
    </cfRule>
  </conditionalFormatting>
  <conditionalFormatting sqref="G709">
    <cfRule type="expression" dxfId="533" priority="464">
      <formula>$G$15="Intermediate"</formula>
    </cfRule>
  </conditionalFormatting>
  <conditionalFormatting sqref="G705 G707:G708">
    <cfRule type="expression" dxfId="532" priority="463">
      <formula>$G$15="Intermediate"</formula>
    </cfRule>
  </conditionalFormatting>
  <conditionalFormatting sqref="G706">
    <cfRule type="expression" dxfId="531" priority="461">
      <formula>$G$15="Intermediate"</formula>
    </cfRule>
    <cfRule type="expression" dxfId="530" priority="462">
      <formula>$G$15="Intermediate"</formula>
    </cfRule>
  </conditionalFormatting>
  <conditionalFormatting sqref="G740:G748">
    <cfRule type="expression" dxfId="529" priority="460">
      <formula>$G$51=0</formula>
    </cfRule>
  </conditionalFormatting>
  <conditionalFormatting sqref="G751">
    <cfRule type="expression" dxfId="528" priority="459">
      <formula>$G$51=0%</formula>
    </cfRule>
  </conditionalFormatting>
  <conditionalFormatting sqref="G762:G767">
    <cfRule type="expression" dxfId="527" priority="472">
      <formula>$G$73="No"</formula>
    </cfRule>
  </conditionalFormatting>
  <conditionalFormatting sqref="Q752">
    <cfRule type="expression" dxfId="526" priority="457">
      <formula>$Q$63="Salvage"</formula>
    </cfRule>
  </conditionalFormatting>
  <conditionalFormatting sqref="Q702">
    <cfRule type="expression" dxfId="525" priority="456">
      <formula>$T$14=1</formula>
    </cfRule>
  </conditionalFormatting>
  <conditionalFormatting sqref="Q703">
    <cfRule type="expression" dxfId="524" priority="455">
      <formula>$T$15=1</formula>
    </cfRule>
  </conditionalFormatting>
  <conditionalFormatting sqref="Q701">
    <cfRule type="expression" dxfId="523" priority="454">
      <formula>$T$13=1</formula>
    </cfRule>
  </conditionalFormatting>
  <conditionalFormatting sqref="Q708:Q709">
    <cfRule type="expression" dxfId="522" priority="453">
      <formula>$Q$19="Performance-Based"</formula>
    </cfRule>
  </conditionalFormatting>
  <conditionalFormatting sqref="Q712:Q716">
    <cfRule type="expression" dxfId="521" priority="452">
      <formula>$Q$19="Cost-Based"</formula>
    </cfRule>
  </conditionalFormatting>
  <conditionalFormatting sqref="Q710">
    <cfRule type="expression" dxfId="520" priority="451">
      <formula>$T$22=0</formula>
    </cfRule>
  </conditionalFormatting>
  <conditionalFormatting sqref="Q724:Q727">
    <cfRule type="expression" dxfId="519" priority="450">
      <formula>$R$36=1</formula>
    </cfRule>
  </conditionalFormatting>
  <conditionalFormatting sqref="Q728">
    <cfRule type="expression" dxfId="518" priority="449">
      <formula>$R$40=1</formula>
    </cfRule>
  </conditionalFormatting>
  <conditionalFormatting sqref="Q729">
    <cfRule type="expression" dxfId="517" priority="458">
      <formula>$R$41=1</formula>
    </cfRule>
  </conditionalFormatting>
  <conditionalFormatting sqref="Q734">
    <cfRule type="expression" dxfId="516" priority="448">
      <formula>$R$46=1</formula>
    </cfRule>
  </conditionalFormatting>
  <conditionalFormatting sqref="P769:R773">
    <cfRule type="expression" dxfId="515" priority="447">
      <formula>$L769=0</formula>
    </cfRule>
  </conditionalFormatting>
  <conditionalFormatting sqref="C789">
    <cfRule type="expression" dxfId="514" priority="441">
      <formula>$G$15&lt;&gt;""</formula>
    </cfRule>
  </conditionalFormatting>
  <conditionalFormatting sqref="C805">
    <cfRule type="expression" dxfId="513" priority="440">
      <formula>$G$31&gt;=0</formula>
    </cfRule>
  </conditionalFormatting>
  <conditionalFormatting sqref="C790">
    <cfRule type="expression" dxfId="512" priority="435">
      <formula>AND($G$15="Simple",$G$16&gt;0)</formula>
    </cfRule>
    <cfRule type="expression" dxfId="511" priority="439">
      <formula>AND($G$15="Simple",$G$16&lt;=0)</formula>
    </cfRule>
  </conditionalFormatting>
  <conditionalFormatting sqref="C791">
    <cfRule type="expression" dxfId="510" priority="434">
      <formula>AND($G$15="Intermediate",$G$17&gt;0)</formula>
    </cfRule>
    <cfRule type="expression" dxfId="509" priority="438">
      <formula>AND($G$15="Intermediate",$G$17&lt;=0)</formula>
    </cfRule>
  </conditionalFormatting>
  <conditionalFormatting sqref="C848">
    <cfRule type="expression" dxfId="508" priority="407">
      <formula>$G$73="No"</formula>
    </cfRule>
    <cfRule type="expression" dxfId="507" priority="408">
      <formula>$D$74=1</formula>
    </cfRule>
  </conditionalFormatting>
  <conditionalFormatting sqref="C836">
    <cfRule type="expression" dxfId="506" priority="432">
      <formula>$D$62=1</formula>
    </cfRule>
  </conditionalFormatting>
  <conditionalFormatting sqref="H796 L805 K799">
    <cfRule type="expression" dxfId="505" priority="442">
      <formula>$G$15="Complex"</formula>
    </cfRule>
  </conditionalFormatting>
  <conditionalFormatting sqref="C825">
    <cfRule type="expression" dxfId="504" priority="433">
      <formula>$D$51=1</formula>
    </cfRule>
  </conditionalFormatting>
  <conditionalFormatting sqref="E782:F782 H782:I782">
    <cfRule type="expression" dxfId="503" priority="437">
      <formula>#REF!="Solar Thermal Electric"</formula>
    </cfRule>
  </conditionalFormatting>
  <conditionalFormatting sqref="E810:F817 H810:H813 H815:H817">
    <cfRule type="expression" dxfId="502" priority="436">
      <formula>$G$30="Simple"</formula>
    </cfRule>
  </conditionalFormatting>
  <conditionalFormatting sqref="O838:P838 S838">
    <cfRule type="expression" dxfId="501" priority="431">
      <formula>$Q$63="Salvage"</formula>
    </cfRule>
  </conditionalFormatting>
  <conditionalFormatting sqref="E820:F822">
    <cfRule type="expression" dxfId="500" priority="430">
      <formula>$G$15="Simple"</formula>
    </cfRule>
  </conditionalFormatting>
  <conditionalFormatting sqref="E791:F795">
    <cfRule type="expression" dxfId="499" priority="429">
      <formula>$G$15="Intermediate"</formula>
    </cfRule>
  </conditionalFormatting>
  <conditionalFormatting sqref="E826:F834 I826:I834">
    <cfRule type="expression" dxfId="498" priority="428">
      <formula>$G$51=0</formula>
    </cfRule>
  </conditionalFormatting>
  <conditionalFormatting sqref="O788:P788">
    <cfRule type="expression" dxfId="497" priority="427">
      <formula>$T$14=1</formula>
    </cfRule>
  </conditionalFormatting>
  <conditionalFormatting sqref="O789:P789">
    <cfRule type="expression" dxfId="496" priority="426">
      <formula>$T$15=1</formula>
    </cfRule>
  </conditionalFormatting>
  <conditionalFormatting sqref="O790">
    <cfRule type="expression" dxfId="495" priority="425">
      <formula>$T$16=1</formula>
    </cfRule>
  </conditionalFormatting>
  <conditionalFormatting sqref="O787:P787">
    <cfRule type="expression" dxfId="494" priority="424">
      <formula>$T$13=1</formula>
    </cfRule>
  </conditionalFormatting>
  <conditionalFormatting sqref="O794:P795 S794:S795 S797 O797:Q797">
    <cfRule type="expression" dxfId="493" priority="423">
      <formula>$Q$19="Performance-Based"</formula>
    </cfRule>
  </conditionalFormatting>
  <conditionalFormatting sqref="O798:P802 S798:S802">
    <cfRule type="expression" dxfId="492" priority="422">
      <formula>$Q$19="Cost-Based"</formula>
    </cfRule>
  </conditionalFormatting>
  <conditionalFormatting sqref="I790">
    <cfRule type="expression" dxfId="491" priority="421">
      <formula>$G$15="Simple"</formula>
    </cfRule>
  </conditionalFormatting>
  <conditionalFormatting sqref="I796">
    <cfRule type="expression" dxfId="490" priority="420">
      <formula>$G$15="Complex"</formula>
    </cfRule>
  </conditionalFormatting>
  <conditionalFormatting sqref="I791:I795">
    <cfRule type="expression" dxfId="489" priority="419">
      <formula>$G$15="Intermediate"</formula>
    </cfRule>
  </conditionalFormatting>
  <conditionalFormatting sqref="I810:I817">
    <cfRule type="expression" dxfId="488" priority="418">
      <formula>$G$30="Intermediate"</formula>
    </cfRule>
  </conditionalFormatting>
  <conditionalFormatting sqref="E790:F790">
    <cfRule type="expression" dxfId="487" priority="417">
      <formula>$G$15="Simple"</formula>
    </cfRule>
  </conditionalFormatting>
  <conditionalFormatting sqref="F796">
    <cfRule type="expression" dxfId="486" priority="416">
      <formula>$G$15="Complex"</formula>
    </cfRule>
  </conditionalFormatting>
  <conditionalFormatting sqref="E796">
    <cfRule type="expression" dxfId="485" priority="415">
      <formula>$G$15="Complex"</formula>
    </cfRule>
  </conditionalFormatting>
  <conditionalFormatting sqref="O796:P796 S796">
    <cfRule type="expression" dxfId="484" priority="414">
      <formula>$T$22=0</formula>
    </cfRule>
  </conditionalFormatting>
  <conditionalFormatting sqref="S787">
    <cfRule type="expression" dxfId="483" priority="413">
      <formula>$T$13=1</formula>
    </cfRule>
  </conditionalFormatting>
  <conditionalFormatting sqref="S788">
    <cfRule type="expression" dxfId="482" priority="412">
      <formula>$T$14=1</formula>
    </cfRule>
  </conditionalFormatting>
  <conditionalFormatting sqref="S789">
    <cfRule type="expression" dxfId="481" priority="411">
      <formula>$T$15=1</formula>
    </cfRule>
  </conditionalFormatting>
  <conditionalFormatting sqref="S790">
    <cfRule type="expression" dxfId="480" priority="410">
      <formula>$T$16=1</formula>
    </cfRule>
  </conditionalFormatting>
  <conditionalFormatting sqref="E837:F837">
    <cfRule type="expression" dxfId="479" priority="409">
      <formula>$G$51=0%</formula>
    </cfRule>
  </conditionalFormatting>
  <conditionalFormatting sqref="AB854:AB860 U854:Z859 O854:R854 O855:O859">
    <cfRule type="expression" dxfId="478" priority="406">
      <formula>$L854=0</formula>
    </cfRule>
  </conditionalFormatting>
  <conditionalFormatting sqref="O860:R860 U860:Z860">
    <cfRule type="expression" dxfId="477" priority="405">
      <formula>$L$86=0</formula>
    </cfRule>
  </conditionalFormatting>
  <conditionalFormatting sqref="O810:P813 S810:S813">
    <cfRule type="expression" dxfId="476" priority="404">
      <formula>$R$36=1</formula>
    </cfRule>
  </conditionalFormatting>
  <conditionalFormatting sqref="O814:P814 S814 S816:S819 O816:Q819">
    <cfRule type="expression" dxfId="475" priority="403">
      <formula>$R$40=1</formula>
    </cfRule>
  </conditionalFormatting>
  <conditionalFormatting sqref="O815:P815 S815">
    <cfRule type="expression" dxfId="474" priority="443">
      <formula>$R$41=1</formula>
    </cfRule>
  </conditionalFormatting>
  <conditionalFormatting sqref="O820:P820 S820">
    <cfRule type="expression" dxfId="473" priority="402">
      <formula>$R$46=1</formula>
    </cfRule>
  </conditionalFormatting>
  <conditionalFormatting sqref="L798 K793">
    <cfRule type="expression" dxfId="472" priority="444">
      <formula>$G$15="Simple"</formula>
    </cfRule>
  </conditionalFormatting>
  <conditionalFormatting sqref="L799:L803 K794:K798">
    <cfRule type="expression" dxfId="471" priority="445">
      <formula>$G$15="Intermediate"</formula>
    </cfRule>
  </conditionalFormatting>
  <conditionalFormatting sqref="E848:F853 I848:I853">
    <cfRule type="expression" dxfId="470" priority="446">
      <formula>$G$73="No"</formula>
    </cfRule>
  </conditionalFormatting>
  <conditionalFormatting sqref="O851:P851">
    <cfRule type="expression" dxfId="469" priority="401">
      <formula>$P$76="No"</formula>
    </cfRule>
  </conditionalFormatting>
  <conditionalFormatting sqref="S851">
    <cfRule type="expression" dxfId="468" priority="400">
      <formula>$P$77="No"</formula>
    </cfRule>
  </conditionalFormatting>
  <conditionalFormatting sqref="S802">
    <cfRule type="expression" dxfId="467" priority="399">
      <formula>$Q$20="Cost-Based"</formula>
    </cfRule>
  </conditionalFormatting>
  <conditionalFormatting sqref="G796">
    <cfRule type="expression" dxfId="466" priority="397">
      <formula>$G$15="Complex"</formula>
    </cfRule>
  </conditionalFormatting>
  <conditionalFormatting sqref="G782">
    <cfRule type="expression" dxfId="465" priority="396">
      <formula>#REF!="Solar Thermal Electric"</formula>
    </cfRule>
  </conditionalFormatting>
  <conditionalFormatting sqref="G810:G817">
    <cfRule type="expression" dxfId="464" priority="395">
      <formula>$G$30="Simple"</formula>
    </cfRule>
  </conditionalFormatting>
  <conditionalFormatting sqref="G831">
    <cfRule type="expression" dxfId="463" priority="394">
      <formula>$G$57="Fail"</formula>
    </cfRule>
  </conditionalFormatting>
  <conditionalFormatting sqref="G820:G822">
    <cfRule type="expression" dxfId="462" priority="393">
      <formula>$G$15="Simple"</formula>
    </cfRule>
  </conditionalFormatting>
  <conditionalFormatting sqref="G834">
    <cfRule type="expression" dxfId="461" priority="392">
      <formula>$G$60="Fail"</formula>
    </cfRule>
  </conditionalFormatting>
  <conditionalFormatting sqref="G790">
    <cfRule type="expression" dxfId="460" priority="391">
      <formula>$G$15="Simple"</formula>
    </cfRule>
  </conditionalFormatting>
  <conditionalFormatting sqref="G795">
    <cfRule type="expression" dxfId="459" priority="390">
      <formula>$G$15="Intermediate"</formula>
    </cfRule>
  </conditionalFormatting>
  <conditionalFormatting sqref="G791 G793:G794">
    <cfRule type="expression" dxfId="458" priority="389">
      <formula>$G$15="Intermediate"</formula>
    </cfRule>
  </conditionalFormatting>
  <conditionalFormatting sqref="G792">
    <cfRule type="expression" dxfId="457" priority="387">
      <formula>$G$15="Intermediate"</formula>
    </cfRule>
    <cfRule type="expression" dxfId="456" priority="388">
      <formula>$G$15="Intermediate"</formula>
    </cfRule>
  </conditionalFormatting>
  <conditionalFormatting sqref="G826:G834">
    <cfRule type="expression" dxfId="455" priority="386">
      <formula>$G$51=0</formula>
    </cfRule>
  </conditionalFormatting>
  <conditionalFormatting sqref="G837">
    <cfRule type="expression" dxfId="454" priority="385">
      <formula>$G$51=0%</formula>
    </cfRule>
  </conditionalFormatting>
  <conditionalFormatting sqref="G848:G853">
    <cfRule type="expression" dxfId="453" priority="398">
      <formula>$G$73="No"</formula>
    </cfRule>
  </conditionalFormatting>
  <conditionalFormatting sqref="Q838">
    <cfRule type="expression" dxfId="452" priority="383">
      <formula>$Q$63="Salvage"</formula>
    </cfRule>
  </conditionalFormatting>
  <conditionalFormatting sqref="Q788">
    <cfRule type="expression" dxfId="451" priority="382">
      <formula>$T$14=1</formula>
    </cfRule>
  </conditionalFormatting>
  <conditionalFormatting sqref="Q789">
    <cfRule type="expression" dxfId="450" priority="381">
      <formula>$T$15=1</formula>
    </cfRule>
  </conditionalFormatting>
  <conditionalFormatting sqref="Q787">
    <cfRule type="expression" dxfId="449" priority="380">
      <formula>$T$13=1</formula>
    </cfRule>
  </conditionalFormatting>
  <conditionalFormatting sqref="Q794:Q795">
    <cfRule type="expression" dxfId="448" priority="379">
      <formula>$Q$19="Performance-Based"</formula>
    </cfRule>
  </conditionalFormatting>
  <conditionalFormatting sqref="Q798:Q802">
    <cfRule type="expression" dxfId="447" priority="378">
      <formula>$Q$19="Cost-Based"</formula>
    </cfRule>
  </conditionalFormatting>
  <conditionalFormatting sqref="Q796">
    <cfRule type="expression" dxfId="446" priority="377">
      <formula>$T$22=0</formula>
    </cfRule>
  </conditionalFormatting>
  <conditionalFormatting sqref="Q810:Q813">
    <cfRule type="expression" dxfId="445" priority="376">
      <formula>$R$36=1</formula>
    </cfRule>
  </conditionalFormatting>
  <conditionalFormatting sqref="Q814">
    <cfRule type="expression" dxfId="444" priority="375">
      <formula>$R$40=1</formula>
    </cfRule>
  </conditionalFormatting>
  <conditionalFormatting sqref="Q815">
    <cfRule type="expression" dxfId="443" priority="384">
      <formula>$R$41=1</formula>
    </cfRule>
  </conditionalFormatting>
  <conditionalFormatting sqref="Q820">
    <cfRule type="expression" dxfId="442" priority="374">
      <formula>$R$46=1</formula>
    </cfRule>
  </conditionalFormatting>
  <conditionalFormatting sqref="P855:R859">
    <cfRule type="expression" dxfId="441" priority="373">
      <formula>$L855=0</formula>
    </cfRule>
  </conditionalFormatting>
  <conditionalFormatting sqref="C875">
    <cfRule type="expression" dxfId="440" priority="367">
      <formula>$G$15&lt;&gt;""</formula>
    </cfRule>
  </conditionalFormatting>
  <conditionalFormatting sqref="C891">
    <cfRule type="expression" dxfId="439" priority="366">
      <formula>$G$31&gt;=0</formula>
    </cfRule>
  </conditionalFormatting>
  <conditionalFormatting sqref="C876">
    <cfRule type="expression" dxfId="438" priority="361">
      <formula>AND($G$15="Simple",$G$16&gt;0)</formula>
    </cfRule>
    <cfRule type="expression" dxfId="437" priority="365">
      <formula>AND($G$15="Simple",$G$16&lt;=0)</formula>
    </cfRule>
  </conditionalFormatting>
  <conditionalFormatting sqref="C877">
    <cfRule type="expression" dxfId="436" priority="360">
      <formula>AND($G$15="Intermediate",$G$17&gt;0)</formula>
    </cfRule>
    <cfRule type="expression" dxfId="435" priority="364">
      <formula>AND($G$15="Intermediate",$G$17&lt;=0)</formula>
    </cfRule>
  </conditionalFormatting>
  <conditionalFormatting sqref="C934">
    <cfRule type="expression" dxfId="434" priority="333">
      <formula>$G$73="No"</formula>
    </cfRule>
    <cfRule type="expression" dxfId="433" priority="334">
      <formula>$D$74=1</formula>
    </cfRule>
  </conditionalFormatting>
  <conditionalFormatting sqref="C922">
    <cfRule type="expression" dxfId="432" priority="358">
      <formula>$D$62=1</formula>
    </cfRule>
  </conditionalFormatting>
  <conditionalFormatting sqref="H882 L891 K885">
    <cfRule type="expression" dxfId="431" priority="368">
      <formula>$G$15="Complex"</formula>
    </cfRule>
  </conditionalFormatting>
  <conditionalFormatting sqref="C911">
    <cfRule type="expression" dxfId="430" priority="359">
      <formula>$D$51=1</formula>
    </cfRule>
  </conditionalFormatting>
  <conditionalFormatting sqref="E868:F868 H868:I868">
    <cfRule type="expression" dxfId="429" priority="363">
      <formula>#REF!="Solar Thermal Electric"</formula>
    </cfRule>
  </conditionalFormatting>
  <conditionalFormatting sqref="E896:F903 H896:H899 H901:H903">
    <cfRule type="expression" dxfId="428" priority="362">
      <formula>$G$30="Simple"</formula>
    </cfRule>
  </conditionalFormatting>
  <conditionalFormatting sqref="O924:P924 S924">
    <cfRule type="expression" dxfId="427" priority="357">
      <formula>$Q$63="Salvage"</formula>
    </cfRule>
  </conditionalFormatting>
  <conditionalFormatting sqref="E906:F908">
    <cfRule type="expression" dxfId="426" priority="356">
      <formula>$G$15="Simple"</formula>
    </cfRule>
  </conditionalFormatting>
  <conditionalFormatting sqref="E877:F881">
    <cfRule type="expression" dxfId="425" priority="355">
      <formula>$G$15="Intermediate"</formula>
    </cfRule>
  </conditionalFormatting>
  <conditionalFormatting sqref="E912:F920 I912:I920">
    <cfRule type="expression" dxfId="424" priority="354">
      <formula>$G$51=0</formula>
    </cfRule>
  </conditionalFormatting>
  <conditionalFormatting sqref="O874:P874">
    <cfRule type="expression" dxfId="423" priority="353">
      <formula>$T$14=1</formula>
    </cfRule>
  </conditionalFormatting>
  <conditionalFormatting sqref="O875:P875">
    <cfRule type="expression" dxfId="422" priority="352">
      <formula>$T$15=1</formula>
    </cfRule>
  </conditionalFormatting>
  <conditionalFormatting sqref="O876">
    <cfRule type="expression" dxfId="421" priority="351">
      <formula>$T$16=1</formula>
    </cfRule>
  </conditionalFormatting>
  <conditionalFormatting sqref="O873:P873">
    <cfRule type="expression" dxfId="420" priority="350">
      <formula>$T$13=1</formula>
    </cfRule>
  </conditionalFormatting>
  <conditionalFormatting sqref="O880:P881 S880:S881 S883 O883:Q883">
    <cfRule type="expression" dxfId="419" priority="349">
      <formula>$Q$19="Performance-Based"</formula>
    </cfRule>
  </conditionalFormatting>
  <conditionalFormatting sqref="O884:P888 S884:S888">
    <cfRule type="expression" dxfId="418" priority="348">
      <formula>$Q$19="Cost-Based"</formula>
    </cfRule>
  </conditionalFormatting>
  <conditionalFormatting sqref="I876">
    <cfRule type="expression" dxfId="417" priority="347">
      <formula>$G$15="Simple"</formula>
    </cfRule>
  </conditionalFormatting>
  <conditionalFormatting sqref="I882">
    <cfRule type="expression" dxfId="416" priority="346">
      <formula>$G$15="Complex"</formula>
    </cfRule>
  </conditionalFormatting>
  <conditionalFormatting sqref="I877:I881">
    <cfRule type="expression" dxfId="415" priority="345">
      <formula>$G$15="Intermediate"</formula>
    </cfRule>
  </conditionalFormatting>
  <conditionalFormatting sqref="I896:I903">
    <cfRule type="expression" dxfId="414" priority="344">
      <formula>$G$30="Intermediate"</formula>
    </cfRule>
  </conditionalFormatting>
  <conditionalFormatting sqref="E876:F876">
    <cfRule type="expression" dxfId="413" priority="343">
      <formula>$G$15="Simple"</formula>
    </cfRule>
  </conditionalFormatting>
  <conditionalFormatting sqref="F882">
    <cfRule type="expression" dxfId="412" priority="342">
      <formula>$G$15="Complex"</formula>
    </cfRule>
  </conditionalFormatting>
  <conditionalFormatting sqref="E882">
    <cfRule type="expression" dxfId="411" priority="341">
      <formula>$G$15="Complex"</formula>
    </cfRule>
  </conditionalFormatting>
  <conditionalFormatting sqref="O882:P882 S882">
    <cfRule type="expression" dxfId="410" priority="340">
      <formula>$T$22=0</formula>
    </cfRule>
  </conditionalFormatting>
  <conditionalFormatting sqref="S873">
    <cfRule type="expression" dxfId="409" priority="339">
      <formula>$T$13=1</formula>
    </cfRule>
  </conditionalFormatting>
  <conditionalFormatting sqref="S874">
    <cfRule type="expression" dxfId="408" priority="338">
      <formula>$T$14=1</formula>
    </cfRule>
  </conditionalFormatting>
  <conditionalFormatting sqref="S875">
    <cfRule type="expression" dxfId="407" priority="337">
      <formula>$T$15=1</formula>
    </cfRule>
  </conditionalFormatting>
  <conditionalFormatting sqref="S876">
    <cfRule type="expression" dxfId="406" priority="336">
      <formula>$T$16=1</formula>
    </cfRule>
  </conditionalFormatting>
  <conditionalFormatting sqref="E923:F923">
    <cfRule type="expression" dxfId="405" priority="335">
      <formula>$G$51=0%</formula>
    </cfRule>
  </conditionalFormatting>
  <conditionalFormatting sqref="AB940:AB946 U940:Z945 O940:R940 O941:O945">
    <cfRule type="expression" dxfId="404" priority="332">
      <formula>$L940=0</formula>
    </cfRule>
  </conditionalFormatting>
  <conditionalFormatting sqref="O946:R946 U946:Z946">
    <cfRule type="expression" dxfId="403" priority="331">
      <formula>$L$86=0</formula>
    </cfRule>
  </conditionalFormatting>
  <conditionalFormatting sqref="O896:P899 S896:S899">
    <cfRule type="expression" dxfId="402" priority="330">
      <formula>$R$36=1</formula>
    </cfRule>
  </conditionalFormatting>
  <conditionalFormatting sqref="O900:P900 S900 S902:S905 O902:Q905">
    <cfRule type="expression" dxfId="401" priority="329">
      <formula>$R$40=1</formula>
    </cfRule>
  </conditionalFormatting>
  <conditionalFormatting sqref="O901:P901 S901">
    <cfRule type="expression" dxfId="400" priority="369">
      <formula>$R$41=1</formula>
    </cfRule>
  </conditionalFormatting>
  <conditionalFormatting sqref="O906:P906 S906">
    <cfRule type="expression" dxfId="399" priority="328">
      <formula>$R$46=1</formula>
    </cfRule>
  </conditionalFormatting>
  <conditionalFormatting sqref="L884 K879">
    <cfRule type="expression" dxfId="398" priority="370">
      <formula>$G$15="Simple"</formula>
    </cfRule>
  </conditionalFormatting>
  <conditionalFormatting sqref="L885:L889 K880:K884">
    <cfRule type="expression" dxfId="397" priority="371">
      <formula>$G$15="Intermediate"</formula>
    </cfRule>
  </conditionalFormatting>
  <conditionalFormatting sqref="E934:F939 I934:I939">
    <cfRule type="expression" dxfId="396" priority="372">
      <formula>$G$73="No"</formula>
    </cfRule>
  </conditionalFormatting>
  <conditionalFormatting sqref="O937:P937">
    <cfRule type="expression" dxfId="395" priority="327">
      <formula>$P$76="No"</formula>
    </cfRule>
  </conditionalFormatting>
  <conditionalFormatting sqref="S937">
    <cfRule type="expression" dxfId="394" priority="326">
      <formula>$P$77="No"</formula>
    </cfRule>
  </conditionalFormatting>
  <conditionalFormatting sqref="S888">
    <cfRule type="expression" dxfId="393" priority="325">
      <formula>$Q$20="Cost-Based"</formula>
    </cfRule>
  </conditionalFormatting>
  <conditionalFormatting sqref="G882">
    <cfRule type="expression" dxfId="392" priority="323">
      <formula>$G$15="Complex"</formula>
    </cfRule>
  </conditionalFormatting>
  <conditionalFormatting sqref="G868">
    <cfRule type="expression" dxfId="391" priority="322">
      <formula>#REF!="Solar Thermal Electric"</formula>
    </cfRule>
  </conditionalFormatting>
  <conditionalFormatting sqref="G896:G903">
    <cfRule type="expression" dxfId="390" priority="321">
      <formula>$G$30="Simple"</formula>
    </cfRule>
  </conditionalFormatting>
  <conditionalFormatting sqref="G917">
    <cfRule type="expression" dxfId="389" priority="320">
      <formula>$G$57="Fail"</formula>
    </cfRule>
  </conditionalFormatting>
  <conditionalFormatting sqref="G906:G908">
    <cfRule type="expression" dxfId="388" priority="319">
      <formula>$G$15="Simple"</formula>
    </cfRule>
  </conditionalFormatting>
  <conditionalFormatting sqref="G920">
    <cfRule type="expression" dxfId="387" priority="318">
      <formula>$G$60="Fail"</formula>
    </cfRule>
  </conditionalFormatting>
  <conditionalFormatting sqref="G876">
    <cfRule type="expression" dxfId="386" priority="317">
      <formula>$G$15="Simple"</formula>
    </cfRule>
  </conditionalFormatting>
  <conditionalFormatting sqref="G881">
    <cfRule type="expression" dxfId="385" priority="316">
      <formula>$G$15="Intermediate"</formula>
    </cfRule>
  </conditionalFormatting>
  <conditionalFormatting sqref="G877 G879:G880">
    <cfRule type="expression" dxfId="384" priority="315">
      <formula>$G$15="Intermediate"</formula>
    </cfRule>
  </conditionalFormatting>
  <conditionalFormatting sqref="G878">
    <cfRule type="expression" dxfId="383" priority="313">
      <formula>$G$15="Intermediate"</formula>
    </cfRule>
    <cfRule type="expression" dxfId="382" priority="314">
      <formula>$G$15="Intermediate"</formula>
    </cfRule>
  </conditionalFormatting>
  <conditionalFormatting sqref="G912:G920">
    <cfRule type="expression" dxfId="381" priority="312">
      <formula>$G$51=0</formula>
    </cfRule>
  </conditionalFormatting>
  <conditionalFormatting sqref="G923">
    <cfRule type="expression" dxfId="380" priority="311">
      <formula>$G$51=0%</formula>
    </cfRule>
  </conditionalFormatting>
  <conditionalFormatting sqref="G934:G939">
    <cfRule type="expression" dxfId="379" priority="324">
      <formula>$G$73="No"</formula>
    </cfRule>
  </conditionalFormatting>
  <conditionalFormatting sqref="Q924">
    <cfRule type="expression" dxfId="378" priority="309">
      <formula>$Q$63="Salvage"</formula>
    </cfRule>
  </conditionalFormatting>
  <conditionalFormatting sqref="Q874">
    <cfRule type="expression" dxfId="377" priority="308">
      <formula>$T$14=1</formula>
    </cfRule>
  </conditionalFormatting>
  <conditionalFormatting sqref="Q875">
    <cfRule type="expression" dxfId="376" priority="307">
      <formula>$T$15=1</formula>
    </cfRule>
  </conditionalFormatting>
  <conditionalFormatting sqref="Q873">
    <cfRule type="expression" dxfId="375" priority="306">
      <formula>$T$13=1</formula>
    </cfRule>
  </conditionalFormatting>
  <conditionalFormatting sqref="Q880:Q881">
    <cfRule type="expression" dxfId="374" priority="305">
      <formula>$Q$19="Performance-Based"</formula>
    </cfRule>
  </conditionalFormatting>
  <conditionalFormatting sqref="Q884:Q888">
    <cfRule type="expression" dxfId="373" priority="304">
      <formula>$Q$19="Cost-Based"</formula>
    </cfRule>
  </conditionalFormatting>
  <conditionalFormatting sqref="Q882">
    <cfRule type="expression" dxfId="372" priority="303">
      <formula>$T$22=0</formula>
    </cfRule>
  </conditionalFormatting>
  <conditionalFormatting sqref="Q896:Q899">
    <cfRule type="expression" dxfId="371" priority="302">
      <formula>$R$36=1</formula>
    </cfRule>
  </conditionalFormatting>
  <conditionalFormatting sqref="Q900">
    <cfRule type="expression" dxfId="370" priority="301">
      <formula>$R$40=1</formula>
    </cfRule>
  </conditionalFormatting>
  <conditionalFormatting sqref="Q901">
    <cfRule type="expression" dxfId="369" priority="310">
      <formula>$R$41=1</formula>
    </cfRule>
  </conditionalFormatting>
  <conditionalFormatting sqref="Q906">
    <cfRule type="expression" dxfId="368" priority="300">
      <formula>$R$46=1</formula>
    </cfRule>
  </conditionalFormatting>
  <conditionalFormatting sqref="P941:R945">
    <cfRule type="expression" dxfId="367" priority="299">
      <formula>$L941=0</formula>
    </cfRule>
  </conditionalFormatting>
  <conditionalFormatting sqref="C961">
    <cfRule type="expression" dxfId="366" priority="293">
      <formula>$G$15&lt;&gt;""</formula>
    </cfRule>
  </conditionalFormatting>
  <conditionalFormatting sqref="C977">
    <cfRule type="expression" dxfId="365" priority="292">
      <formula>$G$31&gt;=0</formula>
    </cfRule>
  </conditionalFormatting>
  <conditionalFormatting sqref="C962">
    <cfRule type="expression" dxfId="364" priority="287">
      <formula>AND($G$15="Simple",$G$16&gt;0)</formula>
    </cfRule>
    <cfRule type="expression" dxfId="363" priority="291">
      <formula>AND($G$15="Simple",$G$16&lt;=0)</formula>
    </cfRule>
  </conditionalFormatting>
  <conditionalFormatting sqref="C963">
    <cfRule type="expression" dxfId="362" priority="286">
      <formula>AND($G$15="Intermediate",$G$17&gt;0)</formula>
    </cfRule>
    <cfRule type="expression" dxfId="361" priority="290">
      <formula>AND($G$15="Intermediate",$G$17&lt;=0)</formula>
    </cfRule>
  </conditionalFormatting>
  <conditionalFormatting sqref="C1020">
    <cfRule type="expression" dxfId="360" priority="259">
      <formula>$G$73="No"</formula>
    </cfRule>
    <cfRule type="expression" dxfId="359" priority="260">
      <formula>$D$74=1</formula>
    </cfRule>
  </conditionalFormatting>
  <conditionalFormatting sqref="C1008">
    <cfRule type="expression" dxfId="358" priority="284">
      <formula>$D$62=1</formula>
    </cfRule>
  </conditionalFormatting>
  <conditionalFormatting sqref="H968 L977 K971">
    <cfRule type="expression" dxfId="357" priority="294">
      <formula>$G$15="Complex"</formula>
    </cfRule>
  </conditionalFormatting>
  <conditionalFormatting sqref="C997">
    <cfRule type="expression" dxfId="356" priority="285">
      <formula>$D$51=1</formula>
    </cfRule>
  </conditionalFormatting>
  <conditionalFormatting sqref="E954:F954 H954:I954">
    <cfRule type="expression" dxfId="355" priority="289">
      <formula>#REF!="Solar Thermal Electric"</formula>
    </cfRule>
  </conditionalFormatting>
  <conditionalFormatting sqref="E982:F989 H982:H985 H987:H989">
    <cfRule type="expression" dxfId="354" priority="288">
      <formula>$G$30="Simple"</formula>
    </cfRule>
  </conditionalFormatting>
  <conditionalFormatting sqref="O1010:P1010 S1010">
    <cfRule type="expression" dxfId="353" priority="283">
      <formula>$Q$63="Salvage"</formula>
    </cfRule>
  </conditionalFormatting>
  <conditionalFormatting sqref="E992:F994">
    <cfRule type="expression" dxfId="352" priority="282">
      <formula>$G$15="Simple"</formula>
    </cfRule>
  </conditionalFormatting>
  <conditionalFormatting sqref="E963:F967">
    <cfRule type="expression" dxfId="351" priority="281">
      <formula>$G$15="Intermediate"</formula>
    </cfRule>
  </conditionalFormatting>
  <conditionalFormatting sqref="E998:F1006 I998:I1006">
    <cfRule type="expression" dxfId="350" priority="280">
      <formula>$G$51=0</formula>
    </cfRule>
  </conditionalFormatting>
  <conditionalFormatting sqref="O960:P960">
    <cfRule type="expression" dxfId="349" priority="279">
      <formula>$T$14=1</formula>
    </cfRule>
  </conditionalFormatting>
  <conditionalFormatting sqref="O961:P961">
    <cfRule type="expression" dxfId="348" priority="278">
      <formula>$T$15=1</formula>
    </cfRule>
  </conditionalFormatting>
  <conditionalFormatting sqref="O962">
    <cfRule type="expression" dxfId="347" priority="277">
      <formula>$T$16=1</formula>
    </cfRule>
  </conditionalFormatting>
  <conditionalFormatting sqref="O959:P959">
    <cfRule type="expression" dxfId="346" priority="276">
      <formula>$T$13=1</formula>
    </cfRule>
  </conditionalFormatting>
  <conditionalFormatting sqref="O966:P967 S966:S967 S969 O969:Q969">
    <cfRule type="expression" dxfId="345" priority="275">
      <formula>$Q$19="Performance-Based"</formula>
    </cfRule>
  </conditionalFormatting>
  <conditionalFormatting sqref="O970:P974 S970:S974">
    <cfRule type="expression" dxfId="344" priority="274">
      <formula>$Q$19="Cost-Based"</formula>
    </cfRule>
  </conditionalFormatting>
  <conditionalFormatting sqref="I962">
    <cfRule type="expression" dxfId="343" priority="273">
      <formula>$G$15="Simple"</formula>
    </cfRule>
  </conditionalFormatting>
  <conditionalFormatting sqref="I968">
    <cfRule type="expression" dxfId="342" priority="272">
      <formula>$G$15="Complex"</formula>
    </cfRule>
  </conditionalFormatting>
  <conditionalFormatting sqref="I963:I967">
    <cfRule type="expression" dxfId="341" priority="271">
      <formula>$G$15="Intermediate"</formula>
    </cfRule>
  </conditionalFormatting>
  <conditionalFormatting sqref="I982:I989">
    <cfRule type="expression" dxfId="340" priority="270">
      <formula>$G$30="Intermediate"</formula>
    </cfRule>
  </conditionalFormatting>
  <conditionalFormatting sqref="E962:F962">
    <cfRule type="expression" dxfId="339" priority="269">
      <formula>$G$15="Simple"</formula>
    </cfRule>
  </conditionalFormatting>
  <conditionalFormatting sqref="F968">
    <cfRule type="expression" dxfId="338" priority="268">
      <formula>$G$15="Complex"</formula>
    </cfRule>
  </conditionalFormatting>
  <conditionalFormatting sqref="E968">
    <cfRule type="expression" dxfId="337" priority="267">
      <formula>$G$15="Complex"</formula>
    </cfRule>
  </conditionalFormatting>
  <conditionalFormatting sqref="O968:P968 S968">
    <cfRule type="expression" dxfId="336" priority="266">
      <formula>$T$22=0</formula>
    </cfRule>
  </conditionalFormatting>
  <conditionalFormatting sqref="S959">
    <cfRule type="expression" dxfId="335" priority="265">
      <formula>$T$13=1</formula>
    </cfRule>
  </conditionalFormatting>
  <conditionalFormatting sqref="S960">
    <cfRule type="expression" dxfId="334" priority="264">
      <formula>$T$14=1</formula>
    </cfRule>
  </conditionalFormatting>
  <conditionalFormatting sqref="S961">
    <cfRule type="expression" dxfId="333" priority="263">
      <formula>$T$15=1</formula>
    </cfRule>
  </conditionalFormatting>
  <conditionalFormatting sqref="S962">
    <cfRule type="expression" dxfId="332" priority="262">
      <formula>$T$16=1</formula>
    </cfRule>
  </conditionalFormatting>
  <conditionalFormatting sqref="E1009:F1009">
    <cfRule type="expression" dxfId="331" priority="261">
      <formula>$G$51=0%</formula>
    </cfRule>
  </conditionalFormatting>
  <conditionalFormatting sqref="AB1026:AB1032 U1026:Z1031 O1026:R1026 O1027:O1031">
    <cfRule type="expression" dxfId="330" priority="258">
      <formula>$L1026=0</formula>
    </cfRule>
  </conditionalFormatting>
  <conditionalFormatting sqref="O1032:R1032 U1032:Z1032">
    <cfRule type="expression" dxfId="329" priority="257">
      <formula>$L$86=0</formula>
    </cfRule>
  </conditionalFormatting>
  <conditionalFormatting sqref="O982:P985 S982:S985">
    <cfRule type="expression" dxfId="328" priority="256">
      <formula>$R$36=1</formula>
    </cfRule>
  </conditionalFormatting>
  <conditionalFormatting sqref="O986:P986 S986 S988:S991 O988:Q991">
    <cfRule type="expression" dxfId="327" priority="255">
      <formula>$R$40=1</formula>
    </cfRule>
  </conditionalFormatting>
  <conditionalFormatting sqref="O987:P987 S987">
    <cfRule type="expression" dxfId="326" priority="295">
      <formula>$R$41=1</formula>
    </cfRule>
  </conditionalFormatting>
  <conditionalFormatting sqref="O992:P992 S992">
    <cfRule type="expression" dxfId="325" priority="254">
      <formula>$R$46=1</formula>
    </cfRule>
  </conditionalFormatting>
  <conditionalFormatting sqref="L970 K965">
    <cfRule type="expression" dxfId="324" priority="296">
      <formula>$G$15="Simple"</formula>
    </cfRule>
  </conditionalFormatting>
  <conditionalFormatting sqref="L971:L975 K966:K970">
    <cfRule type="expression" dxfId="323" priority="297">
      <formula>$G$15="Intermediate"</formula>
    </cfRule>
  </conditionalFormatting>
  <conditionalFormatting sqref="E1020:F1025 I1020:I1025">
    <cfRule type="expression" dxfId="322" priority="298">
      <formula>$G$73="No"</formula>
    </cfRule>
  </conditionalFormatting>
  <conditionalFormatting sqref="O1023:P1023">
    <cfRule type="expression" dxfId="321" priority="253">
      <formula>$P$76="No"</formula>
    </cfRule>
  </conditionalFormatting>
  <conditionalFormatting sqref="S1023">
    <cfRule type="expression" dxfId="320" priority="252">
      <formula>$P$77="No"</formula>
    </cfRule>
  </conditionalFormatting>
  <conditionalFormatting sqref="S974">
    <cfRule type="expression" dxfId="319" priority="251">
      <formula>$Q$20="Cost-Based"</formula>
    </cfRule>
  </conditionalFormatting>
  <conditionalFormatting sqref="G968">
    <cfRule type="expression" dxfId="318" priority="249">
      <formula>$G$15="Complex"</formula>
    </cfRule>
  </conditionalFormatting>
  <conditionalFormatting sqref="G954">
    <cfRule type="expression" dxfId="317" priority="248">
      <formula>#REF!="Solar Thermal Electric"</formula>
    </cfRule>
  </conditionalFormatting>
  <conditionalFormatting sqref="G982:G989">
    <cfRule type="expression" dxfId="316" priority="247">
      <formula>$G$30="Simple"</formula>
    </cfRule>
  </conditionalFormatting>
  <conditionalFormatting sqref="G1003">
    <cfRule type="expression" dxfId="315" priority="246">
      <formula>$G$57="Fail"</formula>
    </cfRule>
  </conditionalFormatting>
  <conditionalFormatting sqref="G992:G994">
    <cfRule type="expression" dxfId="314" priority="245">
      <formula>$G$15="Simple"</formula>
    </cfRule>
  </conditionalFormatting>
  <conditionalFormatting sqref="G1006">
    <cfRule type="expression" dxfId="313" priority="244">
      <formula>$G$60="Fail"</formula>
    </cfRule>
  </conditionalFormatting>
  <conditionalFormatting sqref="G962">
    <cfRule type="expression" dxfId="312" priority="243">
      <formula>$G$15="Simple"</formula>
    </cfRule>
  </conditionalFormatting>
  <conditionalFormatting sqref="G967">
    <cfRule type="expression" dxfId="311" priority="242">
      <formula>$G$15="Intermediate"</formula>
    </cfRule>
  </conditionalFormatting>
  <conditionalFormatting sqref="G963 G965:G966">
    <cfRule type="expression" dxfId="310" priority="241">
      <formula>$G$15="Intermediate"</formula>
    </cfRule>
  </conditionalFormatting>
  <conditionalFormatting sqref="G964">
    <cfRule type="expression" dxfId="309" priority="239">
      <formula>$G$15="Intermediate"</formula>
    </cfRule>
    <cfRule type="expression" dxfId="308" priority="240">
      <formula>$G$15="Intermediate"</formula>
    </cfRule>
  </conditionalFormatting>
  <conditionalFormatting sqref="G998:G1006">
    <cfRule type="expression" dxfId="307" priority="238">
      <formula>$G$51=0</formula>
    </cfRule>
  </conditionalFormatting>
  <conditionalFormatting sqref="G1009">
    <cfRule type="expression" dxfId="306" priority="237">
      <formula>$G$51=0%</formula>
    </cfRule>
  </conditionalFormatting>
  <conditionalFormatting sqref="G1020:G1025">
    <cfRule type="expression" dxfId="305" priority="250">
      <formula>$G$73="No"</formula>
    </cfRule>
  </conditionalFormatting>
  <conditionalFormatting sqref="Q1010">
    <cfRule type="expression" dxfId="304" priority="235">
      <formula>$Q$63="Salvage"</formula>
    </cfRule>
  </conditionalFormatting>
  <conditionalFormatting sqref="Q960">
    <cfRule type="expression" dxfId="303" priority="234">
      <formula>$T$14=1</formula>
    </cfRule>
  </conditionalFormatting>
  <conditionalFormatting sqref="Q961">
    <cfRule type="expression" dxfId="302" priority="233">
      <formula>$T$15=1</formula>
    </cfRule>
  </conditionalFormatting>
  <conditionalFormatting sqref="Q959">
    <cfRule type="expression" dxfId="301" priority="232">
      <formula>$T$13=1</formula>
    </cfRule>
  </conditionalFormatting>
  <conditionalFormatting sqref="Q966:Q967">
    <cfRule type="expression" dxfId="300" priority="231">
      <formula>$Q$19="Performance-Based"</formula>
    </cfRule>
  </conditionalFormatting>
  <conditionalFormatting sqref="Q970:Q974">
    <cfRule type="expression" dxfId="299" priority="230">
      <formula>$Q$19="Cost-Based"</formula>
    </cfRule>
  </conditionalFormatting>
  <conditionalFormatting sqref="Q968">
    <cfRule type="expression" dxfId="298" priority="229">
      <formula>$T$22=0</formula>
    </cfRule>
  </conditionalFormatting>
  <conditionalFormatting sqref="Q982:Q985">
    <cfRule type="expression" dxfId="297" priority="228">
      <formula>$R$36=1</formula>
    </cfRule>
  </conditionalFormatting>
  <conditionalFormatting sqref="Q986">
    <cfRule type="expression" dxfId="296" priority="227">
      <formula>$R$40=1</formula>
    </cfRule>
  </conditionalFormatting>
  <conditionalFormatting sqref="Q987">
    <cfRule type="expression" dxfId="295" priority="236">
      <formula>$R$41=1</formula>
    </cfRule>
  </conditionalFormatting>
  <conditionalFormatting sqref="Q992">
    <cfRule type="expression" dxfId="294" priority="226">
      <formula>$R$46=1</formula>
    </cfRule>
  </conditionalFormatting>
  <conditionalFormatting sqref="P1027:R1031">
    <cfRule type="expression" dxfId="293" priority="225">
      <formula>$L1027=0</formula>
    </cfRule>
  </conditionalFormatting>
  <conditionalFormatting sqref="C1047">
    <cfRule type="expression" dxfId="292" priority="219">
      <formula>$G$15&lt;&gt;""</formula>
    </cfRule>
  </conditionalFormatting>
  <conditionalFormatting sqref="C1063">
    <cfRule type="expression" dxfId="291" priority="218">
      <formula>$G$31&gt;=0</formula>
    </cfRule>
  </conditionalFormatting>
  <conditionalFormatting sqref="C1048">
    <cfRule type="expression" dxfId="290" priority="213">
      <formula>AND($G$15="Simple",$G$16&gt;0)</formula>
    </cfRule>
    <cfRule type="expression" dxfId="289" priority="217">
      <formula>AND($G$15="Simple",$G$16&lt;=0)</formula>
    </cfRule>
  </conditionalFormatting>
  <conditionalFormatting sqref="C1049">
    <cfRule type="expression" dxfId="288" priority="212">
      <formula>AND($G$15="Intermediate",$G$17&gt;0)</formula>
    </cfRule>
    <cfRule type="expression" dxfId="287" priority="216">
      <formula>AND($G$15="Intermediate",$G$17&lt;=0)</formula>
    </cfRule>
  </conditionalFormatting>
  <conditionalFormatting sqref="C1106">
    <cfRule type="expression" dxfId="286" priority="185">
      <formula>$G$73="No"</formula>
    </cfRule>
    <cfRule type="expression" dxfId="285" priority="186">
      <formula>$D$74=1</formula>
    </cfRule>
  </conditionalFormatting>
  <conditionalFormatting sqref="C1094">
    <cfRule type="expression" dxfId="284" priority="210">
      <formula>$D$62=1</formula>
    </cfRule>
  </conditionalFormatting>
  <conditionalFormatting sqref="H1054 L1063 K1057">
    <cfRule type="expression" dxfId="283" priority="220">
      <formula>$G$15="Complex"</formula>
    </cfRule>
  </conditionalFormatting>
  <conditionalFormatting sqref="C1083">
    <cfRule type="expression" dxfId="282" priority="211">
      <formula>$D$51=1</formula>
    </cfRule>
  </conditionalFormatting>
  <conditionalFormatting sqref="E1040:F1040 H1040:I1040">
    <cfRule type="expression" dxfId="281" priority="215">
      <formula>#REF!="Solar Thermal Electric"</formula>
    </cfRule>
  </conditionalFormatting>
  <conditionalFormatting sqref="E1068:F1075 H1068:H1071 H1073:H1075">
    <cfRule type="expression" dxfId="280" priority="214">
      <formula>$G$30="Simple"</formula>
    </cfRule>
  </conditionalFormatting>
  <conditionalFormatting sqref="O1096:P1096 S1096">
    <cfRule type="expression" dxfId="279" priority="209">
      <formula>$Q$63="Salvage"</formula>
    </cfRule>
  </conditionalFormatting>
  <conditionalFormatting sqref="E1078:F1080">
    <cfRule type="expression" dxfId="278" priority="208">
      <formula>$G$15="Simple"</formula>
    </cfRule>
  </conditionalFormatting>
  <conditionalFormatting sqref="E1049:F1053">
    <cfRule type="expression" dxfId="277" priority="207">
      <formula>$G$15="Intermediate"</formula>
    </cfRule>
  </conditionalFormatting>
  <conditionalFormatting sqref="E1084:F1092 I1084:I1092">
    <cfRule type="expression" dxfId="276" priority="206">
      <formula>$G$51=0</formula>
    </cfRule>
  </conditionalFormatting>
  <conditionalFormatting sqref="O1046:P1046">
    <cfRule type="expression" dxfId="275" priority="205">
      <formula>$T$14=1</formula>
    </cfRule>
  </conditionalFormatting>
  <conditionalFormatting sqref="O1047:P1047">
    <cfRule type="expression" dxfId="274" priority="204">
      <formula>$T$15=1</formula>
    </cfRule>
  </conditionalFormatting>
  <conditionalFormatting sqref="O1048">
    <cfRule type="expression" dxfId="273" priority="203">
      <formula>$T$16=1</formula>
    </cfRule>
  </conditionalFormatting>
  <conditionalFormatting sqref="O1045:P1045">
    <cfRule type="expression" dxfId="272" priority="202">
      <formula>$T$13=1</formula>
    </cfRule>
  </conditionalFormatting>
  <conditionalFormatting sqref="O1052:P1053 S1052:S1053 S1055 O1055:Q1055">
    <cfRule type="expression" dxfId="271" priority="201">
      <formula>$Q$19="Performance-Based"</formula>
    </cfRule>
  </conditionalFormatting>
  <conditionalFormatting sqref="O1056:P1060 S1056:S1060">
    <cfRule type="expression" dxfId="270" priority="200">
      <formula>$Q$19="Cost-Based"</formula>
    </cfRule>
  </conditionalFormatting>
  <conditionalFormatting sqref="I1048">
    <cfRule type="expression" dxfId="269" priority="199">
      <formula>$G$15="Simple"</formula>
    </cfRule>
  </conditionalFormatting>
  <conditionalFormatting sqref="I1054">
    <cfRule type="expression" dxfId="268" priority="198">
      <formula>$G$15="Complex"</formula>
    </cfRule>
  </conditionalFormatting>
  <conditionalFormatting sqref="I1049:I1053">
    <cfRule type="expression" dxfId="267" priority="197">
      <formula>$G$15="Intermediate"</formula>
    </cfRule>
  </conditionalFormatting>
  <conditionalFormatting sqref="I1068:I1075">
    <cfRule type="expression" dxfId="266" priority="196">
      <formula>$G$30="Intermediate"</formula>
    </cfRule>
  </conditionalFormatting>
  <conditionalFormatting sqref="E1048:F1048">
    <cfRule type="expression" dxfId="265" priority="195">
      <formula>$G$15="Simple"</formula>
    </cfRule>
  </conditionalFormatting>
  <conditionalFormatting sqref="F1054">
    <cfRule type="expression" dxfId="264" priority="194">
      <formula>$G$15="Complex"</formula>
    </cfRule>
  </conditionalFormatting>
  <conditionalFormatting sqref="E1054">
    <cfRule type="expression" dxfId="263" priority="193">
      <formula>$G$15="Complex"</formula>
    </cfRule>
  </conditionalFormatting>
  <conditionalFormatting sqref="O1054:P1054 S1054">
    <cfRule type="expression" dxfId="262" priority="192">
      <formula>$T$22=0</formula>
    </cfRule>
  </conditionalFormatting>
  <conditionalFormatting sqref="S1045">
    <cfRule type="expression" dxfId="261" priority="191">
      <formula>$T$13=1</formula>
    </cfRule>
  </conditionalFormatting>
  <conditionalFormatting sqref="S1046">
    <cfRule type="expression" dxfId="260" priority="190">
      <formula>$T$14=1</formula>
    </cfRule>
  </conditionalFormatting>
  <conditionalFormatting sqref="S1047">
    <cfRule type="expression" dxfId="259" priority="189">
      <formula>$T$15=1</formula>
    </cfRule>
  </conditionalFormatting>
  <conditionalFormatting sqref="S1048">
    <cfRule type="expression" dxfId="258" priority="188">
      <formula>$T$16=1</formula>
    </cfRule>
  </conditionalFormatting>
  <conditionalFormatting sqref="E1095:F1095">
    <cfRule type="expression" dxfId="257" priority="187">
      <formula>$G$51=0%</formula>
    </cfRule>
  </conditionalFormatting>
  <conditionalFormatting sqref="AB1112:AB1118 U1112:Z1117 O1112:R1112 O1113:O1117">
    <cfRule type="expression" dxfId="256" priority="184">
      <formula>$L1112=0</formula>
    </cfRule>
  </conditionalFormatting>
  <conditionalFormatting sqref="O1118:R1118 U1118:Z1118">
    <cfRule type="expression" dxfId="255" priority="183">
      <formula>$L$86=0</formula>
    </cfRule>
  </conditionalFormatting>
  <conditionalFormatting sqref="O1068:P1071 S1068:S1071">
    <cfRule type="expression" dxfId="254" priority="182">
      <formula>$R$36=1</formula>
    </cfRule>
  </conditionalFormatting>
  <conditionalFormatting sqref="O1072:P1072 S1072 S1074:S1077 O1074:Q1077">
    <cfRule type="expression" dxfId="253" priority="181">
      <formula>$R$40=1</formula>
    </cfRule>
  </conditionalFormatting>
  <conditionalFormatting sqref="O1073:P1073 S1073">
    <cfRule type="expression" dxfId="252" priority="221">
      <formula>$R$41=1</formula>
    </cfRule>
  </conditionalFormatting>
  <conditionalFormatting sqref="O1078:P1078 S1078">
    <cfRule type="expression" dxfId="251" priority="180">
      <formula>$R$46=1</formula>
    </cfRule>
  </conditionalFormatting>
  <conditionalFormatting sqref="L1056 K1051">
    <cfRule type="expression" dxfId="250" priority="222">
      <formula>$G$15="Simple"</formula>
    </cfRule>
  </conditionalFormatting>
  <conditionalFormatting sqref="L1057:L1061 K1052:K1056">
    <cfRule type="expression" dxfId="249" priority="223">
      <formula>$G$15="Intermediate"</formula>
    </cfRule>
  </conditionalFormatting>
  <conditionalFormatting sqref="E1106:F1111 I1106:I1111">
    <cfRule type="expression" dxfId="248" priority="224">
      <formula>$G$73="No"</formula>
    </cfRule>
  </conditionalFormatting>
  <conditionalFormatting sqref="O1109:P1109">
    <cfRule type="expression" dxfId="247" priority="179">
      <formula>$P$76="No"</formula>
    </cfRule>
  </conditionalFormatting>
  <conditionalFormatting sqref="S1109">
    <cfRule type="expression" dxfId="246" priority="178">
      <formula>$P$77="No"</formula>
    </cfRule>
  </conditionalFormatting>
  <conditionalFormatting sqref="S1060">
    <cfRule type="expression" dxfId="245" priority="177">
      <formula>$Q$20="Cost-Based"</formula>
    </cfRule>
  </conditionalFormatting>
  <conditionalFormatting sqref="G1054">
    <cfRule type="expression" dxfId="244" priority="175">
      <formula>$G$15="Complex"</formula>
    </cfRule>
  </conditionalFormatting>
  <conditionalFormatting sqref="G1040">
    <cfRule type="expression" dxfId="243" priority="174">
      <formula>#REF!="Solar Thermal Electric"</formula>
    </cfRule>
  </conditionalFormatting>
  <conditionalFormatting sqref="G1068:G1075">
    <cfRule type="expression" dxfId="242" priority="173">
      <formula>$G$30="Simple"</formula>
    </cfRule>
  </conditionalFormatting>
  <conditionalFormatting sqref="G1089">
    <cfRule type="expression" dxfId="241" priority="172">
      <formula>$G$57="Fail"</formula>
    </cfRule>
  </conditionalFormatting>
  <conditionalFormatting sqref="G1078:G1080">
    <cfRule type="expression" dxfId="240" priority="171">
      <formula>$G$15="Simple"</formula>
    </cfRule>
  </conditionalFormatting>
  <conditionalFormatting sqref="G1092">
    <cfRule type="expression" dxfId="239" priority="170">
      <formula>$G$60="Fail"</formula>
    </cfRule>
  </conditionalFormatting>
  <conditionalFormatting sqref="G1048">
    <cfRule type="expression" dxfId="238" priority="169">
      <formula>$G$15="Simple"</formula>
    </cfRule>
  </conditionalFormatting>
  <conditionalFormatting sqref="G1053">
    <cfRule type="expression" dxfId="237" priority="168">
      <formula>$G$15="Intermediate"</formula>
    </cfRule>
  </conditionalFormatting>
  <conditionalFormatting sqref="G1049 G1051:G1052">
    <cfRule type="expression" dxfId="236" priority="167">
      <formula>$G$15="Intermediate"</formula>
    </cfRule>
  </conditionalFormatting>
  <conditionalFormatting sqref="G1050">
    <cfRule type="expression" dxfId="235" priority="165">
      <formula>$G$15="Intermediate"</formula>
    </cfRule>
    <cfRule type="expression" dxfId="234" priority="166">
      <formula>$G$15="Intermediate"</formula>
    </cfRule>
  </conditionalFormatting>
  <conditionalFormatting sqref="G1084:G1092">
    <cfRule type="expression" dxfId="233" priority="164">
      <formula>$G$51=0</formula>
    </cfRule>
  </conditionalFormatting>
  <conditionalFormatting sqref="G1095">
    <cfRule type="expression" dxfId="232" priority="163">
      <formula>$G$51=0%</formula>
    </cfRule>
  </conditionalFormatting>
  <conditionalFormatting sqref="G1106:G1111">
    <cfRule type="expression" dxfId="231" priority="176">
      <formula>$G$73="No"</formula>
    </cfRule>
  </conditionalFormatting>
  <conditionalFormatting sqref="Q1096">
    <cfRule type="expression" dxfId="230" priority="161">
      <formula>$Q$63="Salvage"</formula>
    </cfRule>
  </conditionalFormatting>
  <conditionalFormatting sqref="Q1046">
    <cfRule type="expression" dxfId="229" priority="160">
      <formula>$T$14=1</formula>
    </cfRule>
  </conditionalFormatting>
  <conditionalFormatting sqref="Q1047">
    <cfRule type="expression" dxfId="228" priority="159">
      <formula>$T$15=1</formula>
    </cfRule>
  </conditionalFormatting>
  <conditionalFormatting sqref="Q1045">
    <cfRule type="expression" dxfId="227" priority="158">
      <formula>$T$13=1</formula>
    </cfRule>
  </conditionalFormatting>
  <conditionalFormatting sqref="Q1052:Q1053">
    <cfRule type="expression" dxfId="226" priority="157">
      <formula>$Q$19="Performance-Based"</formula>
    </cfRule>
  </conditionalFormatting>
  <conditionalFormatting sqref="Q1056:Q1060">
    <cfRule type="expression" dxfId="225" priority="156">
      <formula>$Q$19="Cost-Based"</formula>
    </cfRule>
  </conditionalFormatting>
  <conditionalFormatting sqref="Q1054">
    <cfRule type="expression" dxfId="224" priority="155">
      <formula>$T$22=0</formula>
    </cfRule>
  </conditionalFormatting>
  <conditionalFormatting sqref="Q1068:Q1071">
    <cfRule type="expression" dxfId="223" priority="154">
      <formula>$R$36=1</formula>
    </cfRule>
  </conditionalFormatting>
  <conditionalFormatting sqref="Q1072">
    <cfRule type="expression" dxfId="222" priority="153">
      <formula>$R$40=1</formula>
    </cfRule>
  </conditionalFormatting>
  <conditionalFormatting sqref="Q1073">
    <cfRule type="expression" dxfId="221" priority="162">
      <formula>$R$41=1</formula>
    </cfRule>
  </conditionalFormatting>
  <conditionalFormatting sqref="Q1078">
    <cfRule type="expression" dxfId="220" priority="152">
      <formula>$R$46=1</formula>
    </cfRule>
  </conditionalFormatting>
  <conditionalFormatting sqref="P1113:R1117">
    <cfRule type="expression" dxfId="219" priority="151">
      <formula>$L1113=0</formula>
    </cfRule>
  </conditionalFormatting>
  <conditionalFormatting sqref="C1133">
    <cfRule type="expression" dxfId="218" priority="145">
      <formula>$G$15&lt;&gt;""</formula>
    </cfRule>
  </conditionalFormatting>
  <conditionalFormatting sqref="C1149">
    <cfRule type="expression" dxfId="217" priority="144">
      <formula>$G$31&gt;=0</formula>
    </cfRule>
  </conditionalFormatting>
  <conditionalFormatting sqref="C1134">
    <cfRule type="expression" dxfId="216" priority="139">
      <formula>AND($G$15="Simple",$G$16&gt;0)</formula>
    </cfRule>
    <cfRule type="expression" dxfId="215" priority="143">
      <formula>AND($G$15="Simple",$G$16&lt;=0)</formula>
    </cfRule>
  </conditionalFormatting>
  <conditionalFormatting sqref="C1135">
    <cfRule type="expression" dxfId="214" priority="138">
      <formula>AND($G$15="Intermediate",$G$17&gt;0)</formula>
    </cfRule>
    <cfRule type="expression" dxfId="213" priority="142">
      <formula>AND($G$15="Intermediate",$G$17&lt;=0)</formula>
    </cfRule>
  </conditionalFormatting>
  <conditionalFormatting sqref="C1192">
    <cfRule type="expression" dxfId="212" priority="111">
      <formula>$G$73="No"</formula>
    </cfRule>
    <cfRule type="expression" dxfId="211" priority="112">
      <formula>$D$74=1</formula>
    </cfRule>
  </conditionalFormatting>
  <conditionalFormatting sqref="C1180">
    <cfRule type="expression" dxfId="210" priority="136">
      <formula>$D$62=1</formula>
    </cfRule>
  </conditionalFormatting>
  <conditionalFormatting sqref="H1140 L1149 K1143">
    <cfRule type="expression" dxfId="209" priority="146">
      <formula>$G$15="Complex"</formula>
    </cfRule>
  </conditionalFormatting>
  <conditionalFormatting sqref="C1169">
    <cfRule type="expression" dxfId="208" priority="137">
      <formula>$D$51=1</formula>
    </cfRule>
  </conditionalFormatting>
  <conditionalFormatting sqref="E1126:F1126 H1126:I1126">
    <cfRule type="expression" dxfId="207" priority="141">
      <formula>#REF!="Solar Thermal Electric"</formula>
    </cfRule>
  </conditionalFormatting>
  <conditionalFormatting sqref="E1154:F1161 H1154:H1157 H1159:H1161">
    <cfRule type="expression" dxfId="206" priority="140">
      <formula>$G$30="Simple"</formula>
    </cfRule>
  </conditionalFormatting>
  <conditionalFormatting sqref="O1182:P1182 S1182">
    <cfRule type="expression" dxfId="205" priority="135">
      <formula>$Q$63="Salvage"</formula>
    </cfRule>
  </conditionalFormatting>
  <conditionalFormatting sqref="E1164:F1166">
    <cfRule type="expression" dxfId="204" priority="134">
      <formula>$G$15="Simple"</formula>
    </cfRule>
  </conditionalFormatting>
  <conditionalFormatting sqref="E1135:F1139">
    <cfRule type="expression" dxfId="203" priority="133">
      <formula>$G$15="Intermediate"</formula>
    </cfRule>
  </conditionalFormatting>
  <conditionalFormatting sqref="E1170:F1178 I1170:I1178">
    <cfRule type="expression" dxfId="202" priority="132">
      <formula>$G$51=0</formula>
    </cfRule>
  </conditionalFormatting>
  <conditionalFormatting sqref="O1132:P1132">
    <cfRule type="expression" dxfId="201" priority="131">
      <formula>$T$14=1</formula>
    </cfRule>
  </conditionalFormatting>
  <conditionalFormatting sqref="O1133:P1133">
    <cfRule type="expression" dxfId="200" priority="130">
      <formula>$T$15=1</formula>
    </cfRule>
  </conditionalFormatting>
  <conditionalFormatting sqref="O1134">
    <cfRule type="expression" dxfId="199" priority="129">
      <formula>$T$16=1</formula>
    </cfRule>
  </conditionalFormatting>
  <conditionalFormatting sqref="O1131:P1131">
    <cfRule type="expression" dxfId="198" priority="128">
      <formula>$T$13=1</formula>
    </cfRule>
  </conditionalFormatting>
  <conditionalFormatting sqref="O1138:P1139 S1138:S1139 S1141 O1141:Q1141">
    <cfRule type="expression" dxfId="197" priority="127">
      <formula>$Q$19="Performance-Based"</formula>
    </cfRule>
  </conditionalFormatting>
  <conditionalFormatting sqref="O1142:P1146 S1142:S1146">
    <cfRule type="expression" dxfId="196" priority="126">
      <formula>$Q$19="Cost-Based"</formula>
    </cfRule>
  </conditionalFormatting>
  <conditionalFormatting sqref="I1134">
    <cfRule type="expression" dxfId="195" priority="125">
      <formula>$G$15="Simple"</formula>
    </cfRule>
  </conditionalFormatting>
  <conditionalFormatting sqref="I1140">
    <cfRule type="expression" dxfId="194" priority="124">
      <formula>$G$15="Complex"</formula>
    </cfRule>
  </conditionalFormatting>
  <conditionalFormatting sqref="I1135:I1139">
    <cfRule type="expression" dxfId="193" priority="123">
      <formula>$G$15="Intermediate"</formula>
    </cfRule>
  </conditionalFormatting>
  <conditionalFormatting sqref="I1154:I1161">
    <cfRule type="expression" dxfId="192" priority="122">
      <formula>$G$30="Intermediate"</formula>
    </cfRule>
  </conditionalFormatting>
  <conditionalFormatting sqref="E1134:F1134">
    <cfRule type="expression" dxfId="191" priority="121">
      <formula>$G$15="Simple"</formula>
    </cfRule>
  </conditionalFormatting>
  <conditionalFormatting sqref="F1140">
    <cfRule type="expression" dxfId="190" priority="120">
      <formula>$G$15="Complex"</formula>
    </cfRule>
  </conditionalFormatting>
  <conditionalFormatting sqref="E1140">
    <cfRule type="expression" dxfId="189" priority="119">
      <formula>$G$15="Complex"</formula>
    </cfRule>
  </conditionalFormatting>
  <conditionalFormatting sqref="O1140:P1140 S1140">
    <cfRule type="expression" dxfId="188" priority="118">
      <formula>$T$22=0</formula>
    </cfRule>
  </conditionalFormatting>
  <conditionalFormatting sqref="S1131">
    <cfRule type="expression" dxfId="187" priority="117">
      <formula>$T$13=1</formula>
    </cfRule>
  </conditionalFormatting>
  <conditionalFormatting sqref="S1132">
    <cfRule type="expression" dxfId="186" priority="116">
      <formula>$T$14=1</formula>
    </cfRule>
  </conditionalFormatting>
  <conditionalFormatting sqref="S1133">
    <cfRule type="expression" dxfId="185" priority="115">
      <formula>$T$15=1</formula>
    </cfRule>
  </conditionalFormatting>
  <conditionalFormatting sqref="S1134">
    <cfRule type="expression" dxfId="184" priority="114">
      <formula>$T$16=1</formula>
    </cfRule>
  </conditionalFormatting>
  <conditionalFormatting sqref="E1181:F1181">
    <cfRule type="expression" dxfId="183" priority="113">
      <formula>$G$51=0%</formula>
    </cfRule>
  </conditionalFormatting>
  <conditionalFormatting sqref="AB1198:AB1204 U1198:Z1203 O1198:R1198 O1199:O1203">
    <cfRule type="expression" dxfId="182" priority="110">
      <formula>$L1198=0</formula>
    </cfRule>
  </conditionalFormatting>
  <conditionalFormatting sqref="O1204:R1204 U1204:Z1204">
    <cfRule type="expression" dxfId="181" priority="109">
      <formula>$L$86=0</formula>
    </cfRule>
  </conditionalFormatting>
  <conditionalFormatting sqref="O1154:P1157 S1154:S1157">
    <cfRule type="expression" dxfId="180" priority="108">
      <formula>$R$36=1</formula>
    </cfRule>
  </conditionalFormatting>
  <conditionalFormatting sqref="O1158:P1158 S1158 S1160:S1163 O1160:Q1163">
    <cfRule type="expression" dxfId="179" priority="107">
      <formula>$R$40=1</formula>
    </cfRule>
  </conditionalFormatting>
  <conditionalFormatting sqref="O1159:P1159 S1159">
    <cfRule type="expression" dxfId="178" priority="147">
      <formula>$R$41=1</formula>
    </cfRule>
  </conditionalFormatting>
  <conditionalFormatting sqref="O1164:P1164 S1164">
    <cfRule type="expression" dxfId="177" priority="106">
      <formula>$R$46=1</formula>
    </cfRule>
  </conditionalFormatting>
  <conditionalFormatting sqref="L1142 K1137">
    <cfRule type="expression" dxfId="176" priority="148">
      <formula>$G$15="Simple"</formula>
    </cfRule>
  </conditionalFormatting>
  <conditionalFormatting sqref="L1143:L1147 K1138:K1142">
    <cfRule type="expression" dxfId="175" priority="149">
      <formula>$G$15="Intermediate"</formula>
    </cfRule>
  </conditionalFormatting>
  <conditionalFormatting sqref="E1192:F1197 I1192:I1197">
    <cfRule type="expression" dxfId="174" priority="150">
      <formula>$G$73="No"</formula>
    </cfRule>
  </conditionalFormatting>
  <conditionalFormatting sqref="O1195:P1195">
    <cfRule type="expression" dxfId="173" priority="105">
      <formula>$P$76="No"</formula>
    </cfRule>
  </conditionalFormatting>
  <conditionalFormatting sqref="S1195">
    <cfRule type="expression" dxfId="172" priority="104">
      <formula>$P$77="No"</formula>
    </cfRule>
  </conditionalFormatting>
  <conditionalFormatting sqref="S1146">
    <cfRule type="expression" dxfId="171" priority="103">
      <formula>$Q$20="Cost-Based"</formula>
    </cfRule>
  </conditionalFormatting>
  <conditionalFormatting sqref="G1140">
    <cfRule type="expression" dxfId="170" priority="101">
      <formula>$G$15="Complex"</formula>
    </cfRule>
  </conditionalFormatting>
  <conditionalFormatting sqref="G1126">
    <cfRule type="expression" dxfId="169" priority="100">
      <formula>#REF!="Solar Thermal Electric"</formula>
    </cfRule>
  </conditionalFormatting>
  <conditionalFormatting sqref="G1154:G1161">
    <cfRule type="expression" dxfId="168" priority="99">
      <formula>$G$30="Simple"</formula>
    </cfRule>
  </conditionalFormatting>
  <conditionalFormatting sqref="G1175">
    <cfRule type="expression" dxfId="167" priority="98">
      <formula>$G$57="Fail"</formula>
    </cfRule>
  </conditionalFormatting>
  <conditionalFormatting sqref="G1164:G1166">
    <cfRule type="expression" dxfId="166" priority="97">
      <formula>$G$15="Simple"</formula>
    </cfRule>
  </conditionalFormatting>
  <conditionalFormatting sqref="G1178">
    <cfRule type="expression" dxfId="165" priority="96">
      <formula>$G$60="Fail"</formula>
    </cfRule>
  </conditionalFormatting>
  <conditionalFormatting sqref="G1134">
    <cfRule type="expression" dxfId="164" priority="95">
      <formula>$G$15="Simple"</formula>
    </cfRule>
  </conditionalFormatting>
  <conditionalFormatting sqref="G1139">
    <cfRule type="expression" dxfId="163" priority="94">
      <formula>$G$15="Intermediate"</formula>
    </cfRule>
  </conditionalFormatting>
  <conditionalFormatting sqref="G1135 G1137:G1138">
    <cfRule type="expression" dxfId="162" priority="93">
      <formula>$G$15="Intermediate"</formula>
    </cfRule>
  </conditionalFormatting>
  <conditionalFormatting sqref="G1136">
    <cfRule type="expression" dxfId="161" priority="91">
      <formula>$G$15="Intermediate"</formula>
    </cfRule>
    <cfRule type="expression" dxfId="160" priority="92">
      <formula>$G$15="Intermediate"</formula>
    </cfRule>
  </conditionalFormatting>
  <conditionalFormatting sqref="G1170:G1178">
    <cfRule type="expression" dxfId="159" priority="90">
      <formula>$G$51=0</formula>
    </cfRule>
  </conditionalFormatting>
  <conditionalFormatting sqref="G1181">
    <cfRule type="expression" dxfId="158" priority="89">
      <formula>$G$51=0%</formula>
    </cfRule>
  </conditionalFormatting>
  <conditionalFormatting sqref="G1192:G1197">
    <cfRule type="expression" dxfId="157" priority="102">
      <formula>$G$73="No"</formula>
    </cfRule>
  </conditionalFormatting>
  <conditionalFormatting sqref="Q1182">
    <cfRule type="expression" dxfId="156" priority="87">
      <formula>$Q$63="Salvage"</formula>
    </cfRule>
  </conditionalFormatting>
  <conditionalFormatting sqref="Q1132">
    <cfRule type="expression" dxfId="155" priority="86">
      <formula>$T$14=1</formula>
    </cfRule>
  </conditionalFormatting>
  <conditionalFormatting sqref="Q1133">
    <cfRule type="expression" dxfId="154" priority="85">
      <formula>$T$15=1</formula>
    </cfRule>
  </conditionalFormatting>
  <conditionalFormatting sqref="Q1131">
    <cfRule type="expression" dxfId="153" priority="84">
      <formula>$T$13=1</formula>
    </cfRule>
  </conditionalFormatting>
  <conditionalFormatting sqref="Q1138:Q1139">
    <cfRule type="expression" dxfId="152" priority="83">
      <formula>$Q$19="Performance-Based"</formula>
    </cfRule>
  </conditionalFormatting>
  <conditionalFormatting sqref="Q1142:Q1146">
    <cfRule type="expression" dxfId="151" priority="82">
      <formula>$Q$19="Cost-Based"</formula>
    </cfRule>
  </conditionalFormatting>
  <conditionalFormatting sqref="Q1140">
    <cfRule type="expression" dxfId="150" priority="81">
      <formula>$T$22=0</formula>
    </cfRule>
  </conditionalFormatting>
  <conditionalFormatting sqref="Q1154:Q1157">
    <cfRule type="expression" dxfId="149" priority="80">
      <formula>$R$36=1</formula>
    </cfRule>
  </conditionalFormatting>
  <conditionalFormatting sqref="Q1158">
    <cfRule type="expression" dxfId="148" priority="79">
      <formula>$R$40=1</formula>
    </cfRule>
  </conditionalFormatting>
  <conditionalFormatting sqref="Q1159">
    <cfRule type="expression" dxfId="147" priority="88">
      <formula>$R$41=1</formula>
    </cfRule>
  </conditionalFormatting>
  <conditionalFormatting sqref="Q1164">
    <cfRule type="expression" dxfId="146" priority="78">
      <formula>$R$46=1</formula>
    </cfRule>
  </conditionalFormatting>
  <conditionalFormatting sqref="P1199:R1203">
    <cfRule type="expression" dxfId="145" priority="77">
      <formula>$L1199=0</formula>
    </cfRule>
  </conditionalFormatting>
  <conditionalFormatting sqref="C1219">
    <cfRule type="expression" dxfId="144" priority="71">
      <formula>$G$15&lt;&gt;""</formula>
    </cfRule>
  </conditionalFormatting>
  <conditionalFormatting sqref="C1235">
    <cfRule type="expression" dxfId="143" priority="70">
      <formula>$G$31&gt;=0</formula>
    </cfRule>
  </conditionalFormatting>
  <conditionalFormatting sqref="C1220">
    <cfRule type="expression" dxfId="142" priority="65">
      <formula>AND($G$15="Simple",$G$16&gt;0)</formula>
    </cfRule>
    <cfRule type="expression" dxfId="141" priority="69">
      <formula>AND($G$15="Simple",$G$16&lt;=0)</formula>
    </cfRule>
  </conditionalFormatting>
  <conditionalFormatting sqref="C1221">
    <cfRule type="expression" dxfId="140" priority="64">
      <formula>AND($G$15="Intermediate",$G$17&gt;0)</formula>
    </cfRule>
    <cfRule type="expression" dxfId="139" priority="68">
      <formula>AND($G$15="Intermediate",$G$17&lt;=0)</formula>
    </cfRule>
  </conditionalFormatting>
  <conditionalFormatting sqref="C1278">
    <cfRule type="expression" dxfId="138" priority="37">
      <formula>$G$73="No"</formula>
    </cfRule>
    <cfRule type="expression" dxfId="137" priority="38">
      <formula>$D$74=1</formula>
    </cfRule>
  </conditionalFormatting>
  <conditionalFormatting sqref="C1266">
    <cfRule type="expression" dxfId="136" priority="62">
      <formula>$D$62=1</formula>
    </cfRule>
  </conditionalFormatting>
  <conditionalFormatting sqref="H1226 L1235 K1229">
    <cfRule type="expression" dxfId="135" priority="72">
      <formula>$G$15="Complex"</formula>
    </cfRule>
  </conditionalFormatting>
  <conditionalFormatting sqref="C1255">
    <cfRule type="expression" dxfId="134" priority="63">
      <formula>$D$51=1</formula>
    </cfRule>
  </conditionalFormatting>
  <conditionalFormatting sqref="E1212:F1212 H1212:I1212">
    <cfRule type="expression" dxfId="133" priority="67">
      <formula>#REF!="Solar Thermal Electric"</formula>
    </cfRule>
  </conditionalFormatting>
  <conditionalFormatting sqref="E1240:F1247 H1240:H1243 H1245:H1247">
    <cfRule type="expression" dxfId="132" priority="66">
      <formula>$G$30="Simple"</formula>
    </cfRule>
  </conditionalFormatting>
  <conditionalFormatting sqref="O1268:P1268 S1268">
    <cfRule type="expression" dxfId="131" priority="61">
      <formula>$Q$63="Salvage"</formula>
    </cfRule>
  </conditionalFormatting>
  <conditionalFormatting sqref="E1250:F1252">
    <cfRule type="expression" dxfId="130" priority="60">
      <formula>$G$15="Simple"</formula>
    </cfRule>
  </conditionalFormatting>
  <conditionalFormatting sqref="E1221:F1225">
    <cfRule type="expression" dxfId="129" priority="59">
      <formula>$G$15="Intermediate"</formula>
    </cfRule>
  </conditionalFormatting>
  <conditionalFormatting sqref="E1256:F1264 I1256:I1264">
    <cfRule type="expression" dxfId="128" priority="58">
      <formula>$G$51=0</formula>
    </cfRule>
  </conditionalFormatting>
  <conditionalFormatting sqref="O1218:P1218">
    <cfRule type="expression" dxfId="127" priority="57">
      <formula>$T$14=1</formula>
    </cfRule>
  </conditionalFormatting>
  <conditionalFormatting sqref="O1219:P1219">
    <cfRule type="expression" dxfId="126" priority="56">
      <formula>$T$15=1</formula>
    </cfRule>
  </conditionalFormatting>
  <conditionalFormatting sqref="O1220">
    <cfRule type="expression" dxfId="125" priority="55">
      <formula>$T$16=1</formula>
    </cfRule>
  </conditionalFormatting>
  <conditionalFormatting sqref="O1217:P1217">
    <cfRule type="expression" dxfId="124" priority="54">
      <formula>$T$13=1</formula>
    </cfRule>
  </conditionalFormatting>
  <conditionalFormatting sqref="O1224:P1225 S1224:S1225 S1227 O1227:Q1227">
    <cfRule type="expression" dxfId="123" priority="53">
      <formula>$Q$19="Performance-Based"</formula>
    </cfRule>
  </conditionalFormatting>
  <conditionalFormatting sqref="O1228:P1232 S1228:S1232">
    <cfRule type="expression" dxfId="122" priority="52">
      <formula>$Q$19="Cost-Based"</formula>
    </cfRule>
  </conditionalFormatting>
  <conditionalFormatting sqref="I1220">
    <cfRule type="expression" dxfId="121" priority="51">
      <formula>$G$15="Simple"</formula>
    </cfRule>
  </conditionalFormatting>
  <conditionalFormatting sqref="I1226">
    <cfRule type="expression" dxfId="120" priority="50">
      <formula>$G$15="Complex"</formula>
    </cfRule>
  </conditionalFormatting>
  <conditionalFormatting sqref="I1221:I1225">
    <cfRule type="expression" dxfId="119" priority="49">
      <formula>$G$15="Intermediate"</formula>
    </cfRule>
  </conditionalFormatting>
  <conditionalFormatting sqref="I1240:I1247">
    <cfRule type="expression" dxfId="118" priority="48">
      <formula>$G$30="Intermediate"</formula>
    </cfRule>
  </conditionalFormatting>
  <conditionalFormatting sqref="E1220:F1220">
    <cfRule type="expression" dxfId="117" priority="47">
      <formula>$G$15="Simple"</formula>
    </cfRule>
  </conditionalFormatting>
  <conditionalFormatting sqref="F1226">
    <cfRule type="expression" dxfId="116" priority="46">
      <formula>$G$15="Complex"</formula>
    </cfRule>
  </conditionalFormatting>
  <conditionalFormatting sqref="E1226">
    <cfRule type="expression" dxfId="115" priority="45">
      <formula>$G$15="Complex"</formula>
    </cfRule>
  </conditionalFormatting>
  <conditionalFormatting sqref="O1226:P1226 S1226">
    <cfRule type="expression" dxfId="114" priority="44">
      <formula>$T$22=0</formula>
    </cfRule>
  </conditionalFormatting>
  <conditionalFormatting sqref="S1217">
    <cfRule type="expression" dxfId="113" priority="43">
      <formula>$T$13=1</formula>
    </cfRule>
  </conditionalFormatting>
  <conditionalFormatting sqref="S1218">
    <cfRule type="expression" dxfId="112" priority="42">
      <formula>$T$14=1</formula>
    </cfRule>
  </conditionalFormatting>
  <conditionalFormatting sqref="S1219">
    <cfRule type="expression" dxfId="111" priority="41">
      <formula>$T$15=1</formula>
    </cfRule>
  </conditionalFormatting>
  <conditionalFormatting sqref="S1220">
    <cfRule type="expression" dxfId="110" priority="40">
      <formula>$T$16=1</formula>
    </cfRule>
  </conditionalFormatting>
  <conditionalFormatting sqref="E1267:F1267">
    <cfRule type="expression" dxfId="109" priority="39">
      <formula>$G$51=0%</formula>
    </cfRule>
  </conditionalFormatting>
  <conditionalFormatting sqref="AB1284:AB1290 U1284:Z1289 O1284:R1284 O1285:O1289">
    <cfRule type="expression" dxfId="108" priority="36">
      <formula>$L1284=0</formula>
    </cfRule>
  </conditionalFormatting>
  <conditionalFormatting sqref="O1290:R1290 U1290:Z1290">
    <cfRule type="expression" dxfId="107" priority="35">
      <formula>$L$86=0</formula>
    </cfRule>
  </conditionalFormatting>
  <conditionalFormatting sqref="O1240:P1243 S1240:S1243">
    <cfRule type="expression" dxfId="106" priority="34">
      <formula>$R$36=1</formula>
    </cfRule>
  </conditionalFormatting>
  <conditionalFormatting sqref="O1244:P1244 S1244 S1246:S1249 O1246:Q1249">
    <cfRule type="expression" dxfId="105" priority="33">
      <formula>$R$40=1</formula>
    </cfRule>
  </conditionalFormatting>
  <conditionalFormatting sqref="O1245:P1245 S1245">
    <cfRule type="expression" dxfId="104" priority="73">
      <formula>$R$41=1</formula>
    </cfRule>
  </conditionalFormatting>
  <conditionalFormatting sqref="O1250:P1250 S1250">
    <cfRule type="expression" dxfId="103" priority="32">
      <formula>$R$46=1</formula>
    </cfRule>
  </conditionalFormatting>
  <conditionalFormatting sqref="L1228 K1223">
    <cfRule type="expression" dxfId="102" priority="74">
      <formula>$G$15="Simple"</formula>
    </cfRule>
  </conditionalFormatting>
  <conditionalFormatting sqref="L1229:L1233 K1224:K1228">
    <cfRule type="expression" dxfId="101" priority="75">
      <formula>$G$15="Intermediate"</formula>
    </cfRule>
  </conditionalFormatting>
  <conditionalFormatting sqref="E1278:F1283 I1278:I1283">
    <cfRule type="expression" dxfId="100" priority="76">
      <formula>$G$73="No"</formula>
    </cfRule>
  </conditionalFormatting>
  <conditionalFormatting sqref="O1281:P1281">
    <cfRule type="expression" dxfId="99" priority="31">
      <formula>$P$76="No"</formula>
    </cfRule>
  </conditionalFormatting>
  <conditionalFormatting sqref="S1281">
    <cfRule type="expression" dxfId="98" priority="30">
      <formula>$P$77="No"</formula>
    </cfRule>
  </conditionalFormatting>
  <conditionalFormatting sqref="S1232">
    <cfRule type="expression" dxfId="97" priority="29">
      <formula>$Q$20="Cost-Based"</formula>
    </cfRule>
  </conditionalFormatting>
  <conditionalFormatting sqref="G1226">
    <cfRule type="expression" dxfId="96" priority="27">
      <formula>$G$15="Complex"</formula>
    </cfRule>
  </conditionalFormatting>
  <conditionalFormatting sqref="G1212">
    <cfRule type="expression" dxfId="95" priority="26">
      <formula>#REF!="Solar Thermal Electric"</formula>
    </cfRule>
  </conditionalFormatting>
  <conditionalFormatting sqref="G1240:G1247">
    <cfRule type="expression" dxfId="94" priority="25">
      <formula>$G$30="Simple"</formula>
    </cfRule>
  </conditionalFormatting>
  <conditionalFormatting sqref="G1261">
    <cfRule type="expression" dxfId="93" priority="24">
      <formula>$G$57="Fail"</formula>
    </cfRule>
  </conditionalFormatting>
  <conditionalFormatting sqref="G1250:G1252">
    <cfRule type="expression" dxfId="92" priority="23">
      <formula>$G$15="Simple"</formula>
    </cfRule>
  </conditionalFormatting>
  <conditionalFormatting sqref="G1264">
    <cfRule type="expression" dxfId="91" priority="22">
      <formula>$G$60="Fail"</formula>
    </cfRule>
  </conditionalFormatting>
  <conditionalFormatting sqref="G1220">
    <cfRule type="expression" dxfId="90" priority="21">
      <formula>$G$15="Simple"</formula>
    </cfRule>
  </conditionalFormatting>
  <conditionalFormatting sqref="G1225">
    <cfRule type="expression" dxfId="89" priority="20">
      <formula>$G$15="Intermediate"</formula>
    </cfRule>
  </conditionalFormatting>
  <conditionalFormatting sqref="G1221 G1223:G1224">
    <cfRule type="expression" dxfId="88" priority="19">
      <formula>$G$15="Intermediate"</formula>
    </cfRule>
  </conditionalFormatting>
  <conditionalFormatting sqref="G1222">
    <cfRule type="expression" dxfId="87" priority="17">
      <formula>$G$15="Intermediate"</formula>
    </cfRule>
    <cfRule type="expression" dxfId="86" priority="18">
      <formula>$G$15="Intermediate"</formula>
    </cfRule>
  </conditionalFormatting>
  <conditionalFormatting sqref="G1256:G1264">
    <cfRule type="expression" dxfId="85" priority="16">
      <formula>$G$51=0</formula>
    </cfRule>
  </conditionalFormatting>
  <conditionalFormatting sqref="G1267">
    <cfRule type="expression" dxfId="84" priority="15">
      <formula>$G$51=0%</formula>
    </cfRule>
  </conditionalFormatting>
  <conditionalFormatting sqref="G1278:G1283">
    <cfRule type="expression" dxfId="83" priority="28">
      <formula>$G$73="No"</formula>
    </cfRule>
  </conditionalFormatting>
  <conditionalFormatting sqref="Q1268">
    <cfRule type="expression" dxfId="82" priority="13">
      <formula>$Q$63="Salvage"</formula>
    </cfRule>
  </conditionalFormatting>
  <conditionalFormatting sqref="Q1218">
    <cfRule type="expression" dxfId="81" priority="12">
      <formula>$T$14=1</formula>
    </cfRule>
  </conditionalFormatting>
  <conditionalFormatting sqref="Q1219">
    <cfRule type="expression" dxfId="80" priority="11">
      <formula>$T$15=1</formula>
    </cfRule>
  </conditionalFormatting>
  <conditionalFormatting sqref="Q1217">
    <cfRule type="expression" dxfId="79" priority="10">
      <formula>$T$13=1</formula>
    </cfRule>
  </conditionalFormatting>
  <conditionalFormatting sqref="Q1224:Q1225">
    <cfRule type="expression" dxfId="78" priority="9">
      <formula>$Q$19="Performance-Based"</formula>
    </cfRule>
  </conditionalFormatting>
  <conditionalFormatting sqref="Q1228:Q1232">
    <cfRule type="expression" dxfId="77" priority="8">
      <formula>$Q$19="Cost-Based"</formula>
    </cfRule>
  </conditionalFormatting>
  <conditionalFormatting sqref="Q1226">
    <cfRule type="expression" dxfId="76" priority="7">
      <formula>$T$22=0</formula>
    </cfRule>
  </conditionalFormatting>
  <conditionalFormatting sqref="Q1240:Q1243">
    <cfRule type="expression" dxfId="75" priority="6">
      <formula>$R$36=1</formula>
    </cfRule>
  </conditionalFormatting>
  <conditionalFormatting sqref="Q1244">
    <cfRule type="expression" dxfId="74" priority="5">
      <formula>$R$40=1</formula>
    </cfRule>
  </conditionalFormatting>
  <conditionalFormatting sqref="Q1245">
    <cfRule type="expression" dxfId="73" priority="14">
      <formula>$R$41=1</formula>
    </cfRule>
  </conditionalFormatting>
  <conditionalFormatting sqref="Q1250">
    <cfRule type="expression" dxfId="72" priority="4">
      <formula>$R$46=1</formula>
    </cfRule>
  </conditionalFormatting>
  <conditionalFormatting sqref="P1285:R1289">
    <cfRule type="expression" dxfId="71" priority="3">
      <formula>$L1285=0</formula>
    </cfRule>
  </conditionalFormatting>
  <conditionalFormatting sqref="U81:Z85">
    <cfRule type="expression" dxfId="70" priority="2">
      <formula>$L81=0</formula>
    </cfRule>
  </conditionalFormatting>
  <conditionalFormatting sqref="U253:Z257">
    <cfRule type="expression" dxfId="69" priority="1">
      <formula>$L253=0</formula>
    </cfRule>
  </conditionalFormatting>
  <dataValidations count="14">
    <dataValidation type="list" allowBlank="1" showInputMessage="1" showErrorMessage="1" sqref="Q35 Q121 Q207 Q293 Q379 Q465 Q551 Q637 Q723 Q809 Q895 Q981 Q1067 Q1153 Q1239" xr:uid="{AE71EC4C-497D-4C36-8F63-8175EDF23CA8}">
      <formula1>"Cost-Based, Performance-Based, Neither"</formula1>
    </dataValidation>
    <dataValidation type="list" allowBlank="1" showInputMessage="1" showErrorMessage="1" sqref="Q13 Q99 Q185 Q271 Q357 Q443 Q529 Q615 Q701 Q787 Q873 Q959 Q1045 Q1131 Q1217" xr:uid="{337FDB71-D043-435D-AB26-78B54B4279E5}">
      <formula1>"Year One, Year-by-Year"</formula1>
    </dataValidation>
    <dataValidation type="list" allowBlank="1" showInputMessage="1" showErrorMessage="1" sqref="Q19 Q105 Q191 Q277 Q363 Q449 Q535 Q621 Q707 Q793 Q879 Q965 Q1051 Q1137 Q1223" xr:uid="{3A2D7807-C046-4AF3-8F7B-186C34C3AB97}">
      <formula1>"Cost-Based, Performance-Based"</formula1>
    </dataValidation>
    <dataValidation type="list" allowBlank="1" showInputMessage="1" showErrorMessage="1" sqref="G30 G116 G202 G288 G374 G460 G546 G632 G718 G804 G890 G976 G1062 G1148 G1234" xr:uid="{084FA639-842C-4DAC-AB7B-3A3A2DD0A4BE}">
      <formula1>"Simple, Intermediate"</formula1>
    </dataValidation>
    <dataValidation type="list" allowBlank="1" showInputMessage="1" showErrorMessage="1" sqref="G15 G101 G187 G273 G359 G445 G531 G617 G703 G789 G875 G961 G1047 G1133 G1219" xr:uid="{DB170A63-001C-4CF8-83F9-004A9A5EC582}">
      <formula1>"Simple, Intermediate, Complex"</formula1>
    </dataValidation>
    <dataValidation type="list" allowBlank="1" showInputMessage="1" showErrorMessage="1" sqref="Q40 Q24 Q126 Q110 Q212 Q196 Q298 Q282 Q384 Q368 Q470 Q454 Q556 Q540 Q642 Q626 Q728 Q712 Q814 Q798 Q900 Q884 Q986 Q970 Q1072 Q1056 Q1158 Q1142 Q1244 Q1228" xr:uid="{DB7A8467-D597-415F-9101-2BB83DDD8ED6}">
      <formula1>"Cash, Tax Credit"</formula1>
    </dataValidation>
    <dataValidation type="list" allowBlank="1" showInputMessage="1" showErrorMessage="1" sqref="Q63 Q149 Q235 Q321 Q407 Q493 Q579 Q665 Q751 Q837 Q923 Q1009 Q1095 Q1181 Q1267" xr:uid="{B616BD54-5AD0-4E30-A650-3E1CCB915733}">
      <formula1>"Operations, Salvage"</formula1>
    </dataValidation>
    <dataValidation type="decimal" showInputMessage="1" showErrorMessage="1" sqref="G51 G137 G223 G309 G395 G481 G567 G653 G739 G825 G911 G997 G1083 G1169 G1255" xr:uid="{B2FBBD26-B112-4630-9646-C01A121EA805}">
      <formula1>0</formula1>
      <formula2>1</formula2>
    </dataValidation>
    <dataValidation errorStyle="warning" operator="greaterThanOrEqual" allowBlank="1" showInputMessage="1" showErrorMessage="1" errorTitle="test" error="test" sqref="G55 G141 G227 G313 G399 G485 G571 G657 G743 G829 G915 G1001 G1087 G1173 G1259" xr:uid="{6CE342A0-8CFD-49DD-AE80-339A2204B49A}"/>
    <dataValidation errorStyle="warning" operator="equal" allowBlank="1" showInputMessage="1" showErrorMessage="1" errorTitle="Project Fails to Meet DSCR" error="This project's cash flow is insufficient to support the amount of user-defined debt, and fails to meet the lender's requirements.    _x000a_Please read the note field(s) highlighted in yellow for options to cure this deficiency._x000a__x000a_" sqref="H57 H60 H143 H146 H229 H232 H315 H318 H401 H404 H487 H490 H573 H576 H659 H662 H745 H748 H831 H834 H917 H920 H1003 H1006 H1089 H1092 H1175 H1178 H1261 H1264" xr:uid="{5DDE1109-2A19-423C-983D-8FCD3DD995A7}"/>
    <dataValidation errorStyle="warning" allowBlank="1" showInputMessage="1" showErrorMessage="1" sqref="G57 G143 G229 G315 G401 G487 G573 G659 G745 G831 G917 G1003 G1089 G1175 G1261" xr:uid="{4E094202-83B5-4A28-92BA-B8CF093FDFFC}"/>
    <dataValidation type="list" allowBlank="1" showInputMessage="1" showErrorMessage="1" sqref="G75 G77 G161 G163 G247 G249 G333 G335 G419 G421 G505 G507 G591 G593 G677 G679 G763 G765 G849 G851 G935 G937 G1021 G1023 G1107 G1109 G1193 G1195 G1279 G1281" xr:uid="{3FB54A83-1578-4277-AAA8-B919EBE9F103}">
      <formula1>"As Generated, Carried Forward"</formula1>
    </dataValidation>
    <dataValidation type="list" allowBlank="1" showInputMessage="1" showErrorMessage="1" sqref="G73 Q32 Q49 Q41 G159 Q118 Q135 Q127 G245 Q204 Q221 Q213 G331 Q290 Q307 Q299 G417 Q376 Q393 Q385 G503 Q462 Q479 Q471 G589 Q548 Q565 Q557 G675 Q634 Q651 Q643 G761 Q720 Q737 Q729 G847 Q806 Q823 Q815 G933 Q892 Q909 Q901 G1019 Q978 Q995 Q987 G1105 Q1064 Q1081 Q1073 G1191 Q1150 Q1167 Q1159 G1277 Q1236 Q1253 Q1245" xr:uid="{1A1DB394-EF78-4E2B-BEA1-46B05375A0DE}">
      <formula1>"Yes, No"</formula1>
    </dataValidation>
    <dataValidation type="decimal" errorStyle="warning" operator="greaterThanOrEqual" allowBlank="1" showInputMessage="1" showErrorMessage="1" errorTitle="Project Fails to Meet DSCR" error="This project's cash flow is insufficient to support the amount of user-defined debt, and fails to meet the lender's requirements.    _x000a_Please read the note field(s) highlighted in yellow for options to cure this deficiency._x000a_" sqref="G59 G145 G231 G317 G403 G489 G575 G661 G747 G833 G919 G1005 G1091 G1177 G1263" xr:uid="{3285CE02-6F4C-4062-B4DE-60860D722052}">
      <formula1>G58</formula1>
    </dataValidation>
  </dataValidations>
  <hyperlinks>
    <hyperlink ref="E22" location="'Complex Inputs'!A1" display="'Complex Inputs'!A1" xr:uid="{01A3841A-7C12-4664-B6CB-B02A1EEC65F3}"/>
    <hyperlink ref="O16" location="'Complex Inputs'!A126" display="'Complex Inputs'!A126" xr:uid="{0B0269F2-D4EF-42FF-86D8-D2314252A636}"/>
    <hyperlink ref="O86" location="'Complex Inputs'!A114" display="'Complex Inputs'!A114" xr:uid="{CCEEE8E1-6E56-421B-9125-974999A527FF}"/>
    <hyperlink ref="E108" location="'Complex Inputs'!A1" display="'Complex Inputs'!A1" xr:uid="{B78D2203-9EAC-4679-8377-B53C828B3AA0}"/>
    <hyperlink ref="O102" location="'Complex Inputs'!A126" display="'Complex Inputs'!A126" xr:uid="{F7D8BBA6-EB56-44FD-984C-BE37AEC1D4BF}"/>
    <hyperlink ref="O172" location="'Complex Inputs'!A114" display="'Complex Inputs'!A114" xr:uid="{72C563D4-A8EA-4D8C-97DB-3FE8B14B58F8}"/>
    <hyperlink ref="E194" location="'Complex Inputs'!A1" display="'Complex Inputs'!A1" xr:uid="{ADFD9C60-1885-4374-908D-85FAD0793A22}"/>
    <hyperlink ref="O188" location="'Complex Inputs'!A126" display="'Complex Inputs'!A126" xr:uid="{6B42FE9A-348C-401A-9F7A-D0B6603D1C51}"/>
    <hyperlink ref="O258" location="'Complex Inputs'!A114" display="'Complex Inputs'!A114" xr:uid="{BE1FE63D-C7EF-46D5-9204-FD0F435307A1}"/>
    <hyperlink ref="E280" location="'Complex Inputs'!A1" display="'Complex Inputs'!A1" xr:uid="{AFDF722E-42EB-442F-9474-52C796C41179}"/>
    <hyperlink ref="O274" location="'Complex Inputs'!A126" display="'Complex Inputs'!A126" xr:uid="{75D0CB4B-630F-4169-8C2C-F1A1B0648958}"/>
    <hyperlink ref="O344" location="'Complex Inputs'!A114" display="'Complex Inputs'!A114" xr:uid="{7FA87C85-DF71-417A-8CF2-0A1C8843960F}"/>
    <hyperlink ref="E366" location="'Complex Inputs'!A1" display="'Complex Inputs'!A1" xr:uid="{B460B689-F187-4B4B-A5F7-251ECBBE4384}"/>
    <hyperlink ref="O360" location="'Complex Inputs'!A126" display="'Complex Inputs'!A126" xr:uid="{6357D311-50A8-49EC-BE71-1ED3A86E1809}"/>
    <hyperlink ref="O430" location="'Complex Inputs'!A114" display="'Complex Inputs'!A114" xr:uid="{DD5D4FD1-6AC4-4A0D-A825-3980879D600E}"/>
    <hyperlink ref="E452" location="'Complex Inputs'!A1" display="'Complex Inputs'!A1" xr:uid="{C44D0D9D-08AD-497C-9429-C5C0DAD47F4D}"/>
    <hyperlink ref="O446" location="'Complex Inputs'!A126" display="'Complex Inputs'!A126" xr:uid="{E278DB4C-E452-4476-A1B3-86A83AA1E7C0}"/>
    <hyperlink ref="O516" location="'Complex Inputs'!A114" display="'Complex Inputs'!A114" xr:uid="{753281CF-1188-4D37-ABBC-E431C27FDE77}"/>
    <hyperlink ref="E538" location="'Complex Inputs'!A1" display="'Complex Inputs'!A1" xr:uid="{CFD4D192-8821-4F8A-B743-9F1C690AFF0D}"/>
    <hyperlink ref="O532" location="'Complex Inputs'!A126" display="'Complex Inputs'!A126" xr:uid="{CB77A895-0929-4379-A18F-C1329D8AB479}"/>
    <hyperlink ref="O602" location="'Complex Inputs'!A114" display="'Complex Inputs'!A114" xr:uid="{18946B2A-E5D1-4531-9F3B-D8544CDC32A1}"/>
    <hyperlink ref="E624" location="'Complex Inputs'!A1" display="'Complex Inputs'!A1" xr:uid="{E2227DA5-3011-48AB-8F73-021C64AC81D5}"/>
    <hyperlink ref="O618" location="'Complex Inputs'!A126" display="'Complex Inputs'!A126" xr:uid="{3E54BD3D-527F-4183-A481-A80DA08407CF}"/>
    <hyperlink ref="O688" location="'Complex Inputs'!A114" display="'Complex Inputs'!A114" xr:uid="{230BF2A8-E0B5-40A2-8C84-A4C77C3FDD68}"/>
    <hyperlink ref="E710" location="'Complex Inputs'!A1" display="'Complex Inputs'!A1" xr:uid="{07105C02-74CC-4D84-86E1-932CFDED98A6}"/>
    <hyperlink ref="O704" location="'Complex Inputs'!A126" display="'Complex Inputs'!A126" xr:uid="{02D53BD2-2E47-46C5-B1C3-DC4480165050}"/>
    <hyperlink ref="O774" location="'Complex Inputs'!A114" display="'Complex Inputs'!A114" xr:uid="{4B0C8B41-AFA0-4A79-85AA-2F69F0A8173E}"/>
    <hyperlink ref="E796" location="'Complex Inputs'!A1" display="'Complex Inputs'!A1" xr:uid="{F0CE68F9-40D3-4C0A-969E-5F750A5AE40B}"/>
    <hyperlink ref="O790" location="'Complex Inputs'!A126" display="'Complex Inputs'!A126" xr:uid="{C582E9FF-B552-4008-BC1F-356E6FA8C598}"/>
    <hyperlink ref="O860" location="'Complex Inputs'!A114" display="'Complex Inputs'!A114" xr:uid="{EEBF0993-87F4-4462-9270-806CC70A54AD}"/>
    <hyperlink ref="E882" location="'Complex Inputs'!A1" display="'Complex Inputs'!A1" xr:uid="{56023419-57EE-40B9-BBF4-0168B247C11E}"/>
    <hyperlink ref="O876" location="'Complex Inputs'!A126" display="'Complex Inputs'!A126" xr:uid="{EB06530E-0483-48C2-8118-EB35D103862A}"/>
    <hyperlink ref="O946" location="'Complex Inputs'!A114" display="'Complex Inputs'!A114" xr:uid="{3F119AD5-2356-448F-A93C-07FF16E6EC7D}"/>
    <hyperlink ref="E968" location="'Complex Inputs'!A1" display="'Complex Inputs'!A1" xr:uid="{6958113C-3789-4C3C-8B69-888D9A8B2FF3}"/>
    <hyperlink ref="O962" location="'Complex Inputs'!A126" display="'Complex Inputs'!A126" xr:uid="{CB5B7E6C-B5D7-441C-9637-BBAC562C207C}"/>
    <hyperlink ref="O1032" location="'Complex Inputs'!A114" display="'Complex Inputs'!A114" xr:uid="{60330AED-1768-4BD0-B9FD-C4B312B875EC}"/>
    <hyperlink ref="E1054" location="'Complex Inputs'!A1" display="'Complex Inputs'!A1" xr:uid="{464394E2-B71E-4F79-8197-389E5AAD2C1C}"/>
    <hyperlink ref="O1048" location="'Complex Inputs'!A126" display="'Complex Inputs'!A126" xr:uid="{98FF818B-A449-4533-90ED-FFA85C98D129}"/>
    <hyperlink ref="O1118" location="'Complex Inputs'!A114" display="'Complex Inputs'!A114" xr:uid="{54315EAF-0AE6-4775-8537-C3E0266D431C}"/>
    <hyperlink ref="E1140" location="'Complex Inputs'!A1" display="'Complex Inputs'!A1" xr:uid="{7F5382B7-8BEC-468D-966C-0304BC1ACD5F}"/>
    <hyperlink ref="O1134" location="'Complex Inputs'!A126" display="'Complex Inputs'!A126" xr:uid="{0DB12BF9-D304-450A-BD9D-D6B675582807}"/>
    <hyperlink ref="O1204" location="'Complex Inputs'!A114" display="'Complex Inputs'!A114" xr:uid="{B5C1A29A-D819-4E19-AB73-14D6BD252055}"/>
    <hyperlink ref="E1226" location="'Complex Inputs'!A1" display="'Complex Inputs'!A1" xr:uid="{85C267D7-46F0-4901-897F-8E4B88380AB6}"/>
    <hyperlink ref="O1220" location="'Complex Inputs'!A126" display="'Complex Inputs'!A126" xr:uid="{2D137F8D-3E68-445B-8E3D-A114D75C9C24}"/>
    <hyperlink ref="O1290" location="'Complex Inputs'!A114" display="'Complex Inputs'!A114" xr:uid="{AD6A5A09-A511-429C-9F28-8D0DBC73AFCD}"/>
  </hyperlink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C9045-F8BD-4112-8AB0-B077185957EA}">
  <sheetPr>
    <tabColor theme="4"/>
  </sheetPr>
  <dimension ref="B2:T35"/>
  <sheetViews>
    <sheetView topLeftCell="A20" workbookViewId="0">
      <selection activeCell="G31" sqref="G31"/>
    </sheetView>
  </sheetViews>
  <sheetFormatPr defaultRowHeight="15"/>
  <cols>
    <col min="2" max="2" width="37.85546875" bestFit="1" customWidth="1"/>
    <col min="3" max="3" width="27" customWidth="1"/>
    <col min="4" max="4" width="6.140625" customWidth="1"/>
    <col min="5" max="5" width="15.42578125" customWidth="1"/>
    <col min="6" max="6" width="10.42578125" customWidth="1"/>
    <col min="7" max="7" width="10.85546875" bestFit="1" customWidth="1"/>
    <col min="8" max="8" width="14.7109375" bestFit="1" customWidth="1"/>
    <col min="9" max="9" width="13.7109375" bestFit="1" customWidth="1"/>
    <col min="10" max="10" width="11.7109375" customWidth="1"/>
    <col min="11" max="11" width="12.85546875" customWidth="1"/>
    <col min="12" max="12" width="10.7109375" customWidth="1"/>
    <col min="15" max="15" width="8.7109375" customWidth="1"/>
    <col min="19" max="20" width="10.5703125" bestFit="1" customWidth="1"/>
  </cols>
  <sheetData>
    <row r="2" spans="2:20" ht="26.25">
      <c r="B2" s="708" t="s">
        <v>194</v>
      </c>
    </row>
    <row r="3" spans="2:20">
      <c r="C3" s="709"/>
      <c r="E3" s="695" t="s">
        <v>195</v>
      </c>
      <c r="G3" s="695"/>
    </row>
    <row r="4" spans="2:20" ht="15.75" thickBot="1">
      <c r="B4" s="605"/>
      <c r="C4" s="709"/>
      <c r="E4" s="741" t="s">
        <v>196</v>
      </c>
      <c r="F4" s="741" t="s">
        <v>197</v>
      </c>
      <c r="G4" s="695"/>
    </row>
    <row r="5" spans="2:20" ht="15.75" thickBot="1">
      <c r="C5" s="715" t="s">
        <v>198</v>
      </c>
      <c r="E5" s="745">
        <v>5021071</v>
      </c>
      <c r="F5" s="745">
        <v>2050833</v>
      </c>
      <c r="G5" s="762"/>
      <c r="J5" s="734"/>
      <c r="K5" s="734"/>
    </row>
    <row r="6" spans="2:20" ht="15.75" thickBot="1">
      <c r="C6" s="716" t="s">
        <v>199</v>
      </c>
      <c r="E6" s="745">
        <v>5021071</v>
      </c>
      <c r="F6" s="745">
        <v>2050833</v>
      </c>
      <c r="G6" s="710"/>
      <c r="J6" s="734"/>
      <c r="K6" s="734"/>
    </row>
    <row r="7" spans="2:20" ht="15.75" thickBot="1">
      <c r="C7" s="715" t="s">
        <v>200</v>
      </c>
      <c r="E7" s="745">
        <v>9825110</v>
      </c>
      <c r="F7" s="745">
        <v>3910461</v>
      </c>
      <c r="G7" s="710"/>
      <c r="J7" s="734"/>
      <c r="K7" s="734"/>
    </row>
    <row r="8" spans="2:20" ht="15.75" thickBot="1">
      <c r="C8" s="715" t="s">
        <v>201</v>
      </c>
      <c r="E8" s="745">
        <v>14630110</v>
      </c>
      <c r="F8" s="745">
        <v>5770461</v>
      </c>
      <c r="G8" s="710"/>
      <c r="J8" s="734"/>
      <c r="K8" s="734"/>
    </row>
    <row r="9" spans="2:20">
      <c r="C9" s="715" t="s">
        <v>202</v>
      </c>
      <c r="E9" s="745">
        <v>19436071</v>
      </c>
      <c r="F9" s="745">
        <v>7630833</v>
      </c>
      <c r="G9" s="710"/>
      <c r="J9" s="734"/>
      <c r="K9" s="734"/>
    </row>
    <row r="10" spans="2:20">
      <c r="J10" s="711"/>
      <c r="K10" s="711"/>
    </row>
    <row r="11" spans="2:20">
      <c r="J11" s="711"/>
      <c r="K11" s="711"/>
    </row>
    <row r="12" spans="2:20" ht="26.25">
      <c r="B12" s="708" t="s">
        <v>203</v>
      </c>
      <c r="E12" s="712" t="s">
        <v>204</v>
      </c>
      <c r="H12" s="712" t="s">
        <v>205</v>
      </c>
      <c r="K12" s="712" t="s">
        <v>206</v>
      </c>
    </row>
    <row r="13" spans="2:20" ht="15.75" thickBot="1">
      <c r="E13" s="741" t="s">
        <v>196</v>
      </c>
      <c r="F13" s="741" t="s">
        <v>197</v>
      </c>
      <c r="G13" s="741"/>
      <c r="H13" s="741" t="s">
        <v>196</v>
      </c>
      <c r="I13" s="741" t="s">
        <v>197</v>
      </c>
      <c r="J13" s="741"/>
      <c r="K13" s="741" t="s">
        <v>196</v>
      </c>
      <c r="L13" s="741" t="s">
        <v>197</v>
      </c>
      <c r="M13" s="741"/>
    </row>
    <row r="14" spans="2:20" ht="15.75" thickBot="1">
      <c r="C14" s="715" t="s">
        <v>198</v>
      </c>
      <c r="E14" s="744">
        <v>12.649999999999999</v>
      </c>
      <c r="F14" s="744">
        <v>12.76</v>
      </c>
      <c r="H14" s="747">
        <v>6.2865000000000013E-3</v>
      </c>
      <c r="I14" s="747">
        <v>6.57225E-3</v>
      </c>
      <c r="K14" s="746">
        <v>22000</v>
      </c>
      <c r="L14" s="746">
        <v>21400</v>
      </c>
      <c r="Q14" s="743"/>
      <c r="S14" s="743"/>
      <c r="T14" s="743"/>
    </row>
    <row r="15" spans="2:20" ht="15.75" thickBot="1">
      <c r="C15" s="716" t="s">
        <v>199</v>
      </c>
      <c r="E15" s="744">
        <v>37.949999999999996</v>
      </c>
      <c r="F15" s="744">
        <v>38.279999999999994</v>
      </c>
      <c r="H15" s="747">
        <v>6.2865000000000013E-3</v>
      </c>
      <c r="I15" s="747">
        <v>6.57225E-3</v>
      </c>
      <c r="K15" s="746">
        <v>22000</v>
      </c>
      <c r="L15" s="746">
        <v>21400</v>
      </c>
      <c r="Q15" s="743"/>
      <c r="S15" s="743"/>
      <c r="T15" s="743"/>
    </row>
    <row r="16" spans="2:20" ht="15.75" thickBot="1">
      <c r="C16" s="715" t="s">
        <v>200</v>
      </c>
      <c r="E16" s="744">
        <v>10.35</v>
      </c>
      <c r="F16" s="744">
        <v>10.44</v>
      </c>
      <c r="H16" s="747">
        <v>6.2865000000000013E-3</v>
      </c>
      <c r="I16" s="747">
        <v>6.57225E-3</v>
      </c>
      <c r="K16" s="746">
        <v>22000</v>
      </c>
      <c r="L16" s="746">
        <v>21400</v>
      </c>
      <c r="Q16" s="743"/>
      <c r="S16" s="743"/>
      <c r="T16" s="743"/>
    </row>
    <row r="17" spans="2:20" ht="15.75" thickBot="1">
      <c r="C17" s="715" t="s">
        <v>201</v>
      </c>
      <c r="E17" s="744">
        <v>10.35</v>
      </c>
      <c r="F17" s="744">
        <v>10.44</v>
      </c>
      <c r="H17" s="747">
        <v>6.2865000000000013E-3</v>
      </c>
      <c r="I17" s="747">
        <v>6.57225E-3</v>
      </c>
      <c r="K17" s="746">
        <v>22000</v>
      </c>
      <c r="L17" s="746">
        <v>21400</v>
      </c>
      <c r="Q17" s="743"/>
      <c r="S17" s="743"/>
      <c r="T17" s="743"/>
    </row>
    <row r="18" spans="2:20">
      <c r="C18" s="715" t="s">
        <v>202</v>
      </c>
      <c r="E18" s="744">
        <v>10.35</v>
      </c>
      <c r="F18" s="744">
        <v>10.44</v>
      </c>
      <c r="H18" s="747">
        <v>6.2865000000000013E-3</v>
      </c>
      <c r="I18" s="747">
        <v>6.57225E-3</v>
      </c>
      <c r="K18" s="746">
        <v>22000</v>
      </c>
      <c r="L18" s="746">
        <v>21400</v>
      </c>
      <c r="Q18" s="743"/>
      <c r="S18" s="743"/>
      <c r="T18" s="743"/>
    </row>
    <row r="21" spans="2:20" ht="27" thickBot="1">
      <c r="B21" s="708" t="s">
        <v>207</v>
      </c>
      <c r="E21" s="741" t="s">
        <v>196</v>
      </c>
      <c r="F21" s="741" t="s">
        <v>197</v>
      </c>
    </row>
    <row r="22" spans="2:20" ht="15.75" thickBot="1">
      <c r="C22" s="715" t="s">
        <v>198</v>
      </c>
      <c r="E22" s="761">
        <v>0.14344999999999999</v>
      </c>
      <c r="F22" s="761">
        <v>0.14722499999999999</v>
      </c>
      <c r="H22" s="735"/>
      <c r="J22" s="736"/>
      <c r="K22" s="736"/>
    </row>
    <row r="23" spans="2:20" ht="15.75" thickBot="1">
      <c r="C23" s="716" t="s">
        <v>199</v>
      </c>
      <c r="E23" s="761">
        <v>0.14344999999999999</v>
      </c>
      <c r="F23" s="761">
        <v>0.14722499999999999</v>
      </c>
      <c r="H23" s="735"/>
      <c r="J23" s="736"/>
      <c r="K23" s="736"/>
    </row>
    <row r="24" spans="2:20" ht="15.75" thickBot="1">
      <c r="C24" s="715" t="s">
        <v>200</v>
      </c>
      <c r="E24" s="761">
        <v>0.14344999999999999</v>
      </c>
      <c r="F24" s="761">
        <v>0.14722499999999999</v>
      </c>
      <c r="H24" s="735"/>
      <c r="J24" s="736"/>
      <c r="K24" s="736"/>
    </row>
    <row r="25" spans="2:20" ht="15.75" thickBot="1">
      <c r="C25" s="715" t="s">
        <v>201</v>
      </c>
      <c r="E25" s="761">
        <v>0.14344999999999999</v>
      </c>
      <c r="F25" s="761">
        <v>0.14722499999999999</v>
      </c>
      <c r="H25" s="735"/>
      <c r="J25" s="736"/>
      <c r="K25" s="736"/>
    </row>
    <row r="26" spans="2:20">
      <c r="C26" s="715" t="s">
        <v>202</v>
      </c>
      <c r="E26" s="761">
        <v>0.14344999999999999</v>
      </c>
      <c r="F26" s="761">
        <v>0.14722499999999999</v>
      </c>
      <c r="H26" s="735"/>
      <c r="J26" s="736"/>
      <c r="K26" s="736"/>
    </row>
    <row r="27" spans="2:20">
      <c r="E27" s="713"/>
      <c r="F27" s="713"/>
    </row>
    <row r="28" spans="2:20">
      <c r="D28" s="605"/>
      <c r="E28" s="714"/>
      <c r="F28" s="714"/>
      <c r="G28" s="714"/>
      <c r="H28" s="714"/>
      <c r="I28" s="714"/>
      <c r="J28" s="714"/>
    </row>
    <row r="29" spans="2:20">
      <c r="E29" s="738">
        <v>2024</v>
      </c>
      <c r="F29" s="739">
        <v>2025</v>
      </c>
      <c r="G29" s="739">
        <v>2026</v>
      </c>
      <c r="H29" s="695"/>
      <c r="I29" s="738">
        <v>2024</v>
      </c>
      <c r="J29" s="740">
        <v>2025</v>
      </c>
      <c r="K29" s="740">
        <v>2026</v>
      </c>
    </row>
    <row r="30" spans="2:20" ht="27" thickBot="1">
      <c r="B30" s="708" t="s">
        <v>208</v>
      </c>
      <c r="E30" s="742" t="s">
        <v>196</v>
      </c>
      <c r="F30" s="742" t="s">
        <v>196</v>
      </c>
      <c r="G30" s="742" t="s">
        <v>196</v>
      </c>
      <c r="H30" s="741"/>
      <c r="I30" s="742" t="s">
        <v>197</v>
      </c>
      <c r="J30" s="742" t="s">
        <v>197</v>
      </c>
      <c r="K30" s="742" t="s">
        <v>197</v>
      </c>
    </row>
    <row r="31" spans="2:20" ht="15.75" thickBot="1">
      <c r="C31" s="715" t="s">
        <v>198</v>
      </c>
      <c r="E31" s="737">
        <v>0.45</v>
      </c>
      <c r="F31" s="737">
        <v>0.46</v>
      </c>
      <c r="G31" s="737">
        <v>0.46</v>
      </c>
      <c r="H31" s="707"/>
      <c r="I31" s="737">
        <v>0.45</v>
      </c>
      <c r="J31" s="737">
        <v>0.46</v>
      </c>
      <c r="K31" s="737">
        <v>0.46</v>
      </c>
    </row>
    <row r="32" spans="2:20" ht="15.75" thickBot="1">
      <c r="C32" s="716" t="s">
        <v>199</v>
      </c>
      <c r="E32" s="737">
        <v>0.45</v>
      </c>
      <c r="F32" s="737">
        <v>0.46</v>
      </c>
      <c r="G32" s="737">
        <v>0.46</v>
      </c>
      <c r="H32" s="707"/>
      <c r="I32" s="737">
        <v>0.45</v>
      </c>
      <c r="J32" s="737">
        <v>0.46</v>
      </c>
      <c r="K32" s="737">
        <v>0.46</v>
      </c>
    </row>
    <row r="33" spans="3:11" ht="15.75" thickBot="1">
      <c r="C33" s="715" t="s">
        <v>200</v>
      </c>
      <c r="E33" s="737">
        <v>0.45</v>
      </c>
      <c r="F33" s="737">
        <v>0.46</v>
      </c>
      <c r="G33" s="737">
        <v>0.46</v>
      </c>
      <c r="H33" s="707"/>
      <c r="I33" s="737">
        <v>0.45</v>
      </c>
      <c r="J33" s="737">
        <v>0.46</v>
      </c>
      <c r="K33" s="737">
        <v>0.46</v>
      </c>
    </row>
    <row r="34" spans="3:11" ht="15.75" thickBot="1">
      <c r="C34" s="715" t="s">
        <v>201</v>
      </c>
      <c r="E34" s="737">
        <v>0.44</v>
      </c>
      <c r="F34" s="737">
        <v>0.45</v>
      </c>
      <c r="G34" s="737">
        <v>0.45</v>
      </c>
      <c r="H34" s="707"/>
      <c r="I34" s="737">
        <v>0.44</v>
      </c>
      <c r="J34" s="737">
        <v>0.45</v>
      </c>
      <c r="K34" s="737">
        <v>0.45</v>
      </c>
    </row>
    <row r="35" spans="3:11">
      <c r="C35" s="715" t="s">
        <v>202</v>
      </c>
      <c r="E35" s="737">
        <v>0.44</v>
      </c>
      <c r="F35" s="737">
        <v>0.45</v>
      </c>
      <c r="G35" s="737">
        <v>0.45</v>
      </c>
      <c r="H35" s="707"/>
      <c r="I35" s="737">
        <v>0.44</v>
      </c>
      <c r="J35" s="737">
        <v>0.45</v>
      </c>
      <c r="K35" s="737">
        <v>0.45</v>
      </c>
    </row>
  </sheetData>
  <sortState xmlns:xlrd2="http://schemas.microsoft.com/office/spreadsheetml/2017/richdata2" columnSort="1" ref="E29:J35">
    <sortCondition descending="1" ref="E30:J30"/>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BFEBB-8212-487B-B30A-29EED3A2C6AD}">
  <sheetPr>
    <tabColor theme="4"/>
  </sheetPr>
  <dimension ref="B1:K49"/>
  <sheetViews>
    <sheetView workbookViewId="0">
      <selection activeCell="F41" sqref="F41"/>
    </sheetView>
  </sheetViews>
  <sheetFormatPr defaultRowHeight="15"/>
  <cols>
    <col min="2" max="2" width="36.42578125" bestFit="1" customWidth="1"/>
    <col min="3" max="3" width="18.85546875" bestFit="1" customWidth="1"/>
    <col min="4" max="4" width="13" customWidth="1"/>
    <col min="5" max="5" width="13.28515625" customWidth="1"/>
    <col min="6" max="6" width="12.42578125" customWidth="1"/>
    <col min="7" max="7" width="12" customWidth="1"/>
    <col min="8" max="8" width="21.42578125" customWidth="1"/>
    <col min="9" max="10" width="13.5703125" bestFit="1" customWidth="1"/>
    <col min="11" max="11" width="13.85546875" bestFit="1" customWidth="1"/>
    <col min="12" max="12" width="11" bestFit="1" customWidth="1"/>
  </cols>
  <sheetData>
    <row r="1" spans="2:11" ht="21">
      <c r="B1" s="696" t="s">
        <v>209</v>
      </c>
      <c r="C1" s="697"/>
      <c r="D1" s="697"/>
      <c r="E1" s="697"/>
      <c r="F1" s="697"/>
      <c r="G1" s="697"/>
      <c r="H1" s="697"/>
    </row>
    <row r="2" spans="2:11">
      <c r="B2" s="698"/>
      <c r="C2" s="698"/>
      <c r="D2" s="698"/>
      <c r="E2" s="698"/>
      <c r="F2" s="698"/>
      <c r="G2" s="698"/>
      <c r="H2" s="698"/>
    </row>
    <row r="3" spans="2:11">
      <c r="B3" s="699" t="s">
        <v>210</v>
      </c>
      <c r="C3" s="700" t="s">
        <v>211</v>
      </c>
      <c r="D3" s="701">
        <v>2024</v>
      </c>
      <c r="E3" s="701">
        <v>2025</v>
      </c>
      <c r="F3" s="701">
        <v>2026</v>
      </c>
      <c r="H3" s="698"/>
    </row>
    <row r="4" spans="2:11">
      <c r="B4" s="698" t="s">
        <v>212</v>
      </c>
      <c r="C4" s="702" t="s">
        <v>213</v>
      </c>
      <c r="D4" s="756">
        <v>25802.449351093783</v>
      </c>
      <c r="E4" s="756">
        <v>25293.130646948121</v>
      </c>
      <c r="F4" s="756">
        <v>24792.906919662197</v>
      </c>
      <c r="H4" s="763"/>
      <c r="I4" s="763"/>
      <c r="J4" s="763"/>
    </row>
    <row r="5" spans="2:11">
      <c r="B5" s="698" t="s">
        <v>212</v>
      </c>
      <c r="C5" s="702" t="s">
        <v>214</v>
      </c>
      <c r="D5" s="756">
        <v>98648.008316626292</v>
      </c>
      <c r="E5" s="756">
        <v>96700.779389685486</v>
      </c>
      <c r="F5" s="756">
        <v>94788.322407868618</v>
      </c>
      <c r="H5" s="763"/>
      <c r="I5" s="763"/>
      <c r="J5" s="763"/>
    </row>
    <row r="6" spans="2:11">
      <c r="B6" s="698" t="s">
        <v>215</v>
      </c>
      <c r="C6" s="702" t="s">
        <v>216</v>
      </c>
      <c r="D6" s="756">
        <v>795101.72872340435</v>
      </c>
      <c r="E6" s="756">
        <v>783953.45744680858</v>
      </c>
      <c r="F6" s="756">
        <v>772805.18617021281</v>
      </c>
      <c r="G6" s="765"/>
      <c r="H6" s="765"/>
      <c r="I6" s="765"/>
      <c r="J6" s="763"/>
    </row>
    <row r="7" spans="2:11">
      <c r="B7" s="698" t="s">
        <v>215</v>
      </c>
      <c r="C7" s="702" t="s">
        <v>217</v>
      </c>
      <c r="D7" s="756">
        <v>1461368.7947500406</v>
      </c>
      <c r="E7" s="756">
        <v>1440512.3687067318</v>
      </c>
      <c r="F7" s="756">
        <v>1419655.942663423</v>
      </c>
      <c r="G7" s="765"/>
      <c r="H7" s="765"/>
      <c r="I7" s="765"/>
      <c r="J7" s="763"/>
      <c r="K7" s="698"/>
    </row>
    <row r="8" spans="2:11">
      <c r="B8" s="698" t="s">
        <v>215</v>
      </c>
      <c r="C8" s="702" t="s">
        <v>218</v>
      </c>
      <c r="D8" s="756">
        <v>1511368.7947500406</v>
      </c>
      <c r="E8" s="756">
        <v>1490512.3687067318</v>
      </c>
      <c r="F8" s="756">
        <v>1469655.942663423</v>
      </c>
      <c r="G8" s="765"/>
      <c r="H8" s="765"/>
      <c r="I8" s="765"/>
      <c r="J8" s="711"/>
    </row>
    <row r="9" spans="2:11">
      <c r="B9" s="698" t="s">
        <v>215</v>
      </c>
      <c r="C9" s="702" t="s">
        <v>219</v>
      </c>
      <c r="D9" s="756">
        <v>2665499.0068230098</v>
      </c>
      <c r="E9" s="756">
        <v>2626660.1114186808</v>
      </c>
      <c r="F9" s="756">
        <v>2587821.2160143522</v>
      </c>
      <c r="H9" s="763"/>
      <c r="I9" s="763"/>
      <c r="J9" s="763"/>
      <c r="K9" s="698"/>
    </row>
    <row r="10" spans="2:11">
      <c r="B10" s="698" t="s">
        <v>215</v>
      </c>
      <c r="C10" s="702" t="s">
        <v>220</v>
      </c>
      <c r="D10" s="756">
        <v>2765499.0068230098</v>
      </c>
      <c r="E10" s="756">
        <v>2726660.1114186808</v>
      </c>
      <c r="F10" s="756">
        <v>2687821.2160143522</v>
      </c>
      <c r="H10" s="711"/>
      <c r="I10" s="711"/>
      <c r="J10" s="711"/>
    </row>
    <row r="11" spans="2:11">
      <c r="B11" s="698" t="s">
        <v>221</v>
      </c>
      <c r="C11" s="702" t="s">
        <v>198</v>
      </c>
      <c r="D11" s="756">
        <v>12252006.829041246</v>
      </c>
      <c r="E11" s="756">
        <v>12062479.749093939</v>
      </c>
      <c r="F11" s="756">
        <v>11881977.768191742</v>
      </c>
      <c r="G11" s="711"/>
      <c r="H11" s="763"/>
      <c r="I11" s="763"/>
      <c r="J11" s="763"/>
      <c r="K11" s="698"/>
    </row>
    <row r="12" spans="2:11">
      <c r="B12" s="698" t="s">
        <v>221</v>
      </c>
      <c r="C12" s="702" t="s">
        <v>199</v>
      </c>
      <c r="D12" s="756">
        <v>12752006.829041246</v>
      </c>
      <c r="E12" s="756">
        <v>12562479.749093939</v>
      </c>
      <c r="F12" s="756">
        <v>12381977.768191742</v>
      </c>
      <c r="H12" s="711"/>
      <c r="I12" s="711"/>
      <c r="J12" s="711"/>
    </row>
    <row r="13" spans="2:11">
      <c r="B13" s="698" t="s">
        <v>221</v>
      </c>
      <c r="C13" s="702" t="s">
        <v>200</v>
      </c>
      <c r="D13" s="756">
        <v>21754555.096153848</v>
      </c>
      <c r="E13" s="756">
        <v>21411320.192307692</v>
      </c>
      <c r="F13" s="756">
        <v>21084429.807692308</v>
      </c>
      <c r="H13" s="763"/>
      <c r="I13" s="763"/>
      <c r="J13" s="763"/>
    </row>
    <row r="14" spans="2:11">
      <c r="B14" s="698" t="s">
        <v>221</v>
      </c>
      <c r="C14" s="702" t="s">
        <v>201</v>
      </c>
      <c r="D14" s="756">
        <v>31274445.963017747</v>
      </c>
      <c r="E14" s="756">
        <v>30781009.926035505</v>
      </c>
      <c r="F14" s="756">
        <v>30311070.843195267</v>
      </c>
      <c r="H14" s="763"/>
      <c r="I14" s="763"/>
      <c r="J14" s="763"/>
    </row>
    <row r="15" spans="2:11">
      <c r="B15" s="698" t="s">
        <v>221</v>
      </c>
      <c r="C15" s="702" t="s">
        <v>202</v>
      </c>
      <c r="D15" s="756">
        <v>40717573.964497045</v>
      </c>
      <c r="E15" s="756">
        <v>40075147.928994082</v>
      </c>
      <c r="F15" s="756">
        <v>39463313.609467462</v>
      </c>
      <c r="H15" s="763"/>
      <c r="I15" s="763"/>
      <c r="J15" s="763"/>
    </row>
    <row r="16" spans="2:11">
      <c r="B16" s="698"/>
      <c r="C16" s="698"/>
      <c r="D16" s="698"/>
      <c r="E16" s="698"/>
      <c r="F16" s="698"/>
      <c r="G16" s="698"/>
      <c r="H16" s="698"/>
      <c r="I16" s="733"/>
    </row>
    <row r="17" spans="2:8">
      <c r="B17" s="698"/>
      <c r="C17" s="698"/>
      <c r="D17" s="698"/>
      <c r="E17" s="698"/>
      <c r="F17" s="698"/>
      <c r="G17" s="698"/>
      <c r="H17" s="698"/>
    </row>
    <row r="18" spans="2:8" ht="21">
      <c r="B18" s="696" t="s">
        <v>222</v>
      </c>
      <c r="C18" s="697"/>
      <c r="D18" s="697"/>
      <c r="E18" s="697"/>
      <c r="F18" s="697"/>
      <c r="G18" s="697"/>
      <c r="H18" s="697"/>
    </row>
    <row r="19" spans="2:8">
      <c r="B19" s="698"/>
      <c r="C19" s="698"/>
      <c r="D19" s="698"/>
      <c r="E19" s="698"/>
      <c r="F19" s="698"/>
      <c r="G19" s="698"/>
      <c r="H19" s="698"/>
    </row>
    <row r="20" spans="2:8">
      <c r="B20" s="698"/>
      <c r="C20" s="700" t="s">
        <v>211</v>
      </c>
      <c r="D20" s="701">
        <v>2024</v>
      </c>
      <c r="E20" s="701">
        <v>2025</v>
      </c>
      <c r="F20" s="701">
        <v>2026</v>
      </c>
    </row>
    <row r="21" spans="2:8">
      <c r="B21" s="698"/>
      <c r="C21" s="702" t="s">
        <v>213</v>
      </c>
      <c r="D21" s="764">
        <v>0.51</v>
      </c>
      <c r="E21" s="764">
        <v>0.51</v>
      </c>
      <c r="F21" s="764">
        <v>0.51</v>
      </c>
    </row>
    <row r="22" spans="2:8">
      <c r="B22" s="698"/>
      <c r="C22" s="702" t="s">
        <v>214</v>
      </c>
      <c r="D22" s="764">
        <v>0.45500000000000002</v>
      </c>
      <c r="E22" s="764">
        <v>0.45500000000000002</v>
      </c>
      <c r="F22" s="764">
        <v>0.45750000000000002</v>
      </c>
    </row>
    <row r="23" spans="2:8">
      <c r="B23" s="698"/>
      <c r="C23" s="702" t="s">
        <v>216</v>
      </c>
      <c r="D23" s="703">
        <v>0.47</v>
      </c>
      <c r="E23" s="703">
        <v>0.48</v>
      </c>
      <c r="F23" s="703">
        <v>0.48</v>
      </c>
    </row>
    <row r="24" spans="2:8">
      <c r="B24" s="698"/>
      <c r="C24" s="702" t="s">
        <v>223</v>
      </c>
      <c r="D24" s="703">
        <v>0.46499999999999997</v>
      </c>
      <c r="E24" s="703">
        <v>0.47</v>
      </c>
      <c r="F24" s="703">
        <v>0.47</v>
      </c>
    </row>
    <row r="25" spans="2:8">
      <c r="B25" s="698"/>
      <c r="C25" s="702" t="s">
        <v>224</v>
      </c>
      <c r="D25" s="703">
        <v>0.46</v>
      </c>
      <c r="E25" s="703">
        <v>0.46499999999999997</v>
      </c>
      <c r="F25" s="703">
        <v>0.46499999999999997</v>
      </c>
    </row>
    <row r="26" spans="2:8">
      <c r="B26" s="698"/>
      <c r="C26" s="702" t="s">
        <v>225</v>
      </c>
      <c r="D26" s="703">
        <v>0.44500000000000001</v>
      </c>
      <c r="E26" s="703">
        <v>0.44750000000000001</v>
      </c>
      <c r="F26" s="703">
        <v>0.44750000000000001</v>
      </c>
    </row>
    <row r="27" spans="2:8">
      <c r="B27" s="698"/>
      <c r="C27" s="702" t="s">
        <v>200</v>
      </c>
      <c r="D27" s="703">
        <v>0.505</v>
      </c>
      <c r="E27" s="703">
        <v>0.50749999999999995</v>
      </c>
      <c r="F27" s="703">
        <v>0.50749999999999995</v>
      </c>
    </row>
    <row r="28" spans="2:8">
      <c r="B28" s="698"/>
      <c r="C28" s="702" t="s">
        <v>201</v>
      </c>
      <c r="D28" s="703">
        <v>0.54</v>
      </c>
      <c r="E28" s="703">
        <v>0.54500000000000004</v>
      </c>
      <c r="F28" s="703">
        <v>0.54500000000000004</v>
      </c>
    </row>
    <row r="29" spans="2:8">
      <c r="B29" s="698"/>
      <c r="C29" s="702" t="s">
        <v>202</v>
      </c>
      <c r="D29" s="703">
        <v>0.54</v>
      </c>
      <c r="E29" s="703">
        <v>0.54500000000000004</v>
      </c>
      <c r="F29" s="703">
        <v>0.54500000000000004</v>
      </c>
    </row>
    <row r="30" spans="2:8">
      <c r="B30" s="698"/>
      <c r="C30" s="702" t="s">
        <v>226</v>
      </c>
      <c r="D30" s="703">
        <v>0.42</v>
      </c>
      <c r="E30" s="703">
        <v>0.42749999999999999</v>
      </c>
      <c r="F30" s="703">
        <v>0.42749999999999999</v>
      </c>
    </row>
    <row r="31" spans="2:8">
      <c r="B31" s="698"/>
      <c r="C31" s="702" t="s">
        <v>193</v>
      </c>
      <c r="D31" s="703">
        <v>0.48</v>
      </c>
      <c r="E31" s="703">
        <v>0.48499999999999999</v>
      </c>
      <c r="F31" s="703">
        <v>0.48499999999999999</v>
      </c>
    </row>
    <row r="32" spans="2:8">
      <c r="B32" s="698"/>
      <c r="C32" s="698"/>
      <c r="D32" s="698"/>
      <c r="E32" s="698"/>
      <c r="F32" s="698"/>
      <c r="G32" s="698"/>
      <c r="H32" s="698"/>
    </row>
    <row r="33" spans="2:8" ht="21">
      <c r="B33" s="696" t="s">
        <v>227</v>
      </c>
      <c r="C33" s="697"/>
      <c r="D33" s="697"/>
      <c r="E33" s="697"/>
      <c r="F33" s="697"/>
      <c r="G33" s="697"/>
      <c r="H33" s="697"/>
    </row>
    <row r="34" spans="2:8">
      <c r="B34" s="698"/>
      <c r="C34" s="698"/>
      <c r="D34" s="698"/>
      <c r="E34" s="698"/>
      <c r="F34" s="698"/>
      <c r="G34" s="698"/>
      <c r="H34" s="698"/>
    </row>
    <row r="35" spans="2:8">
      <c r="B35" s="698"/>
      <c r="C35" s="700" t="s">
        <v>211</v>
      </c>
      <c r="D35" s="701">
        <v>2024</v>
      </c>
      <c r="E35" s="701">
        <v>2025</v>
      </c>
      <c r="F35" s="701">
        <v>2026</v>
      </c>
      <c r="H35" s="698"/>
    </row>
    <row r="36" spans="2:8">
      <c r="B36" s="698"/>
      <c r="C36" s="702" t="s">
        <v>213</v>
      </c>
      <c r="D36" s="704">
        <v>7.6279911280101378E-2</v>
      </c>
      <c r="E36" s="704">
        <v>6.9092730937650879E-2</v>
      </c>
      <c r="F36" s="704">
        <v>6.974972202325351E-2</v>
      </c>
      <c r="H36" s="698"/>
    </row>
    <row r="37" spans="2:8">
      <c r="B37" s="698"/>
      <c r="C37" s="702" t="s">
        <v>214</v>
      </c>
      <c r="D37" s="704">
        <v>7.4855006337135599E-2</v>
      </c>
      <c r="E37" s="704">
        <v>6.7802082165465613E-2</v>
      </c>
      <c r="F37" s="704">
        <v>6.8446800690316015E-2</v>
      </c>
      <c r="H37" s="698"/>
    </row>
    <row r="38" spans="2:8">
      <c r="B38" s="698"/>
      <c r="C38" s="702" t="s">
        <v>216</v>
      </c>
      <c r="D38" s="705">
        <v>7.5975931558935353E-2</v>
      </c>
      <c r="E38" s="705">
        <v>6.881739253291802E-2</v>
      </c>
      <c r="F38" s="705">
        <v>6.9471765472226846E-2</v>
      </c>
      <c r="H38" s="698"/>
    </row>
    <row r="39" spans="2:8">
      <c r="B39" s="698"/>
      <c r="C39" s="702" t="s">
        <v>223</v>
      </c>
      <c r="D39" s="705">
        <v>7.5975931558935353E-2</v>
      </c>
      <c r="E39" s="705">
        <v>6.881739253291802E-2</v>
      </c>
      <c r="F39" s="705">
        <v>6.9471765472226846E-2</v>
      </c>
      <c r="H39" s="698"/>
    </row>
    <row r="40" spans="2:8">
      <c r="B40" s="698"/>
      <c r="C40" s="702" t="s">
        <v>224</v>
      </c>
      <c r="D40" s="705">
        <v>7.5975931558935353E-2</v>
      </c>
      <c r="E40" s="705">
        <v>6.881739253291802E-2</v>
      </c>
      <c r="F40" s="705">
        <v>6.9471765472226846E-2</v>
      </c>
      <c r="H40" s="698"/>
    </row>
    <row r="41" spans="2:8">
      <c r="B41" s="698"/>
      <c r="C41" s="702" t="s">
        <v>225</v>
      </c>
      <c r="D41" s="705">
        <v>7.6638765941485373E-2</v>
      </c>
      <c r="E41" s="705">
        <v>6.9609633560470299E-2</v>
      </c>
      <c r="F41" s="705">
        <v>7.0349644617232365E-2</v>
      </c>
      <c r="H41" s="698"/>
    </row>
    <row r="42" spans="2:8">
      <c r="B42" s="698"/>
      <c r="C42" s="702" t="s">
        <v>200</v>
      </c>
      <c r="D42" s="732">
        <v>7.6638765941485373E-2</v>
      </c>
      <c r="E42" s="732">
        <v>6.9609633560470299E-2</v>
      </c>
      <c r="F42" s="732">
        <v>7.0349644617232365E-2</v>
      </c>
      <c r="H42" s="698"/>
    </row>
    <row r="43" spans="2:8">
      <c r="B43" s="698"/>
      <c r="C43" s="702" t="s">
        <v>201</v>
      </c>
      <c r="D43" s="732">
        <v>7.6638765941485373E-2</v>
      </c>
      <c r="E43" s="732">
        <v>6.9609633560470299E-2</v>
      </c>
      <c r="F43" s="732">
        <v>7.0349644617232365E-2</v>
      </c>
      <c r="H43" s="698"/>
    </row>
    <row r="44" spans="2:8">
      <c r="B44" s="698"/>
      <c r="C44" s="702" t="s">
        <v>202</v>
      </c>
      <c r="D44" s="732">
        <v>7.6638765941485373E-2</v>
      </c>
      <c r="E44" s="732">
        <v>6.9609633560470299E-2</v>
      </c>
      <c r="F44" s="732">
        <v>7.0349644617232365E-2</v>
      </c>
      <c r="H44" s="698"/>
    </row>
    <row r="45" spans="2:8">
      <c r="B45" s="698"/>
      <c r="C45" s="702" t="s">
        <v>226</v>
      </c>
      <c r="D45" s="705">
        <v>7.9012953238309577E-2</v>
      </c>
      <c r="E45" s="705">
        <v>7.1766065826903702E-2</v>
      </c>
      <c r="F45" s="705">
        <v>7.2529001637592724E-2</v>
      </c>
      <c r="H45" s="698"/>
    </row>
    <row r="46" spans="2:8">
      <c r="B46" s="698"/>
      <c r="C46" s="702" t="s">
        <v>193</v>
      </c>
      <c r="D46" s="705">
        <v>8.0472635274679905E-2</v>
      </c>
      <c r="E46" s="705">
        <v>7.3157986088725535E-2</v>
      </c>
      <c r="F46" s="705">
        <v>7.3973911968977138E-2</v>
      </c>
      <c r="H46" s="698"/>
    </row>
    <row r="47" spans="2:8">
      <c r="B47" s="698"/>
      <c r="C47" s="698"/>
      <c r="D47" s="706"/>
      <c r="E47" s="698"/>
      <c r="F47" s="698"/>
      <c r="G47" s="698"/>
      <c r="H47" s="698"/>
    </row>
    <row r="48" spans="2:8">
      <c r="B48" s="698"/>
      <c r="C48" s="698"/>
      <c r="D48" s="698" t="s">
        <v>228</v>
      </c>
      <c r="E48" s="698"/>
      <c r="F48" s="698"/>
      <c r="G48" s="698"/>
      <c r="H48" s="698"/>
    </row>
    <row r="49" spans="2:8">
      <c r="B49" s="698"/>
      <c r="C49" s="698"/>
      <c r="E49" s="698"/>
      <c r="F49" s="698"/>
      <c r="G49" s="698"/>
      <c r="H49" s="69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FFFF00"/>
  </sheetPr>
  <dimension ref="A1:AE105"/>
  <sheetViews>
    <sheetView topLeftCell="A14" zoomScale="55" zoomScaleNormal="55" workbookViewId="0">
      <selection activeCell="G31" sqref="G31"/>
    </sheetView>
  </sheetViews>
  <sheetFormatPr defaultColWidth="9.28515625" defaultRowHeight="15"/>
  <cols>
    <col min="1" max="1" width="1.7109375" style="1" customWidth="1"/>
    <col min="2" max="2" width="1" style="1" customWidth="1"/>
    <col min="3" max="3" width="7.7109375" style="1" customWidth="1"/>
    <col min="4" max="4" width="1.85546875" style="1" customWidth="1"/>
    <col min="5" max="5" width="54" style="1" customWidth="1"/>
    <col min="6" max="6" width="13.42578125" style="1" customWidth="1"/>
    <col min="7" max="7" width="24.28515625" style="1" bestFit="1" customWidth="1"/>
    <col min="8" max="8" width="0.7109375" style="1" customWidth="1"/>
    <col min="9" max="9" width="6.7109375" style="1" customWidth="1"/>
    <col min="10" max="11" width="1.7109375" style="1" customWidth="1"/>
    <col min="12" max="12" width="1.28515625" style="1" customWidth="1"/>
    <col min="13" max="13" width="7.7109375" style="1" customWidth="1"/>
    <col min="14" max="14" width="1" style="1" customWidth="1"/>
    <col min="15" max="15" width="55.42578125" style="1" customWidth="1"/>
    <col min="16" max="16" width="19" style="1" customWidth="1"/>
    <col min="17" max="17" width="24.28515625" style="1" customWidth="1"/>
    <col min="18" max="18" width="0.7109375" style="1" customWidth="1"/>
    <col min="19" max="19" width="6.7109375" style="1" customWidth="1"/>
    <col min="20" max="20" width="11.28515625" style="1" customWidth="1"/>
    <col min="21" max="21" width="49.42578125" style="1" customWidth="1"/>
    <col min="22" max="22" width="19.28515625" style="1" customWidth="1"/>
    <col min="23" max="23" width="20.85546875" style="1" customWidth="1"/>
    <col min="24" max="26" width="19.28515625" style="1" customWidth="1"/>
    <col min="27" max="27" width="0.7109375" style="1" customWidth="1"/>
    <col min="28" max="30" width="9.28515625" style="1"/>
    <col min="31" max="31" width="30.28515625" style="1" customWidth="1"/>
    <col min="32" max="32" width="22.28515625" style="1" customWidth="1"/>
    <col min="33" max="33" width="23.28515625" style="1" customWidth="1"/>
    <col min="34" max="34" width="2.28515625" style="1" customWidth="1"/>
    <col min="35" max="35" width="6" style="1" customWidth="1"/>
    <col min="36" max="36" width="12.28515625" style="1" customWidth="1"/>
    <col min="37" max="37" width="20.7109375" style="1" customWidth="1"/>
    <col min="38" max="41" width="15.7109375" style="1" customWidth="1"/>
    <col min="42" max="42" width="25.28515625" style="1" customWidth="1"/>
    <col min="43" max="16384" width="9.28515625" style="1"/>
  </cols>
  <sheetData>
    <row r="1" spans="2:28" ht="9.75" customHeight="1" thickBot="1">
      <c r="B1" s="40"/>
    </row>
    <row r="2" spans="2:28" s="247" customFormat="1" ht="30.4" customHeight="1" thickBot="1">
      <c r="B2" s="413"/>
      <c r="C2" s="772" t="s">
        <v>1</v>
      </c>
      <c r="D2" s="772"/>
      <c r="E2" s="772"/>
      <c r="F2" s="772"/>
      <c r="G2" s="772"/>
      <c r="H2" s="772"/>
      <c r="I2" s="772"/>
      <c r="J2" s="772"/>
      <c r="K2" s="772"/>
      <c r="L2" s="773"/>
      <c r="M2" s="773"/>
      <c r="N2" s="773"/>
      <c r="O2" s="773"/>
      <c r="P2" s="773"/>
      <c r="Q2" s="773"/>
      <c r="R2" s="773"/>
      <c r="S2" s="773"/>
      <c r="T2" s="773"/>
      <c r="U2" s="328"/>
      <c r="V2" s="329"/>
      <c r="W2" s="329"/>
      <c r="X2" s="329"/>
      <c r="Y2" s="329"/>
      <c r="Z2" s="329"/>
      <c r="AA2" s="329"/>
      <c r="AB2" s="330"/>
    </row>
    <row r="3" spans="2:28" ht="7.5" customHeight="1">
      <c r="B3" s="11"/>
      <c r="C3" s="266"/>
      <c r="D3" s="266"/>
      <c r="E3" s="266"/>
      <c r="F3" s="266"/>
      <c r="G3" s="266"/>
      <c r="H3" s="266"/>
      <c r="I3" s="266"/>
      <c r="J3" s="266"/>
      <c r="K3" s="341"/>
      <c r="L3" s="265"/>
      <c r="M3" s="266"/>
      <c r="N3" s="266"/>
      <c r="O3" s="266"/>
      <c r="P3" s="266"/>
      <c r="Q3" s="266"/>
      <c r="R3" s="266"/>
      <c r="S3" s="266"/>
      <c r="T3" s="266"/>
      <c r="U3" s="266"/>
      <c r="V3" s="267"/>
      <c r="W3" s="267"/>
      <c r="X3" s="267"/>
      <c r="Y3" s="267"/>
      <c r="Z3" s="267"/>
      <c r="AA3" s="267"/>
      <c r="AB3" s="297"/>
    </row>
    <row r="4" spans="2:28" ht="18.75" thickBot="1">
      <c r="B4" s="11"/>
      <c r="C4" s="401" t="s">
        <v>2</v>
      </c>
      <c r="D4" s="14"/>
      <c r="F4" s="15"/>
      <c r="H4" s="392"/>
      <c r="I4" s="414" t="s">
        <v>3</v>
      </c>
      <c r="K4" s="342"/>
      <c r="L4" s="298"/>
      <c r="M4" s="401" t="s">
        <v>2</v>
      </c>
      <c r="N4" s="15"/>
      <c r="O4" s="774" t="s">
        <v>4</v>
      </c>
      <c r="P4" s="774"/>
      <c r="Q4" s="420"/>
      <c r="R4" s="15"/>
      <c r="S4" s="401" t="s">
        <v>3</v>
      </c>
      <c r="T4" s="393"/>
      <c r="U4" s="40"/>
      <c r="AB4" s="246"/>
    </row>
    <row r="5" spans="2:28" ht="18.75" thickBot="1">
      <c r="B5" s="415"/>
      <c r="C5" s="267"/>
      <c r="D5" s="267"/>
      <c r="E5" s="20"/>
      <c r="F5" s="16"/>
      <c r="G5" s="19"/>
      <c r="H5" s="416"/>
      <c r="I5" s="417"/>
      <c r="J5" s="418"/>
      <c r="K5" s="15"/>
      <c r="L5" s="415"/>
      <c r="M5" s="267"/>
      <c r="N5" s="267"/>
      <c r="O5" s="267"/>
      <c r="P5" s="267"/>
      <c r="Q5" s="267"/>
      <c r="R5" s="267"/>
      <c r="S5" s="267"/>
      <c r="T5" s="267"/>
      <c r="V5" s="267"/>
      <c r="W5" s="267"/>
      <c r="X5" s="267"/>
      <c r="Y5" s="267"/>
      <c r="Z5" s="267"/>
      <c r="AA5" s="267"/>
      <c r="AB5" s="297"/>
    </row>
    <row r="6" spans="2:28" ht="21" thickBot="1">
      <c r="B6" s="11"/>
      <c r="E6" s="2" t="s">
        <v>5</v>
      </c>
      <c r="F6" s="347" t="s">
        <v>6</v>
      </c>
      <c r="G6" s="411" t="s">
        <v>7</v>
      </c>
      <c r="H6" s="57"/>
      <c r="I6" s="17"/>
      <c r="J6" s="402"/>
      <c r="K6" s="15"/>
      <c r="L6" s="11"/>
      <c r="O6" s="2" t="s">
        <v>8</v>
      </c>
      <c r="P6" s="347" t="s">
        <v>6</v>
      </c>
      <c r="Q6" s="411" t="s">
        <v>7</v>
      </c>
      <c r="U6" s="645" t="s">
        <v>9</v>
      </c>
      <c r="AB6" s="246"/>
    </row>
    <row r="7" spans="2:28" ht="15.75">
      <c r="B7" s="11"/>
      <c r="C7" s="317"/>
      <c r="E7" s="458" t="s">
        <v>10</v>
      </c>
      <c r="F7" s="450" t="s">
        <v>11</v>
      </c>
      <c r="G7" s="717">
        <v>5000</v>
      </c>
      <c r="H7" s="269"/>
      <c r="I7" s="12" t="s">
        <v>12</v>
      </c>
      <c r="J7" s="403"/>
      <c r="K7" s="15"/>
      <c r="L7" s="11"/>
      <c r="M7" s="371"/>
      <c r="N7" s="1">
        <f>IF(OR(Q7&lt;=0,Q7&gt;G11),1,0)</f>
        <v>0</v>
      </c>
      <c r="O7" s="458" t="s">
        <v>13</v>
      </c>
      <c r="P7" s="450" t="s">
        <v>14</v>
      </c>
      <c r="Q7" s="667">
        <v>20</v>
      </c>
      <c r="R7" s="272"/>
      <c r="S7" s="12" t="s">
        <v>12</v>
      </c>
      <c r="T7" s="340"/>
      <c r="U7" s="656" t="s">
        <v>15</v>
      </c>
      <c r="V7" s="657" t="s">
        <v>16</v>
      </c>
      <c r="W7" s="658" t="s">
        <v>17</v>
      </c>
      <c r="AB7" s="246"/>
    </row>
    <row r="8" spans="2:28" ht="15.75">
      <c r="B8" s="11"/>
      <c r="C8" s="370"/>
      <c r="D8" s="1">
        <f>IF(OR(G8&lt;=0,G8&gt;1),1,0)</f>
        <v>0</v>
      </c>
      <c r="E8" s="451" t="s">
        <v>18</v>
      </c>
      <c r="F8" s="7" t="s">
        <v>19</v>
      </c>
      <c r="G8" s="472">
        <v>0.151</v>
      </c>
      <c r="H8" s="270"/>
      <c r="I8" s="12" t="s">
        <v>12</v>
      </c>
      <c r="J8" s="403"/>
      <c r="K8" s="15"/>
      <c r="L8" s="11"/>
      <c r="M8" s="317"/>
      <c r="O8" s="451" t="s">
        <v>20</v>
      </c>
      <c r="P8" s="7" t="s">
        <v>19</v>
      </c>
      <c r="Q8" s="472">
        <v>0</v>
      </c>
      <c r="R8" s="270"/>
      <c r="S8" s="12" t="s">
        <v>12</v>
      </c>
      <c r="T8" s="340"/>
      <c r="U8" s="474" t="s">
        <v>21</v>
      </c>
      <c r="V8" s="633" t="s">
        <v>22</v>
      </c>
      <c r="W8" s="646" t="s">
        <v>23</v>
      </c>
      <c r="AB8" s="246"/>
    </row>
    <row r="9" spans="2:28" ht="16.5" thickBot="1">
      <c r="B9" s="11"/>
      <c r="C9" s="285"/>
      <c r="E9" s="451" t="s">
        <v>24</v>
      </c>
      <c r="F9" s="8" t="s">
        <v>25</v>
      </c>
      <c r="G9" s="473">
        <f>$G$7*$G$8*8760</f>
        <v>6613800</v>
      </c>
      <c r="H9" s="271"/>
      <c r="I9" s="12" t="s">
        <v>12</v>
      </c>
      <c r="J9" s="403"/>
      <c r="K9" s="15"/>
      <c r="L9" s="11"/>
      <c r="M9" s="316"/>
      <c r="O9" s="461" t="s">
        <v>26</v>
      </c>
      <c r="P9" s="466" t="s">
        <v>19</v>
      </c>
      <c r="Q9" s="660">
        <v>0</v>
      </c>
      <c r="R9" s="270"/>
      <c r="S9" s="12" t="s">
        <v>12</v>
      </c>
      <c r="T9" s="340"/>
      <c r="U9" s="451" t="s">
        <v>27</v>
      </c>
      <c r="V9" s="633" t="s">
        <v>22</v>
      </c>
      <c r="W9" s="646" t="s">
        <v>178</v>
      </c>
      <c r="AB9" s="246"/>
    </row>
    <row r="10" spans="2:28" ht="16.5" thickBot="1">
      <c r="B10" s="11"/>
      <c r="C10" s="369"/>
      <c r="D10" s="1">
        <f>IF(OR(G10&lt;0,G10&gt;1),1,0)</f>
        <v>0</v>
      </c>
      <c r="E10" s="453" t="s">
        <v>29</v>
      </c>
      <c r="F10" s="7" t="s">
        <v>19</v>
      </c>
      <c r="G10" s="472">
        <v>5.0000000000000001E-3</v>
      </c>
      <c r="H10" s="270"/>
      <c r="I10" s="12" t="s">
        <v>12</v>
      </c>
      <c r="J10" s="403"/>
      <c r="K10" s="15"/>
      <c r="L10" s="298"/>
      <c r="M10" s="15"/>
      <c r="N10" s="15"/>
      <c r="O10" s="15"/>
      <c r="P10" s="15"/>
      <c r="Q10" s="15"/>
      <c r="R10" s="15"/>
      <c r="S10" s="15"/>
      <c r="T10" s="15"/>
      <c r="U10" s="639"/>
      <c r="V10" s="636"/>
      <c r="W10" s="640"/>
      <c r="X10" s="123"/>
      <c r="Y10" s="123"/>
      <c r="Z10" s="123"/>
      <c r="AB10" s="246"/>
    </row>
    <row r="11" spans="2:28" ht="16.5" thickBot="1">
      <c r="B11" s="11"/>
      <c r="C11" s="371"/>
      <c r="D11" s="1">
        <f>IF(OR(G11&lt;1,G11&gt;30),1,0)</f>
        <v>0</v>
      </c>
      <c r="E11" s="455" t="s">
        <v>30</v>
      </c>
      <c r="F11" s="466" t="s">
        <v>14</v>
      </c>
      <c r="G11" s="581">
        <v>30</v>
      </c>
      <c r="H11" s="272"/>
      <c r="I11" s="12" t="s">
        <v>12</v>
      </c>
      <c r="J11" s="403"/>
      <c r="K11" s="15"/>
      <c r="L11" s="298"/>
      <c r="O11" s="2" t="s">
        <v>31</v>
      </c>
      <c r="P11" s="3"/>
      <c r="Q11" s="4"/>
      <c r="R11" s="15"/>
      <c r="S11" s="12" t="s">
        <v>12</v>
      </c>
      <c r="T11" s="123"/>
      <c r="U11" s="474" t="s">
        <v>32</v>
      </c>
      <c r="V11" s="634" t="s">
        <v>33</v>
      </c>
      <c r="W11" s="669">
        <v>20</v>
      </c>
      <c r="X11" s="178"/>
      <c r="Y11" s="178"/>
      <c r="Z11" s="178"/>
      <c r="AB11" s="246"/>
    </row>
    <row r="12" spans="2:28" ht="16.5" thickBot="1">
      <c r="B12" s="11"/>
      <c r="G12" s="17"/>
      <c r="H12" s="17"/>
      <c r="I12" s="13"/>
      <c r="J12" s="403"/>
      <c r="K12" s="15"/>
      <c r="L12" s="298"/>
      <c r="M12" s="369"/>
      <c r="O12" s="500" t="s">
        <v>34</v>
      </c>
      <c r="P12" s="501"/>
      <c r="Q12" s="502" t="s">
        <v>35</v>
      </c>
      <c r="S12" s="345" t="s">
        <v>12</v>
      </c>
      <c r="T12" s="346">
        <f>IF(Q7&lt;G11,1,0)</f>
        <v>1</v>
      </c>
      <c r="U12" s="641" t="s">
        <v>36</v>
      </c>
      <c r="V12" s="635" t="s">
        <v>19</v>
      </c>
      <c r="W12" s="670">
        <v>0.02</v>
      </c>
      <c r="Y12" s="123"/>
      <c r="Z12" s="123"/>
      <c r="AB12" s="246"/>
    </row>
    <row r="13" spans="2:28" ht="16.5" thickBot="1">
      <c r="B13" s="11"/>
      <c r="E13" s="10" t="s">
        <v>37</v>
      </c>
      <c r="F13" s="347" t="s">
        <v>6</v>
      </c>
      <c r="G13" s="411" t="s">
        <v>7</v>
      </c>
      <c r="H13" s="283"/>
      <c r="I13" s="13"/>
      <c r="J13" s="403"/>
      <c r="K13" s="15"/>
      <c r="L13" s="298"/>
      <c r="M13" s="369"/>
      <c r="N13" s="1">
        <f>IF(OR(Q13&lt;=0,Q13=""),1,0)</f>
        <v>0</v>
      </c>
      <c r="O13" s="503" t="s">
        <v>38</v>
      </c>
      <c r="P13" s="343" t="s">
        <v>39</v>
      </c>
      <c r="Q13" s="504">
        <v>5</v>
      </c>
      <c r="S13" s="345" t="s">
        <v>12</v>
      </c>
      <c r="T13" s="346">
        <f>IF(AND($Q$7&lt;$G$11,$Q$12="Year One"),1,0)</f>
        <v>0</v>
      </c>
      <c r="U13" s="642"/>
      <c r="V13" s="637"/>
      <c r="W13" s="643"/>
      <c r="Y13" s="123"/>
      <c r="Z13" s="123"/>
      <c r="AB13" s="246"/>
    </row>
    <row r="14" spans="2:28" ht="16.5" thickBot="1">
      <c r="B14" s="11"/>
      <c r="C14" s="318"/>
      <c r="E14" s="438" t="s">
        <v>40</v>
      </c>
      <c r="F14" s="439"/>
      <c r="G14" s="440" t="s">
        <v>41</v>
      </c>
      <c r="H14" s="281"/>
      <c r="I14" s="12" t="s">
        <v>12</v>
      </c>
      <c r="J14" s="403"/>
      <c r="K14" s="15"/>
      <c r="L14" s="298"/>
      <c r="M14" s="369"/>
      <c r="N14" s="1">
        <f>IF(OR(Q14&lt;=0,Q14=""),1,0)</f>
        <v>0</v>
      </c>
      <c r="O14" s="505" t="s">
        <v>42</v>
      </c>
      <c r="P14" s="344" t="s">
        <v>19</v>
      </c>
      <c r="Q14" s="506">
        <v>0.03</v>
      </c>
      <c r="S14" s="368" t="s">
        <v>12</v>
      </c>
      <c r="T14" s="346">
        <f>IF(AND($Q$7&lt;$G$11,$Q$12="Year One"),1,0)</f>
        <v>0</v>
      </c>
      <c r="U14" s="451" t="s">
        <v>43</v>
      </c>
      <c r="V14" s="633" t="s">
        <v>19</v>
      </c>
      <c r="W14" s="581">
        <v>0</v>
      </c>
      <c r="Y14" s="123"/>
      <c r="Z14" s="123"/>
      <c r="AB14" s="246"/>
    </row>
    <row r="15" spans="2:28" ht="16.5" thickBot="1">
      <c r="B15" s="11"/>
      <c r="C15" s="319"/>
      <c r="E15" s="441" t="s">
        <v>44</v>
      </c>
      <c r="F15" s="442" t="s">
        <v>33</v>
      </c>
      <c r="G15" s="443">
        <v>2500</v>
      </c>
      <c r="H15" s="273"/>
      <c r="I15" s="366" t="s">
        <v>12</v>
      </c>
      <c r="J15" s="404"/>
      <c r="K15" s="15"/>
      <c r="L15" s="298"/>
      <c r="O15" s="507" t="str">
        <f>IF(OR($Q$12="Year One",$Q$7=$G$11),"","Click Here for Complex Input Worksheet")</f>
        <v>Click Here for Complex Input Worksheet</v>
      </c>
      <c r="P15" s="508"/>
      <c r="Q15" s="509"/>
      <c r="S15" s="366" t="s">
        <v>12</v>
      </c>
      <c r="T15" s="346">
        <f>IF(AND($Q$7&lt;$G$11,$Q$12="Year-by-Year"),1,0)</f>
        <v>1</v>
      </c>
      <c r="U15" s="451" t="s">
        <v>45</v>
      </c>
      <c r="V15" s="633" t="s">
        <v>19</v>
      </c>
      <c r="W15" s="670">
        <v>0.02</v>
      </c>
      <c r="X15" s="123"/>
      <c r="Y15" s="123"/>
      <c r="Z15" s="123"/>
      <c r="AB15" s="246"/>
    </row>
    <row r="16" spans="2:28" ht="16.5" thickBot="1">
      <c r="B16" s="11"/>
      <c r="C16" s="320"/>
      <c r="E16" s="444" t="s">
        <v>46</v>
      </c>
      <c r="F16" s="343" t="s">
        <v>47</v>
      </c>
      <c r="G16" s="655">
        <v>12252006.829041246</v>
      </c>
      <c r="H16" s="274"/>
      <c r="I16" s="366" t="s">
        <v>12</v>
      </c>
      <c r="J16" s="403"/>
      <c r="K16" s="15"/>
      <c r="L16" s="298"/>
      <c r="T16" s="179"/>
      <c r="U16" s="644"/>
      <c r="V16" s="638"/>
      <c r="W16" s="643"/>
      <c r="X16" s="123"/>
      <c r="Y16" s="123"/>
      <c r="Z16" s="123"/>
      <c r="AB16" s="246"/>
    </row>
    <row r="17" spans="2:31" ht="16.5" thickBot="1">
      <c r="B17" s="11"/>
      <c r="C17" s="376"/>
      <c r="E17" s="444" t="s">
        <v>48</v>
      </c>
      <c r="F17" s="343" t="s">
        <v>47</v>
      </c>
      <c r="G17" s="655">
        <v>0</v>
      </c>
      <c r="H17" s="274"/>
      <c r="I17" s="366" t="s">
        <v>12</v>
      </c>
      <c r="J17" s="403"/>
      <c r="K17" s="15"/>
      <c r="L17" s="298"/>
      <c r="O17" s="5" t="s">
        <v>49</v>
      </c>
      <c r="P17" s="347" t="s">
        <v>6</v>
      </c>
      <c r="Q17" s="411" t="s">
        <v>7</v>
      </c>
      <c r="R17" s="120"/>
      <c r="S17" s="13"/>
      <c r="T17" s="179"/>
      <c r="U17" s="692" t="s">
        <v>50</v>
      </c>
      <c r="V17" s="693" t="s">
        <v>47</v>
      </c>
      <c r="W17" s="694">
        <v>0</v>
      </c>
      <c r="X17" s="123"/>
      <c r="AB17" s="246"/>
    </row>
    <row r="18" spans="2:31" ht="16.5" thickBot="1">
      <c r="B18" s="11"/>
      <c r="C18" s="376"/>
      <c r="E18" s="444" t="s">
        <v>51</v>
      </c>
      <c r="F18" s="343" t="s">
        <v>47</v>
      </c>
      <c r="G18" s="655">
        <v>0</v>
      </c>
      <c r="H18" s="274"/>
      <c r="I18" s="366" t="s">
        <v>12</v>
      </c>
      <c r="J18" s="403"/>
      <c r="K18" s="15"/>
      <c r="L18" s="298"/>
      <c r="M18" s="374"/>
      <c r="O18" s="518" t="s">
        <v>52</v>
      </c>
      <c r="P18" s="519"/>
      <c r="Q18" s="520" t="s">
        <v>53</v>
      </c>
      <c r="S18" s="12" t="s">
        <v>12</v>
      </c>
      <c r="U18" s="455" t="s">
        <v>54</v>
      </c>
      <c r="V18" s="758" t="s">
        <v>55</v>
      </c>
      <c r="W18" s="759">
        <v>0</v>
      </c>
      <c r="AB18" s="246"/>
    </row>
    <row r="19" spans="2:31" ht="16.5" thickBot="1">
      <c r="B19" s="11"/>
      <c r="C19" s="376"/>
      <c r="E19" s="604" t="s">
        <v>56</v>
      </c>
      <c r="F19" s="343" t="s">
        <v>47</v>
      </c>
      <c r="G19" s="655">
        <v>0</v>
      </c>
      <c r="H19" s="274"/>
      <c r="I19" s="366" t="s">
        <v>12</v>
      </c>
      <c r="J19" s="403"/>
      <c r="K19" s="15"/>
      <c r="L19" s="298"/>
      <c r="M19" s="374"/>
      <c r="O19" s="458" t="s">
        <v>57</v>
      </c>
      <c r="P19" s="450"/>
      <c r="Q19" s="496" t="s">
        <v>58</v>
      </c>
      <c r="R19" s="15"/>
      <c r="S19" s="12" t="s">
        <v>12</v>
      </c>
      <c r="T19" s="15"/>
      <c r="U19"/>
      <c r="V19"/>
      <c r="W19"/>
      <c r="AB19" s="246"/>
    </row>
    <row r="20" spans="2:31" ht="16.5" thickBot="1">
      <c r="B20" s="11"/>
      <c r="C20" s="321"/>
      <c r="E20" s="444" t="s">
        <v>59</v>
      </c>
      <c r="F20" s="343" t="s">
        <v>47</v>
      </c>
      <c r="G20" s="445">
        <f>($G$53*$G$50*SUM($G$16:$G$19)+$G$47+$G$63+$Q$68+$Q$71)</f>
        <v>109042.86077846709</v>
      </c>
      <c r="H20" s="275"/>
      <c r="I20" s="366" t="s">
        <v>12</v>
      </c>
      <c r="J20" s="403"/>
      <c r="K20" s="15"/>
      <c r="L20" s="298"/>
      <c r="M20" s="374"/>
      <c r="N20" s="1">
        <f>IF(OR(Q20&lt;0,Q20&gt;1,Q20=""),1,0)</f>
        <v>0</v>
      </c>
      <c r="O20" s="468" t="s">
        <v>60</v>
      </c>
      <c r="P20" s="6" t="s">
        <v>19</v>
      </c>
      <c r="Q20" s="661">
        <v>0.3</v>
      </c>
      <c r="R20" s="15"/>
      <c r="S20" s="12" t="s">
        <v>12</v>
      </c>
      <c r="T20" s="15"/>
      <c r="U20" s="524" t="s">
        <v>229</v>
      </c>
      <c r="V20" s="16" t="s">
        <v>230</v>
      </c>
      <c r="W20" s="760">
        <v>2024</v>
      </c>
      <c r="AB20" s="246"/>
      <c r="AE20" s="31"/>
    </row>
    <row r="21" spans="2:31" ht="16.5" thickBot="1">
      <c r="B21" s="11"/>
      <c r="C21" s="321"/>
      <c r="E21" s="446" t="s">
        <v>61</v>
      </c>
      <c r="F21" s="447" t="str">
        <f>IF($G$14="Complex","$","")</f>
        <v/>
      </c>
      <c r="G21" s="448" t="str">
        <f>IF($G$14="Complex",'Complex Inputs'!$C$121,"")</f>
        <v/>
      </c>
      <c r="H21" s="276"/>
      <c r="I21" s="366" t="s">
        <v>12</v>
      </c>
      <c r="J21" s="403"/>
      <c r="K21" s="15"/>
      <c r="L21" s="298"/>
      <c r="M21" s="369"/>
      <c r="N21" s="1">
        <f>IF(OR(Q21&lt;0,Q21&gt;1,Q21=""),1,0)</f>
        <v>0</v>
      </c>
      <c r="O21" s="483" t="s">
        <v>63</v>
      </c>
      <c r="P21" s="24" t="s">
        <v>19</v>
      </c>
      <c r="Q21" s="661">
        <v>1</v>
      </c>
      <c r="R21" s="121"/>
      <c r="S21" s="12" t="s">
        <v>12</v>
      </c>
      <c r="T21" s="367">
        <f>IF(AND($Q$18="Cost-Based",$Q$19="ITC"),1,0)</f>
        <v>1</v>
      </c>
      <c r="AB21" s="246"/>
      <c r="AE21" s="31"/>
    </row>
    <row r="22" spans="2:31" ht="16.5" thickBot="1">
      <c r="B22" s="11"/>
      <c r="C22" s="323"/>
      <c r="E22" s="449" t="s">
        <v>44</v>
      </c>
      <c r="F22" s="450" t="s">
        <v>47</v>
      </c>
      <c r="G22" s="666">
        <f>IF($G$14="Simple",($G$15*$G$7),IF($G$14="Intermediate",SUM($G$16:$G$20),IF($G$14="Complex",$G$21,0)))</f>
        <v>12361049.689819714</v>
      </c>
      <c r="H22" s="276"/>
      <c r="I22" s="12" t="s">
        <v>12</v>
      </c>
      <c r="J22" s="403"/>
      <c r="K22" s="15"/>
      <c r="L22" s="298"/>
      <c r="O22" s="455" t="s">
        <v>64</v>
      </c>
      <c r="P22" s="462" t="s">
        <v>47</v>
      </c>
      <c r="Q22" s="668">
        <f>IF($Q$19="ITC",SUMPRODUCT(G16:G20,$P$80:$P$84)*Q20*Q21,IF($Q$19="Cash Grant",SUMPRODUCT(G16:G20,$P$80:$P$84)*Q20))</f>
        <v>3528577.9667638787</v>
      </c>
      <c r="R22" s="121"/>
      <c r="S22" s="12" t="s">
        <v>12</v>
      </c>
      <c r="T22" s="15"/>
      <c r="U22" s="391"/>
      <c r="AB22" s="246"/>
    </row>
    <row r="23" spans="2:31" ht="15.75">
      <c r="B23" s="11"/>
      <c r="C23" s="323"/>
      <c r="E23" s="451" t="s">
        <v>44</v>
      </c>
      <c r="F23" s="8" t="str">
        <f>F15</f>
        <v>$/kW</v>
      </c>
      <c r="G23" s="452">
        <f>G22/G7</f>
        <v>2472.2099379639426</v>
      </c>
      <c r="H23" s="284"/>
      <c r="I23" s="12" t="s">
        <v>12</v>
      </c>
      <c r="J23" s="403"/>
      <c r="K23" s="15"/>
      <c r="L23" s="298"/>
      <c r="M23" s="374"/>
      <c r="O23" s="449" t="s">
        <v>65</v>
      </c>
      <c r="P23" s="522"/>
      <c r="Q23" s="510"/>
      <c r="S23" s="12" t="s">
        <v>12</v>
      </c>
      <c r="U23" s="391"/>
      <c r="AB23" s="246"/>
    </row>
    <row r="24" spans="2:31" ht="15.75">
      <c r="B24" s="11"/>
      <c r="C24" s="322"/>
      <c r="E24" s="453" t="s">
        <v>67</v>
      </c>
      <c r="F24" s="7" t="s">
        <v>47</v>
      </c>
      <c r="G24" s="454">
        <f>IF($Q$31="Yes",$Q$30*(1-$G$73),$Q$30)+IF($Q$48="Yes",$Q$47*(1-$G$75),$Q$47)</f>
        <v>0</v>
      </c>
      <c r="H24" s="277"/>
      <c r="I24" s="12" t="s">
        <v>12</v>
      </c>
      <c r="J24" s="403"/>
      <c r="K24" s="15"/>
      <c r="L24" s="298"/>
      <c r="M24" s="369"/>
      <c r="O24" s="451" t="s">
        <v>68</v>
      </c>
      <c r="P24" s="8" t="s">
        <v>39</v>
      </c>
      <c r="Q24" s="512"/>
      <c r="R24" s="15"/>
      <c r="S24" s="12" t="s">
        <v>12</v>
      </c>
      <c r="T24" s="15"/>
      <c r="U24" s="391"/>
      <c r="AB24" s="246"/>
    </row>
    <row r="25" spans="2:31" ht="15.75">
      <c r="B25" s="11"/>
      <c r="C25" s="322"/>
      <c r="E25" s="453" t="s">
        <v>69</v>
      </c>
      <c r="F25" s="7" t="s">
        <v>47</v>
      </c>
      <c r="G25" s="452">
        <f>G22-G24</f>
        <v>12361049.689819714</v>
      </c>
      <c r="H25" s="276"/>
      <c r="I25" s="12" t="s">
        <v>12</v>
      </c>
      <c r="J25" s="403"/>
      <c r="K25" s="15"/>
      <c r="L25" s="298"/>
      <c r="M25" s="369"/>
      <c r="N25" s="1">
        <f>IF(OR(Q25&lt;0,Q25&gt;G11),1,0)</f>
        <v>0</v>
      </c>
      <c r="O25" s="451" t="s">
        <v>70</v>
      </c>
      <c r="P25" s="8" t="s">
        <v>71</v>
      </c>
      <c r="Q25" s="464"/>
      <c r="R25" s="15"/>
      <c r="S25" s="12" t="s">
        <v>12</v>
      </c>
      <c r="T25" s="15"/>
      <c r="U25" s="391"/>
      <c r="AB25" s="246"/>
    </row>
    <row r="26" spans="2:31" ht="16.5" thickBot="1">
      <c r="B26" s="11"/>
      <c r="C26" s="323"/>
      <c r="E26" s="455" t="s">
        <v>69</v>
      </c>
      <c r="F26" s="456" t="str">
        <f>F15</f>
        <v>$/kW</v>
      </c>
      <c r="G26" s="457">
        <f>$G$25/$G$7</f>
        <v>2472.2099379639426</v>
      </c>
      <c r="H26" s="284"/>
      <c r="I26" s="12" t="s">
        <v>12</v>
      </c>
      <c r="J26" s="403"/>
      <c r="K26" s="15"/>
      <c r="L26" s="298"/>
      <c r="M26" s="369"/>
      <c r="O26" s="451" t="s">
        <v>72</v>
      </c>
      <c r="P26" s="6" t="s">
        <v>19</v>
      </c>
      <c r="Q26" s="497"/>
      <c r="R26" s="15"/>
      <c r="S26" s="12" t="s">
        <v>12</v>
      </c>
      <c r="T26" s="15"/>
      <c r="U26" s="391"/>
      <c r="AB26" s="246"/>
    </row>
    <row r="27" spans="2:31" ht="16.5" thickBot="1">
      <c r="B27" s="11"/>
      <c r="C27" s="324"/>
      <c r="E27" s="18"/>
      <c r="I27" s="17"/>
      <c r="J27" s="403"/>
      <c r="K27" s="15"/>
      <c r="L27" s="298"/>
      <c r="M27" s="369"/>
      <c r="N27" s="1">
        <f>IF(OR(Q27&lt;0,Q27&gt;1),1,0)</f>
        <v>0</v>
      </c>
      <c r="O27" s="455" t="s">
        <v>73</v>
      </c>
      <c r="P27" s="462" t="s">
        <v>19</v>
      </c>
      <c r="Q27" s="523"/>
      <c r="R27" s="15"/>
      <c r="S27" s="12" t="s">
        <v>12</v>
      </c>
      <c r="T27" s="15"/>
      <c r="U27" s="391"/>
      <c r="AB27" s="246"/>
    </row>
    <row r="28" spans="2:31" ht="16.5" thickBot="1">
      <c r="B28" s="11"/>
      <c r="E28" s="5" t="s">
        <v>74</v>
      </c>
      <c r="F28" s="347" t="s">
        <v>6</v>
      </c>
      <c r="G28" s="411" t="s">
        <v>7</v>
      </c>
      <c r="H28" s="285"/>
      <c r="I28" s="17"/>
      <c r="J28" s="403"/>
      <c r="K28" s="15"/>
      <c r="L28" s="298"/>
      <c r="O28" s="296" t="s">
        <v>75</v>
      </c>
      <c r="P28" s="521"/>
      <c r="Q28" s="514" t="str">
        <f>$G$74</f>
        <v>As Generated</v>
      </c>
      <c r="R28" s="121"/>
      <c r="S28" s="12" t="s">
        <v>12</v>
      </c>
      <c r="T28" s="15"/>
      <c r="U28" s="391"/>
      <c r="AB28" s="246"/>
    </row>
    <row r="29" spans="2:31" ht="16.5" thickBot="1">
      <c r="B29" s="11"/>
      <c r="C29" s="318"/>
      <c r="E29" s="553" t="s">
        <v>40</v>
      </c>
      <c r="F29" s="554"/>
      <c r="G29" s="555" t="s">
        <v>41</v>
      </c>
      <c r="H29" s="281"/>
      <c r="I29" s="12" t="s">
        <v>12</v>
      </c>
      <c r="J29" s="403"/>
      <c r="K29" s="15"/>
      <c r="L29" s="11"/>
      <c r="O29" s="415"/>
      <c r="P29" s="267"/>
      <c r="Q29" s="297"/>
      <c r="U29" s="391"/>
      <c r="AB29" s="246"/>
    </row>
    <row r="30" spans="2:31" ht="15.75">
      <c r="B30" s="11"/>
      <c r="C30" s="325"/>
      <c r="E30" s="458" t="s">
        <v>77</v>
      </c>
      <c r="F30" s="459" t="s">
        <v>78</v>
      </c>
      <c r="G30" s="460">
        <v>11</v>
      </c>
      <c r="H30" s="286"/>
      <c r="I30" s="12" t="s">
        <v>12</v>
      </c>
      <c r="J30" s="403"/>
      <c r="K30" s="15"/>
      <c r="L30" s="298"/>
      <c r="M30" s="369"/>
      <c r="O30" s="515" t="s">
        <v>79</v>
      </c>
      <c r="P30" s="459" t="s">
        <v>47</v>
      </c>
      <c r="Q30" s="516">
        <v>0</v>
      </c>
      <c r="R30" s="121"/>
      <c r="S30" s="12" t="s">
        <v>12</v>
      </c>
      <c r="U30" s="391"/>
      <c r="AB30" s="246"/>
    </row>
    <row r="31" spans="2:31" ht="16.5" thickBot="1">
      <c r="B31" s="11"/>
      <c r="C31" s="369"/>
      <c r="E31" s="453" t="s">
        <v>80</v>
      </c>
      <c r="F31" s="7" t="s">
        <v>81</v>
      </c>
      <c r="G31" s="512">
        <v>0</v>
      </c>
      <c r="H31" s="287"/>
      <c r="I31" s="12" t="s">
        <v>12</v>
      </c>
      <c r="J31" s="403"/>
      <c r="K31" s="15"/>
      <c r="L31" s="298"/>
      <c r="M31" s="374"/>
      <c r="O31" s="455" t="s">
        <v>82</v>
      </c>
      <c r="P31" s="466"/>
      <c r="Q31" s="517" t="s">
        <v>83</v>
      </c>
      <c r="R31" s="21"/>
      <c r="S31" s="12" t="s">
        <v>12</v>
      </c>
      <c r="U31" s="391"/>
      <c r="AB31" s="246"/>
    </row>
    <row r="32" spans="2:31" ht="16.5" thickBot="1">
      <c r="B32" s="11"/>
      <c r="C32" s="326"/>
      <c r="D32" s="15"/>
      <c r="E32" s="474" t="s">
        <v>84</v>
      </c>
      <c r="F32" s="7" t="s">
        <v>19</v>
      </c>
      <c r="G32" s="475">
        <v>0.03</v>
      </c>
      <c r="H32" s="270"/>
      <c r="I32" s="12" t="s">
        <v>12</v>
      </c>
      <c r="J32" s="404"/>
      <c r="K32" s="15"/>
      <c r="L32" s="298"/>
      <c r="U32" s="391"/>
      <c r="AB32" s="246"/>
    </row>
    <row r="33" spans="2:28" ht="16.5" thickBot="1">
      <c r="B33" s="11"/>
      <c r="C33" s="317"/>
      <c r="E33" s="451" t="s">
        <v>85</v>
      </c>
      <c r="F33" s="7" t="s">
        <v>86</v>
      </c>
      <c r="G33" s="582">
        <v>10</v>
      </c>
      <c r="H33" s="272"/>
      <c r="I33" s="12" t="s">
        <v>12</v>
      </c>
      <c r="J33" s="404"/>
      <c r="K33" s="15"/>
      <c r="L33" s="298"/>
      <c r="O33" s="5" t="s">
        <v>87</v>
      </c>
      <c r="P33" s="347" t="s">
        <v>6</v>
      </c>
      <c r="Q33" s="411" t="s">
        <v>7</v>
      </c>
      <c r="R33" s="15"/>
      <c r="T33" s="412"/>
      <c r="U33" s="632"/>
      <c r="AB33" s="246"/>
    </row>
    <row r="34" spans="2:28" ht="16.5" thickBot="1">
      <c r="B34" s="11"/>
      <c r="C34" s="326"/>
      <c r="D34" s="15"/>
      <c r="E34" s="465" t="s">
        <v>88</v>
      </c>
      <c r="F34" s="466" t="s">
        <v>19</v>
      </c>
      <c r="G34" s="487">
        <v>0.03</v>
      </c>
      <c r="H34" s="278"/>
      <c r="I34" s="12" t="s">
        <v>12</v>
      </c>
      <c r="J34" s="403"/>
      <c r="K34" s="15"/>
      <c r="L34" s="298"/>
      <c r="M34" s="374"/>
      <c r="O34" s="568" t="s">
        <v>89</v>
      </c>
      <c r="P34" s="569"/>
      <c r="Q34" s="570" t="s">
        <v>90</v>
      </c>
      <c r="S34" s="12" t="s">
        <v>12</v>
      </c>
      <c r="U34" s="391"/>
      <c r="AB34" s="246"/>
    </row>
    <row r="35" spans="2:28" ht="15.75">
      <c r="B35" s="11"/>
      <c r="C35" s="369"/>
      <c r="E35" s="483" t="s">
        <v>91</v>
      </c>
      <c r="F35" s="6" t="s">
        <v>19</v>
      </c>
      <c r="G35" s="470">
        <v>5.7150000000000005E-3</v>
      </c>
      <c r="H35" s="270"/>
      <c r="I35" s="366" t="s">
        <v>12</v>
      </c>
      <c r="J35" s="403"/>
      <c r="K35" s="15"/>
      <c r="L35" s="298"/>
      <c r="M35" s="369"/>
      <c r="N35" s="1">
        <f>IF(OR(Q35&lt;0,Q35&gt;1),1,0)</f>
        <v>0</v>
      </c>
      <c r="O35" s="458" t="s">
        <v>92</v>
      </c>
      <c r="P35" s="450" t="s">
        <v>19</v>
      </c>
      <c r="Q35" s="600">
        <v>0</v>
      </c>
      <c r="R35" s="15">
        <f>IF(OR($Q$34="Performance-Based",$Q$34="Neither"),1,0)</f>
        <v>1</v>
      </c>
      <c r="S35" s="12" t="s">
        <v>12</v>
      </c>
      <c r="T35" s="15"/>
      <c r="U35" s="391"/>
      <c r="AB35" s="246"/>
    </row>
    <row r="36" spans="2:28" ht="15.75">
      <c r="B36" s="11"/>
      <c r="E36" s="451" t="s">
        <v>93</v>
      </c>
      <c r="F36" s="7" t="s">
        <v>47</v>
      </c>
      <c r="G36" s="467">
        <f>$G$35*IF($G$14="Simple",$G$22,IF($G$14="Intermediate",SUM($G$16:$G$19),SUM('Complex Inputs'!$C$116:$C$119)))</f>
        <v>70020.219027970728</v>
      </c>
      <c r="H36" s="275"/>
      <c r="I36" s="366" t="s">
        <v>12</v>
      </c>
      <c r="J36" s="403"/>
      <c r="K36" s="15"/>
      <c r="L36" s="298"/>
      <c r="M36" s="369"/>
      <c r="N36" s="1">
        <f>IF(OR(Q36&lt;0,Q36&gt;1),1,0)</f>
        <v>0</v>
      </c>
      <c r="O36" s="453" t="s">
        <v>94</v>
      </c>
      <c r="P36" s="7" t="s">
        <v>19</v>
      </c>
      <c r="Q36" s="601">
        <v>0</v>
      </c>
      <c r="R36" s="15"/>
      <c r="S36" s="12" t="s">
        <v>12</v>
      </c>
      <c r="T36" s="15"/>
      <c r="U36" s="391"/>
      <c r="AB36" s="246"/>
    </row>
    <row r="37" spans="2:28" ht="15.75">
      <c r="B37" s="11"/>
      <c r="C37" s="369"/>
      <c r="E37" s="468" t="s">
        <v>95</v>
      </c>
      <c r="F37" s="6" t="s">
        <v>96</v>
      </c>
      <c r="G37" s="469">
        <v>20000</v>
      </c>
      <c r="H37" s="288"/>
      <c r="I37" s="366" t="s">
        <v>12</v>
      </c>
      <c r="J37" s="404"/>
      <c r="K37" s="15"/>
      <c r="L37" s="298"/>
      <c r="M37" s="369"/>
      <c r="N37" s="1">
        <f>IF(OR(Q37&lt;1,Q37&gt;G11),1,0)</f>
        <v>1</v>
      </c>
      <c r="O37" s="451" t="s">
        <v>97</v>
      </c>
      <c r="P37" s="8" t="s">
        <v>71</v>
      </c>
      <c r="Q37" s="602">
        <v>0</v>
      </c>
      <c r="R37" s="15"/>
      <c r="S37" s="12" t="s">
        <v>12</v>
      </c>
      <c r="U37" s="391"/>
      <c r="AB37" s="246"/>
    </row>
    <row r="38" spans="2:28" ht="16.5" thickBot="1">
      <c r="B38" s="11"/>
      <c r="C38" s="369"/>
      <c r="E38" s="451" t="s">
        <v>98</v>
      </c>
      <c r="F38" s="6" t="s">
        <v>33</v>
      </c>
      <c r="G38" s="603">
        <v>5</v>
      </c>
      <c r="H38" s="288"/>
      <c r="I38" s="366" t="s">
        <v>12</v>
      </c>
      <c r="J38" s="403"/>
      <c r="K38" s="15"/>
      <c r="L38" s="11"/>
      <c r="O38" s="455" t="s">
        <v>50</v>
      </c>
      <c r="P38" s="456" t="s">
        <v>47</v>
      </c>
      <c r="Q38" s="572">
        <v>0</v>
      </c>
      <c r="S38" s="12" t="s">
        <v>12</v>
      </c>
      <c r="U38" s="391"/>
      <c r="AB38" s="246"/>
    </row>
    <row r="39" spans="2:28" ht="15.75">
      <c r="B39" s="11"/>
      <c r="C39" s="369"/>
      <c r="E39" s="451" t="s">
        <v>43</v>
      </c>
      <c r="F39" s="6" t="s">
        <v>19</v>
      </c>
      <c r="G39" s="583">
        <v>0</v>
      </c>
      <c r="I39" s="366" t="s">
        <v>12</v>
      </c>
      <c r="J39" s="403"/>
      <c r="K39" s="15"/>
      <c r="L39" s="298"/>
      <c r="M39" s="374"/>
      <c r="O39" s="483" t="s">
        <v>99</v>
      </c>
      <c r="P39" s="6"/>
      <c r="Q39" s="571" t="s">
        <v>66</v>
      </c>
      <c r="R39" s="15">
        <f>IF(OR($Q$34="Cost-Based",$Q$34="Neither"),1,0)</f>
        <v>1</v>
      </c>
      <c r="S39" s="12" t="s">
        <v>12</v>
      </c>
      <c r="T39" s="15"/>
      <c r="U39" s="391"/>
      <c r="AB39" s="246"/>
    </row>
    <row r="40" spans="2:28" ht="15.75">
      <c r="B40" s="11"/>
      <c r="C40" s="369"/>
      <c r="E40" s="451" t="s">
        <v>100</v>
      </c>
      <c r="F40" s="6" t="s">
        <v>96</v>
      </c>
      <c r="G40" s="469">
        <v>160701</v>
      </c>
      <c r="H40" s="288"/>
      <c r="I40" s="366" t="s">
        <v>12</v>
      </c>
      <c r="J40" s="403"/>
      <c r="K40" s="15"/>
      <c r="L40" s="298"/>
      <c r="M40" s="374"/>
      <c r="O40" s="451" t="s">
        <v>101</v>
      </c>
      <c r="P40" s="8"/>
      <c r="Q40" s="511" t="s">
        <v>102</v>
      </c>
      <c r="R40" s="346">
        <f>IF(OR($Q$34="Cost-Based",$Q$34="Neither",$Q$39="Tax Credit"),1,0)</f>
        <v>1</v>
      </c>
      <c r="S40" s="12" t="s">
        <v>12</v>
      </c>
      <c r="U40" s="391"/>
      <c r="AB40" s="246"/>
    </row>
    <row r="41" spans="2:28" ht="15.75">
      <c r="B41" s="11"/>
      <c r="C41" s="369"/>
      <c r="E41" s="453" t="s">
        <v>103</v>
      </c>
      <c r="F41" s="6" t="s">
        <v>19</v>
      </c>
      <c r="G41" s="470">
        <v>0.02</v>
      </c>
      <c r="H41" s="270"/>
      <c r="I41" s="366" t="s">
        <v>12</v>
      </c>
      <c r="J41" s="403"/>
      <c r="K41" s="15"/>
      <c r="L41" s="298"/>
      <c r="M41" s="369"/>
      <c r="O41" s="451" t="s">
        <v>68</v>
      </c>
      <c r="P41" s="55" t="s">
        <v>39</v>
      </c>
      <c r="Q41" s="512">
        <v>1.5</v>
      </c>
      <c r="R41" s="21"/>
      <c r="S41" s="12" t="s">
        <v>12</v>
      </c>
      <c r="T41" s="346"/>
      <c r="U41" s="391"/>
      <c r="AB41" s="246"/>
    </row>
    <row r="42" spans="2:28" ht="16.5" thickBot="1">
      <c r="B42" s="11"/>
      <c r="E42" s="455"/>
      <c r="F42" s="466"/>
      <c r="G42" s="471"/>
      <c r="H42" s="275"/>
      <c r="I42" s="366" t="s">
        <v>12</v>
      </c>
      <c r="J42" s="246"/>
      <c r="K42" s="15"/>
      <c r="L42" s="298"/>
      <c r="M42" s="369"/>
      <c r="N42" s="1">
        <f>IF(OR(Q42&lt;0,Q42&gt;G11),1,0)</f>
        <v>0</v>
      </c>
      <c r="O42" s="451" t="s">
        <v>70</v>
      </c>
      <c r="P42" s="8" t="s">
        <v>71</v>
      </c>
      <c r="Q42" s="464">
        <v>10</v>
      </c>
      <c r="R42" s="21"/>
      <c r="S42" s="12" t="s">
        <v>12</v>
      </c>
      <c r="U42" s="391"/>
      <c r="AB42" s="246"/>
    </row>
    <row r="43" spans="2:28" ht="16.5" thickBot="1">
      <c r="B43" s="11"/>
      <c r="C43" s="327"/>
      <c r="I43" s="17"/>
      <c r="J43" s="403"/>
      <c r="K43" s="15"/>
      <c r="L43" s="298"/>
      <c r="M43" s="369"/>
      <c r="O43" s="451" t="s">
        <v>72</v>
      </c>
      <c r="P43" s="6" t="s">
        <v>19</v>
      </c>
      <c r="Q43" s="497">
        <v>0.02</v>
      </c>
      <c r="R43" s="15"/>
      <c r="S43" s="12" t="s">
        <v>12</v>
      </c>
      <c r="T43" s="346"/>
      <c r="U43" s="391"/>
      <c r="AB43" s="246"/>
    </row>
    <row r="44" spans="2:28" ht="16.5" thickBot="1">
      <c r="B44" s="11"/>
      <c r="C44" s="327"/>
      <c r="E44" s="5" t="s">
        <v>104</v>
      </c>
      <c r="F44" s="347" t="s">
        <v>6</v>
      </c>
      <c r="G44" s="411" t="s">
        <v>7</v>
      </c>
      <c r="H44" s="289"/>
      <c r="I44" s="17"/>
      <c r="J44" s="403"/>
      <c r="K44" s="15"/>
      <c r="L44" s="298"/>
      <c r="M44" s="369"/>
      <c r="N44" s="1">
        <f>IF(OR(Q44&lt;0,Q44&gt;1),1,0)</f>
        <v>0</v>
      </c>
      <c r="O44" s="455" t="s">
        <v>105</v>
      </c>
      <c r="P44" s="462" t="s">
        <v>19</v>
      </c>
      <c r="Q44" s="523">
        <v>1</v>
      </c>
      <c r="R44" s="15"/>
      <c r="S44" s="12" t="s">
        <v>12</v>
      </c>
      <c r="T44" s="21"/>
      <c r="U44" s="391"/>
      <c r="AB44" s="246"/>
    </row>
    <row r="45" spans="2:28" ht="16.5" thickBot="1">
      <c r="B45" s="11"/>
      <c r="C45" s="372"/>
      <c r="E45" s="463" t="s">
        <v>106</v>
      </c>
      <c r="F45" s="450" t="s">
        <v>107</v>
      </c>
      <c r="G45" s="556">
        <v>0</v>
      </c>
      <c r="H45" s="289"/>
      <c r="I45" s="12" t="s">
        <v>12</v>
      </c>
      <c r="J45" s="403"/>
      <c r="K45" s="15"/>
      <c r="L45" s="298"/>
      <c r="M45" s="15"/>
      <c r="N45" s="15"/>
      <c r="O45" s="524" t="s">
        <v>108</v>
      </c>
      <c r="P45" s="525"/>
      <c r="Q45" s="526" t="s">
        <v>76</v>
      </c>
      <c r="R45" s="15">
        <f>IF($Q$34="Neither",1,0)</f>
        <v>1</v>
      </c>
      <c r="S45" s="12" t="s">
        <v>12</v>
      </c>
      <c r="T45" s="21"/>
      <c r="U45" s="391"/>
      <c r="AB45" s="246"/>
    </row>
    <row r="46" spans="2:28" ht="16.5" thickBot="1">
      <c r="B46" s="11"/>
      <c r="C46" s="372"/>
      <c r="E46" s="474" t="s">
        <v>109</v>
      </c>
      <c r="F46" s="7" t="s">
        <v>19</v>
      </c>
      <c r="G46" s="548">
        <v>0</v>
      </c>
      <c r="H46" s="289"/>
      <c r="I46" s="12" t="s">
        <v>12</v>
      </c>
      <c r="J46" s="403"/>
      <c r="K46" s="15"/>
      <c r="L46" s="11"/>
      <c r="O46" s="415"/>
      <c r="P46" s="267"/>
      <c r="Q46" s="297"/>
      <c r="U46" s="15"/>
      <c r="AB46" s="246"/>
    </row>
    <row r="47" spans="2:28" ht="16.5" thickBot="1">
      <c r="B47" s="11"/>
      <c r="C47" s="327"/>
      <c r="E47" s="465" t="s">
        <v>110</v>
      </c>
      <c r="F47" s="456" t="s">
        <v>47</v>
      </c>
      <c r="G47" s="471">
        <f>IF($G$14="intermediate",SUM(G16:G19)*($G$46/12)*($G$45/2),IF($G$14="complex",'Complex Inputs'!$C$107,0))</f>
        <v>0</v>
      </c>
      <c r="H47" s="289"/>
      <c r="I47" s="12" t="s">
        <v>12</v>
      </c>
      <c r="J47" s="403"/>
      <c r="K47" s="15"/>
      <c r="L47" s="298"/>
      <c r="M47" s="369"/>
      <c r="N47" s="15"/>
      <c r="O47" s="515" t="s">
        <v>111</v>
      </c>
      <c r="P47" s="450" t="s">
        <v>47</v>
      </c>
      <c r="Q47" s="516">
        <v>0</v>
      </c>
      <c r="S47" s="12" t="s">
        <v>12</v>
      </c>
      <c r="T47" s="15"/>
      <c r="U47" s="15"/>
      <c r="AB47" s="246"/>
    </row>
    <row r="48" spans="2:28" ht="16.5" thickBot="1">
      <c r="B48" s="11"/>
      <c r="G48" s="182"/>
      <c r="H48" s="182"/>
      <c r="I48" s="17"/>
      <c r="J48" s="403"/>
      <c r="K48" s="15"/>
      <c r="L48" s="298"/>
      <c r="M48" s="374"/>
      <c r="O48" s="455" t="s">
        <v>112</v>
      </c>
      <c r="P48" s="466"/>
      <c r="Q48" s="517" t="s">
        <v>83</v>
      </c>
      <c r="R48" s="21"/>
      <c r="S48" s="12" t="s">
        <v>12</v>
      </c>
      <c r="T48" s="15"/>
      <c r="U48" s="15"/>
      <c r="AB48" s="246"/>
    </row>
    <row r="49" spans="2:28" ht="16.5" thickBot="1">
      <c r="B49" s="11"/>
      <c r="C49" s="327"/>
      <c r="E49" s="480" t="s">
        <v>113</v>
      </c>
      <c r="F49" s="481" t="s">
        <v>6</v>
      </c>
      <c r="G49" s="482" t="s">
        <v>7</v>
      </c>
      <c r="H49" s="289"/>
      <c r="I49" s="405"/>
      <c r="J49" s="403"/>
      <c r="K49" s="15"/>
      <c r="L49" s="298"/>
      <c r="T49" s="15"/>
      <c r="U49" s="300"/>
      <c r="AB49" s="246"/>
    </row>
    <row r="50" spans="2:28" ht="16.5" thickBot="1">
      <c r="B50" s="11"/>
      <c r="C50" s="369"/>
      <c r="D50" s="1">
        <f>IF(OR(G50="",G50&lt;0,G50&gt;1),1,0)</f>
        <v>0</v>
      </c>
      <c r="E50" s="449" t="s">
        <v>114</v>
      </c>
      <c r="F50" s="450" t="s">
        <v>19</v>
      </c>
      <c r="G50" s="754">
        <v>0.44500000000000001</v>
      </c>
      <c r="H50" s="290"/>
      <c r="I50" s="12" t="s">
        <v>12</v>
      </c>
      <c r="J50" s="404"/>
      <c r="K50" s="15"/>
      <c r="L50" s="298"/>
      <c r="M50" s="15"/>
      <c r="N50" s="15"/>
      <c r="O50" s="5" t="s">
        <v>115</v>
      </c>
      <c r="P50" s="22"/>
      <c r="Q50" s="411"/>
      <c r="R50" s="15"/>
      <c r="S50" s="15"/>
      <c r="T50" s="15"/>
      <c r="U50" s="15"/>
      <c r="AB50" s="246"/>
    </row>
    <row r="51" spans="2:28" ht="15.75">
      <c r="B51" s="11"/>
      <c r="C51" s="369"/>
      <c r="D51" s="1">
        <f>IF(OR(G51&lt;=0,G51&gt;G11),1,0)</f>
        <v>0</v>
      </c>
      <c r="E51" s="451" t="s">
        <v>116</v>
      </c>
      <c r="F51" s="7" t="s">
        <v>14</v>
      </c>
      <c r="G51" s="464">
        <v>15</v>
      </c>
      <c r="H51" s="272"/>
      <c r="I51" s="12" t="s">
        <v>12</v>
      </c>
      <c r="J51" s="404"/>
      <c r="K51" s="15"/>
      <c r="L51" s="298"/>
      <c r="M51" s="375"/>
      <c r="N51" s="15">
        <f>IF(OR(Q51&lt;1,Q51&gt;$G$11),1,0)</f>
        <v>0</v>
      </c>
      <c r="O51" s="463" t="s">
        <v>117</v>
      </c>
      <c r="P51" s="459" t="s">
        <v>86</v>
      </c>
      <c r="Q51" s="556">
        <v>12</v>
      </c>
      <c r="R51" s="15"/>
      <c r="S51" s="12" t="s">
        <v>12</v>
      </c>
      <c r="T51" s="15"/>
      <c r="U51" s="15"/>
      <c r="AB51" s="246"/>
    </row>
    <row r="52" spans="2:28" ht="16.5" thickBot="1">
      <c r="B52" s="11"/>
      <c r="C52" s="372"/>
      <c r="D52" s="1">
        <f>IF(OR(G52&lt;0,G52=""),1,0)</f>
        <v>0</v>
      </c>
      <c r="E52" s="451" t="s">
        <v>118</v>
      </c>
      <c r="F52" s="7" t="s">
        <v>19</v>
      </c>
      <c r="G52" s="755">
        <v>7.6638765941485373E-2</v>
      </c>
      <c r="H52" s="291"/>
      <c r="I52" s="12" t="s">
        <v>12</v>
      </c>
      <c r="J52" s="404"/>
      <c r="K52" s="15"/>
      <c r="L52" s="298"/>
      <c r="M52" s="326"/>
      <c r="N52" s="15"/>
      <c r="O52" s="465" t="s">
        <v>119</v>
      </c>
      <c r="P52" s="456" t="str">
        <f>$F$15</f>
        <v>$/kW</v>
      </c>
      <c r="Q52" s="531">
        <v>21</v>
      </c>
      <c r="R52" s="15"/>
      <c r="S52" s="12" t="s">
        <v>12</v>
      </c>
      <c r="T52" s="15"/>
      <c r="U52" s="15"/>
      <c r="AB52" s="246"/>
    </row>
    <row r="53" spans="2:28" ht="16.5" thickBot="1">
      <c r="B53" s="11"/>
      <c r="C53" s="369"/>
      <c r="D53" s="1">
        <f>IF(OR(G53&lt;0,G53=""),1,0)</f>
        <v>0</v>
      </c>
      <c r="E53" s="486" t="s">
        <v>120</v>
      </c>
      <c r="F53" s="466" t="s">
        <v>19</v>
      </c>
      <c r="G53" s="487">
        <v>0.02</v>
      </c>
      <c r="H53" s="270"/>
      <c r="I53" s="12" t="s">
        <v>12</v>
      </c>
      <c r="J53" s="403"/>
      <c r="K53" s="15"/>
      <c r="L53" s="298"/>
      <c r="M53" s="375"/>
      <c r="N53" s="15">
        <f>IF(OR(Q53&lt;Q51,Q53&gt;$G$11),1,0)</f>
        <v>0</v>
      </c>
      <c r="O53" s="529" t="s">
        <v>121</v>
      </c>
      <c r="P53" s="24" t="s">
        <v>86</v>
      </c>
      <c r="Q53" s="530">
        <v>12</v>
      </c>
      <c r="R53" s="15"/>
      <c r="S53" s="12" t="s">
        <v>12</v>
      </c>
      <c r="T53" s="15"/>
      <c r="U53" s="15"/>
      <c r="AB53" s="246"/>
    </row>
    <row r="54" spans="2:28" ht="16.5" thickBot="1">
      <c r="B54" s="11"/>
      <c r="C54" s="369"/>
      <c r="E54" s="483" t="s">
        <v>122</v>
      </c>
      <c r="F54" s="24"/>
      <c r="G54" s="484">
        <v>1</v>
      </c>
      <c r="H54" s="279"/>
      <c r="I54" s="12" t="s">
        <v>12</v>
      </c>
      <c r="J54" s="403"/>
      <c r="K54" s="15"/>
      <c r="L54" s="298"/>
      <c r="M54" s="326"/>
      <c r="N54" s="15"/>
      <c r="O54" s="465" t="s">
        <v>123</v>
      </c>
      <c r="P54" s="456" t="str">
        <f>$F$15</f>
        <v>$/kW</v>
      </c>
      <c r="Q54" s="531">
        <v>0</v>
      </c>
      <c r="R54" s="15"/>
      <c r="S54" s="12" t="s">
        <v>12</v>
      </c>
      <c r="T54" s="15"/>
      <c r="U54" s="15"/>
      <c r="AB54" s="246"/>
    </row>
    <row r="55" spans="2:28" ht="15.75">
      <c r="B55" s="11"/>
      <c r="E55" s="451" t="s">
        <v>124</v>
      </c>
      <c r="F55" s="248">
        <f>MAX('Cash Flow'!G45:AJ45)</f>
        <v>15</v>
      </c>
      <c r="G55" s="477">
        <f>ROUND('Cash Flow'!$F$44,2)</f>
        <v>1.1200000000000001</v>
      </c>
      <c r="H55" s="280"/>
      <c r="I55" s="12" t="s">
        <v>12</v>
      </c>
      <c r="J55" s="403"/>
      <c r="K55" s="15"/>
      <c r="L55" s="298"/>
      <c r="M55" s="375"/>
      <c r="N55" s="15">
        <f>IF(OR(Q55&lt;Q53,Q55&gt;$G$11),1,0)</f>
        <v>0</v>
      </c>
      <c r="O55" s="474" t="s">
        <v>125</v>
      </c>
      <c r="P55" s="8" t="s">
        <v>86</v>
      </c>
      <c r="Q55" s="530">
        <v>12</v>
      </c>
      <c r="R55" s="15"/>
      <c r="S55" s="12" t="s">
        <v>12</v>
      </c>
      <c r="T55" s="15"/>
      <c r="U55" s="15"/>
      <c r="AB55" s="246"/>
    </row>
    <row r="56" spans="2:28" ht="16.5" thickBot="1">
      <c r="B56" s="11"/>
      <c r="C56" s="369"/>
      <c r="E56" s="451" t="s">
        <v>126</v>
      </c>
      <c r="F56" s="8" t="s">
        <v>127</v>
      </c>
      <c r="G56" s="478" t="str">
        <f>IF($G$55&gt;=$G$54,"Pass","Fail")</f>
        <v>Pass</v>
      </c>
      <c r="H56" s="406"/>
      <c r="I56" s="12" t="s">
        <v>12</v>
      </c>
      <c r="J56" s="404"/>
      <c r="K56" s="15"/>
      <c r="L56" s="298"/>
      <c r="M56" s="326"/>
      <c r="N56" s="15"/>
      <c r="O56" s="465" t="s">
        <v>128</v>
      </c>
      <c r="P56" s="456" t="str">
        <f>$F$15</f>
        <v>$/kW</v>
      </c>
      <c r="Q56" s="531">
        <v>0</v>
      </c>
      <c r="R56" s="15"/>
      <c r="S56" s="12" t="s">
        <v>12</v>
      </c>
      <c r="AB56" s="246"/>
    </row>
    <row r="57" spans="2:28" ht="15.75">
      <c r="B57" s="11"/>
      <c r="C57" s="369"/>
      <c r="E57" s="451" t="s">
        <v>129</v>
      </c>
      <c r="F57" s="8"/>
      <c r="G57" s="484">
        <v>1.25</v>
      </c>
      <c r="H57" s="279"/>
      <c r="I57" s="12" t="s">
        <v>12</v>
      </c>
      <c r="J57" s="403"/>
      <c r="K57" s="15"/>
      <c r="L57" s="298"/>
      <c r="M57" s="375"/>
      <c r="N57" s="15">
        <f>IF(OR(Q57&lt;Q55,Q57&gt;$G$11),1,0)</f>
        <v>0</v>
      </c>
      <c r="O57" s="474" t="s">
        <v>130</v>
      </c>
      <c r="P57" s="8" t="s">
        <v>86</v>
      </c>
      <c r="Q57" s="530">
        <v>12</v>
      </c>
      <c r="R57" s="15"/>
      <c r="S57" s="12" t="s">
        <v>12</v>
      </c>
      <c r="AB57" s="246"/>
    </row>
    <row r="58" spans="2:28" ht="16.5" thickBot="1">
      <c r="B58" s="11"/>
      <c r="E58" s="451" t="s">
        <v>131</v>
      </c>
      <c r="F58" s="248"/>
      <c r="G58" s="477">
        <f>ROUND('Cash Flow'!$E$44,2)</f>
        <v>1.26</v>
      </c>
      <c r="H58" s="280"/>
      <c r="I58" s="12" t="s">
        <v>12</v>
      </c>
      <c r="J58" s="403"/>
      <c r="K58" s="15"/>
      <c r="L58" s="298"/>
      <c r="M58" s="326"/>
      <c r="N58" s="15"/>
      <c r="O58" s="465" t="s">
        <v>132</v>
      </c>
      <c r="P58" s="456" t="str">
        <f>$F$15</f>
        <v>$/kW</v>
      </c>
      <c r="Q58" s="531">
        <v>0</v>
      </c>
      <c r="R58" s="15"/>
      <c r="S58" s="12" t="s">
        <v>12</v>
      </c>
      <c r="AB58" s="246"/>
    </row>
    <row r="59" spans="2:28" ht="16.5" thickBot="1">
      <c r="B59" s="11"/>
      <c r="C59" s="369"/>
      <c r="E59" s="455" t="s">
        <v>133</v>
      </c>
      <c r="F59" s="456" t="s">
        <v>127</v>
      </c>
      <c r="G59" s="479" t="str">
        <f>IF($G$58&gt;=$G$57,"Pass","Fail")</f>
        <v>Pass</v>
      </c>
      <c r="H59" s="406"/>
      <c r="I59" s="12" t="s">
        <v>12</v>
      </c>
      <c r="J59" s="403"/>
      <c r="K59" s="15"/>
      <c r="L59" s="298"/>
      <c r="AB59" s="246"/>
    </row>
    <row r="60" spans="2:28" ht="16.5" thickBot="1">
      <c r="B60" s="11"/>
      <c r="E60" s="449" t="s">
        <v>134</v>
      </c>
      <c r="F60" s="450" t="s">
        <v>19</v>
      </c>
      <c r="G60" s="488">
        <f>1-G50</f>
        <v>0.55499999999999994</v>
      </c>
      <c r="H60" s="292"/>
      <c r="I60" s="12" t="s">
        <v>12</v>
      </c>
      <c r="J60" s="403"/>
      <c r="K60" s="15"/>
      <c r="L60" s="298"/>
      <c r="M60" s="15"/>
      <c r="N60" s="15"/>
      <c r="O60" s="5" t="s">
        <v>135</v>
      </c>
      <c r="P60" s="347" t="s">
        <v>6</v>
      </c>
      <c r="Q60" s="411" t="s">
        <v>7</v>
      </c>
      <c r="R60" s="15"/>
      <c r="S60" s="15"/>
      <c r="T60" s="15"/>
      <c r="U60" s="15"/>
      <c r="AB60" s="246"/>
    </row>
    <row r="61" spans="2:28" ht="16.5" thickBot="1">
      <c r="B61" s="11"/>
      <c r="C61" s="369"/>
      <c r="D61" s="1">
        <f>IF(OR(G61&lt;0,G61=""),1,0)</f>
        <v>0</v>
      </c>
      <c r="E61" s="489" t="s">
        <v>136</v>
      </c>
      <c r="F61" s="466" t="s">
        <v>19</v>
      </c>
      <c r="G61" s="722">
        <v>0.10025000000000001</v>
      </c>
      <c r="H61" s="291"/>
      <c r="I61" s="12" t="s">
        <v>12</v>
      </c>
      <c r="J61" s="403"/>
      <c r="K61" s="15"/>
      <c r="L61" s="298"/>
      <c r="M61" s="15"/>
      <c r="N61" s="15"/>
      <c r="O61" s="532" t="s">
        <v>137</v>
      </c>
      <c r="P61" s="533"/>
      <c r="Q61" s="534"/>
      <c r="R61" s="15"/>
      <c r="S61" s="15"/>
      <c r="T61" s="15"/>
      <c r="AB61" s="246"/>
    </row>
    <row r="62" spans="2:28" ht="15.75">
      <c r="B62" s="11"/>
      <c r="E62" s="449" t="s">
        <v>138</v>
      </c>
      <c r="F62" s="450" t="s">
        <v>19</v>
      </c>
      <c r="G62" s="665">
        <f>(G61*F67)+(F66*G52*(1-G77))</f>
        <v>7.9935223362432389E-2</v>
      </c>
      <c r="I62" s="12" t="s">
        <v>12</v>
      </c>
      <c r="J62" s="246"/>
      <c r="K62" s="15"/>
      <c r="L62" s="298"/>
      <c r="M62" s="374"/>
      <c r="N62" s="15"/>
      <c r="O62" s="535" t="s">
        <v>139</v>
      </c>
      <c r="P62" s="23"/>
      <c r="Q62" s="511" t="s">
        <v>140</v>
      </c>
      <c r="R62" s="15"/>
      <c r="S62" s="12" t="s">
        <v>12</v>
      </c>
      <c r="T62" s="15"/>
      <c r="U62" s="15"/>
      <c r="AB62" s="246"/>
    </row>
    <row r="63" spans="2:28" ht="16.5" thickBot="1">
      <c r="B63" s="11"/>
      <c r="C63" s="369"/>
      <c r="E63" s="486" t="s">
        <v>141</v>
      </c>
      <c r="F63" s="466" t="s">
        <v>47</v>
      </c>
      <c r="G63" s="490">
        <v>0</v>
      </c>
      <c r="H63" s="288"/>
      <c r="I63" s="12" t="s">
        <v>12</v>
      </c>
      <c r="J63" s="246"/>
      <c r="K63" s="15"/>
      <c r="L63" s="298"/>
      <c r="M63" s="375"/>
      <c r="N63" s="15"/>
      <c r="O63" s="465" t="s">
        <v>142</v>
      </c>
      <c r="P63" s="456" t="s">
        <v>47</v>
      </c>
      <c r="Q63" s="588">
        <v>0</v>
      </c>
      <c r="R63" s="15"/>
      <c r="S63" s="12" t="s">
        <v>12</v>
      </c>
      <c r="T63" s="15"/>
      <c r="U63" s="385"/>
      <c r="AB63" s="246"/>
    </row>
    <row r="64" spans="2:28" ht="16.5" thickBot="1">
      <c r="B64" s="11"/>
      <c r="J64" s="246"/>
      <c r="K64" s="15"/>
      <c r="L64" s="298"/>
      <c r="U64" s="385"/>
      <c r="AB64" s="246"/>
    </row>
    <row r="65" spans="2:28" ht="16.5" thickBot="1">
      <c r="B65" s="298"/>
      <c r="E65" s="314" t="s">
        <v>143</v>
      </c>
      <c r="F65" s="22"/>
      <c r="G65" s="315"/>
      <c r="J65" s="246"/>
      <c r="L65" s="298"/>
      <c r="M65" s="15"/>
      <c r="N65" s="15"/>
      <c r="O65" s="5" t="s">
        <v>144</v>
      </c>
      <c r="P65" s="347" t="s">
        <v>6</v>
      </c>
      <c r="Q65" s="411" t="s">
        <v>7</v>
      </c>
      <c r="R65" s="15"/>
      <c r="S65" s="15"/>
      <c r="T65" s="15"/>
      <c r="U65" s="378"/>
      <c r="AB65" s="246"/>
    </row>
    <row r="66" spans="2:28" ht="15.75">
      <c r="B66" s="298"/>
      <c r="E66" s="449" t="s">
        <v>145</v>
      </c>
      <c r="F66" s="574">
        <f>G66/$G$69</f>
        <v>0.44989592625631875</v>
      </c>
      <c r="G66" s="491">
        <f>'Cash Flow'!F88</f>
        <v>5561185.8997018216</v>
      </c>
      <c r="I66" s="12" t="s">
        <v>12</v>
      </c>
      <c r="J66" s="246"/>
      <c r="K66" s="15"/>
      <c r="L66" s="298"/>
      <c r="M66" s="15"/>
      <c r="N66" s="15"/>
      <c r="O66" s="536" t="s">
        <v>146</v>
      </c>
      <c r="P66" s="527"/>
      <c r="Q66" s="528"/>
      <c r="R66" s="15"/>
      <c r="S66" s="15"/>
      <c r="T66" s="15"/>
      <c r="U66" s="15"/>
      <c r="AB66" s="246"/>
    </row>
    <row r="67" spans="2:28" ht="15.75">
      <c r="B67" s="298"/>
      <c r="E67" s="451" t="s">
        <v>147</v>
      </c>
      <c r="F67" s="573">
        <f>G67/$G$69</f>
        <v>0.55010407374368131</v>
      </c>
      <c r="G67" s="467">
        <f>-'Cash Flow'!$F$55</f>
        <v>6799863.7901178924</v>
      </c>
      <c r="I67" s="12" t="s">
        <v>12</v>
      </c>
      <c r="J67" s="246"/>
      <c r="L67" s="298"/>
      <c r="M67" s="375"/>
      <c r="N67" s="15"/>
      <c r="O67" s="451" t="s">
        <v>148</v>
      </c>
      <c r="P67" s="7" t="s">
        <v>107</v>
      </c>
      <c r="Q67" s="584">
        <v>0</v>
      </c>
      <c r="R67" s="15"/>
      <c r="S67" s="12" t="s">
        <v>12</v>
      </c>
      <c r="T67" s="15"/>
      <c r="U67" s="15"/>
      <c r="AB67" s="246"/>
    </row>
    <row r="68" spans="2:28" ht="16.5" thickBot="1">
      <c r="B68" s="11"/>
      <c r="E68" s="492" t="s">
        <v>149</v>
      </c>
      <c r="F68" s="575">
        <f>G68/$G$69</f>
        <v>0</v>
      </c>
      <c r="G68" s="493">
        <f>G24</f>
        <v>0</v>
      </c>
      <c r="I68" s="12" t="s">
        <v>12</v>
      </c>
      <c r="J68" s="246"/>
      <c r="L68" s="298"/>
      <c r="M68" s="15"/>
      <c r="N68" s="15"/>
      <c r="O68" s="455" t="s">
        <v>150</v>
      </c>
      <c r="P68" s="466" t="s">
        <v>47</v>
      </c>
      <c r="Q68" s="537">
        <f>-'Cash Flow'!$G$91/12*$Q$67</f>
        <v>0</v>
      </c>
      <c r="R68" s="15"/>
      <c r="S68" s="12" t="s">
        <v>12</v>
      </c>
      <c r="T68" s="15"/>
      <c r="U68" s="15"/>
      <c r="AB68" s="246"/>
    </row>
    <row r="69" spans="2:28" ht="17.25" thickTop="1" thickBot="1">
      <c r="B69" s="298"/>
      <c r="E69" s="494" t="s">
        <v>44</v>
      </c>
      <c r="F69" s="462" t="s">
        <v>47</v>
      </c>
      <c r="G69" s="495">
        <f>SUM(G66:G68)</f>
        <v>12361049.689819714</v>
      </c>
      <c r="I69" s="12" t="s">
        <v>12</v>
      </c>
      <c r="J69" s="246"/>
      <c r="L69" s="298"/>
      <c r="M69" s="15"/>
      <c r="N69" s="15"/>
      <c r="O69" s="536" t="s">
        <v>151</v>
      </c>
      <c r="P69" s="527"/>
      <c r="Q69" s="538"/>
      <c r="R69" s="15"/>
      <c r="S69" s="15"/>
      <c r="T69" s="15"/>
      <c r="U69" s="15"/>
      <c r="AB69" s="246"/>
    </row>
    <row r="70" spans="2:28" ht="16.5" thickBot="1">
      <c r="B70" s="11"/>
      <c r="J70" s="246"/>
      <c r="L70" s="298"/>
      <c r="M70" s="375"/>
      <c r="N70" s="15"/>
      <c r="O70" s="474" t="s">
        <v>152</v>
      </c>
      <c r="P70" s="7" t="s">
        <v>107</v>
      </c>
      <c r="Q70" s="584">
        <v>0</v>
      </c>
      <c r="R70" s="15"/>
      <c r="S70" s="12" t="s">
        <v>12</v>
      </c>
      <c r="T70" s="15"/>
      <c r="AB70" s="246"/>
    </row>
    <row r="71" spans="2:28" ht="16.5" thickBot="1">
      <c r="B71" s="11"/>
      <c r="E71" s="5" t="s">
        <v>153</v>
      </c>
      <c r="F71" s="347" t="s">
        <v>6</v>
      </c>
      <c r="G71" s="411" t="s">
        <v>7</v>
      </c>
      <c r="H71" s="293"/>
      <c r="I71" s="17"/>
      <c r="J71" s="246"/>
      <c r="L71" s="298"/>
      <c r="M71" s="15"/>
      <c r="N71" s="15"/>
      <c r="O71" s="465" t="s">
        <v>154</v>
      </c>
      <c r="P71" s="466" t="s">
        <v>47</v>
      </c>
      <c r="Q71" s="537">
        <f>-(AVERAGE('Cash Flow'!G39:AJ39)/12*$Q$70)</f>
        <v>0</v>
      </c>
      <c r="R71" s="15"/>
      <c r="S71" s="12" t="s">
        <v>12</v>
      </c>
      <c r="T71" s="15"/>
      <c r="U71" s="15"/>
      <c r="AB71" s="246"/>
    </row>
    <row r="72" spans="2:28" ht="16.5" thickBot="1">
      <c r="B72" s="11"/>
      <c r="C72" s="373"/>
      <c r="E72" s="438" t="s">
        <v>155</v>
      </c>
      <c r="F72" s="525"/>
      <c r="G72" s="547" t="s">
        <v>83</v>
      </c>
      <c r="H72" s="282"/>
      <c r="I72" s="12" t="s">
        <v>12</v>
      </c>
      <c r="J72" s="246"/>
      <c r="L72" s="298"/>
      <c r="M72" s="375"/>
      <c r="N72" s="15"/>
      <c r="O72" s="540" t="s">
        <v>156</v>
      </c>
      <c r="P72" s="439" t="s">
        <v>19</v>
      </c>
      <c r="Q72" s="539">
        <v>0.02</v>
      </c>
      <c r="R72" s="15"/>
      <c r="S72" s="12" t="s">
        <v>12</v>
      </c>
      <c r="T72" s="15"/>
      <c r="AB72" s="246"/>
    </row>
    <row r="73" spans="2:28" ht="16.5" thickBot="1">
      <c r="B73" s="11"/>
      <c r="C73" s="369"/>
      <c r="D73" s="1">
        <f>IF(OR(G73&lt;0,G73=""),1,0)</f>
        <v>0</v>
      </c>
      <c r="E73" s="458" t="s">
        <v>157</v>
      </c>
      <c r="F73" s="450" t="s">
        <v>19</v>
      </c>
      <c r="G73" s="671">
        <v>0.21</v>
      </c>
      <c r="H73" s="270"/>
      <c r="I73" s="12" t="s">
        <v>12</v>
      </c>
      <c r="J73" s="403"/>
      <c r="L73" s="11"/>
      <c r="AB73" s="246"/>
    </row>
    <row r="74" spans="2:28" ht="16.5" thickBot="1">
      <c r="B74" s="11"/>
      <c r="C74" s="373"/>
      <c r="E74" s="513" t="s">
        <v>75</v>
      </c>
      <c r="F74" s="549"/>
      <c r="G74" s="517" t="s">
        <v>76</v>
      </c>
      <c r="H74" s="282"/>
      <c r="I74" s="12" t="s">
        <v>12</v>
      </c>
      <c r="J74" s="246"/>
      <c r="L74" s="11"/>
      <c r="M74" s="15"/>
      <c r="N74" s="15"/>
      <c r="O74" s="348" t="s">
        <v>158</v>
      </c>
      <c r="P74" s="432" t="s">
        <v>159</v>
      </c>
      <c r="Q74" s="432"/>
      <c r="R74" s="432"/>
      <c r="S74" s="432"/>
      <c r="T74" s="432"/>
      <c r="U74" s="432"/>
      <c r="V74" s="432"/>
      <c r="W74" s="432"/>
      <c r="X74" s="432"/>
      <c r="Y74" s="432"/>
      <c r="Z74" s="315"/>
      <c r="AB74" s="246"/>
    </row>
    <row r="75" spans="2:28" ht="15.75">
      <c r="B75" s="11"/>
      <c r="C75" s="369"/>
      <c r="D75" s="1">
        <f>IF(OR(G75&lt;0,G75=""),1,0)</f>
        <v>0</v>
      </c>
      <c r="E75" s="458" t="s">
        <v>160</v>
      </c>
      <c r="F75" s="450" t="s">
        <v>19</v>
      </c>
      <c r="G75" s="672">
        <v>0.09</v>
      </c>
      <c r="H75" s="270"/>
      <c r="I75" s="12" t="s">
        <v>12</v>
      </c>
      <c r="J75" s="403"/>
      <c r="L75" s="11"/>
      <c r="M75" s="373"/>
      <c r="N75" s="15"/>
      <c r="O75" s="515" t="s">
        <v>161</v>
      </c>
      <c r="P75" s="496" t="s">
        <v>102</v>
      </c>
      <c r="S75" s="419" t="s">
        <v>12</v>
      </c>
      <c r="Z75" s="246"/>
      <c r="AB75" s="246"/>
    </row>
    <row r="76" spans="2:28" ht="16.5" thickBot="1">
      <c r="B76" s="11"/>
      <c r="C76" s="373"/>
      <c r="E76" s="513" t="s">
        <v>162</v>
      </c>
      <c r="F76" s="549"/>
      <c r="G76" s="517" t="s">
        <v>76</v>
      </c>
      <c r="H76" s="282"/>
      <c r="I76" s="12" t="s">
        <v>12</v>
      </c>
      <c r="J76" s="403"/>
      <c r="L76" s="11"/>
      <c r="M76" s="375"/>
      <c r="O76" s="455" t="s">
        <v>163</v>
      </c>
      <c r="P76" s="541">
        <v>0.2</v>
      </c>
      <c r="S76" s="12" t="s">
        <v>12</v>
      </c>
      <c r="Z76" s="246"/>
      <c r="AB76" s="246"/>
    </row>
    <row r="77" spans="2:28" ht="16.5" thickBot="1">
      <c r="B77" s="11"/>
      <c r="E77" s="550" t="s">
        <v>164</v>
      </c>
      <c r="F77" s="551" t="s">
        <v>19</v>
      </c>
      <c r="G77" s="552">
        <f>IF($G$72="Yes",$G$73+(G75*(1-$G$73)),0%)</f>
        <v>0.28110000000000002</v>
      </c>
      <c r="H77" s="295"/>
      <c r="I77" s="12" t="s">
        <v>12</v>
      </c>
      <c r="J77" s="403"/>
      <c r="L77" s="11"/>
      <c r="O77" s="296"/>
      <c r="P77" s="40"/>
      <c r="Q77" s="40"/>
      <c r="R77" s="40"/>
      <c r="S77" s="40"/>
      <c r="T77" s="40"/>
      <c r="U77" s="40"/>
      <c r="V77" s="40"/>
      <c r="W77" s="40"/>
      <c r="X77" s="40"/>
      <c r="Y77" s="40"/>
      <c r="Z77" s="305"/>
      <c r="AB77" s="246"/>
    </row>
    <row r="78" spans="2:28" ht="16.5" thickBot="1">
      <c r="B78" s="11"/>
      <c r="E78" s="455" t="s">
        <v>158</v>
      </c>
      <c r="F78" s="498"/>
      <c r="G78" s="499" t="s">
        <v>165</v>
      </c>
      <c r="H78" s="55"/>
      <c r="I78" s="12" t="s">
        <v>12</v>
      </c>
      <c r="J78" s="246"/>
      <c r="L78" s="11"/>
      <c r="M78" s="15"/>
      <c r="N78" s="15"/>
      <c r="O78" s="542" t="s">
        <v>166</v>
      </c>
      <c r="P78" s="543" t="s">
        <v>167</v>
      </c>
      <c r="Q78" s="648" t="s">
        <v>168</v>
      </c>
      <c r="R78" s="775" t="s">
        <v>169</v>
      </c>
      <c r="S78" s="776"/>
      <c r="T78" s="777"/>
      <c r="U78" s="543" t="s">
        <v>170</v>
      </c>
      <c r="V78" s="543" t="s">
        <v>171</v>
      </c>
      <c r="W78" s="543" t="s">
        <v>172</v>
      </c>
      <c r="X78" s="543" t="s">
        <v>173</v>
      </c>
      <c r="Y78" s="543" t="s">
        <v>174</v>
      </c>
      <c r="Z78" s="544" t="s">
        <v>175</v>
      </c>
      <c r="AB78" s="246"/>
    </row>
    <row r="79" spans="2:28" ht="16.5" thickBot="1">
      <c r="B79" s="11"/>
      <c r="J79" s="246"/>
      <c r="L79" s="11">
        <f>IF(AND($G$72="Yes",$G$14="Simple"),1,0)</f>
        <v>0</v>
      </c>
      <c r="M79" s="15"/>
      <c r="N79" s="230">
        <f>IF(AND($G$14="Simple",SUM(P79:Z79)=1),1,IF(AND($G$14="Simple",SUM(P79:Z79)&lt;&gt;1),2,0))</f>
        <v>0</v>
      </c>
      <c r="O79" s="545" t="str">
        <f t="shared" ref="O79:O84" si="0">E15</f>
        <v>Total Installed Cost</v>
      </c>
      <c r="P79" s="590">
        <v>0.94</v>
      </c>
      <c r="Q79" s="649">
        <v>0</v>
      </c>
      <c r="R79" s="778">
        <v>1.4999999999999999E-2</v>
      </c>
      <c r="S79" s="779"/>
      <c r="T79" s="780"/>
      <c r="U79" s="590">
        <v>0.01</v>
      </c>
      <c r="V79" s="590">
        <v>0</v>
      </c>
      <c r="W79" s="590">
        <v>0</v>
      </c>
      <c r="X79" s="590">
        <v>0.01</v>
      </c>
      <c r="Y79" s="590">
        <v>0</v>
      </c>
      <c r="Z79" s="593">
        <v>2.5000000000000001E-2</v>
      </c>
      <c r="AB79" s="294" t="s">
        <v>12</v>
      </c>
    </row>
    <row r="80" spans="2:28" ht="16.5" thickBot="1">
      <c r="B80" s="296"/>
      <c r="C80" s="40"/>
      <c r="D80" s="40"/>
      <c r="E80" s="40"/>
      <c r="F80" s="40"/>
      <c r="G80" s="40"/>
      <c r="H80" s="40"/>
      <c r="I80" s="40"/>
      <c r="J80" s="305"/>
      <c r="L80" s="11">
        <f>IF(AND($G$72="Yes",$G$14="Intermediate"),1,0)</f>
        <v>1</v>
      </c>
      <c r="M80" s="15"/>
      <c r="N80" s="230">
        <f>IF(AND($G$14="Intermediate",SUM(P80:Z80)=1),1,IF(AND($G$14="Intermediate",SUM(P80:Z80)&lt;&gt;1),2,0))</f>
        <v>1</v>
      </c>
      <c r="O80" s="595" t="str">
        <f t="shared" si="0"/>
        <v>Generation Equipment</v>
      </c>
      <c r="P80" s="725">
        <v>0.96</v>
      </c>
      <c r="Q80" s="659">
        <v>0</v>
      </c>
      <c r="R80" s="793">
        <v>0.02</v>
      </c>
      <c r="S80" s="794"/>
      <c r="T80" s="795"/>
      <c r="U80" s="653">
        <v>0</v>
      </c>
      <c r="V80" s="653">
        <v>0</v>
      </c>
      <c r="W80" s="653">
        <v>0</v>
      </c>
      <c r="X80" s="653">
        <v>0.02</v>
      </c>
      <c r="Y80" s="653">
        <v>0</v>
      </c>
      <c r="Z80" s="684">
        <v>0</v>
      </c>
      <c r="AB80" s="294" t="s">
        <v>12</v>
      </c>
    </row>
    <row r="81" spans="2:28" ht="15.75">
      <c r="L81" s="11">
        <f>IF(AND($G$72="Yes",$G$14="Intermediate"),1,0)</f>
        <v>1</v>
      </c>
      <c r="M81" s="15"/>
      <c r="N81" s="230">
        <f>IF(AND($G$14="Intermediate",SUM(P81:Z81)=1),1,IF(AND($G$14="Intermediate",SUM(P81:Z81)&lt;&gt;1),2,0))</f>
        <v>1</v>
      </c>
      <c r="O81" s="596" t="str">
        <f t="shared" si="0"/>
        <v>Balance of Plant</v>
      </c>
      <c r="P81" s="724">
        <v>0.5</v>
      </c>
      <c r="Q81" s="653">
        <v>0</v>
      </c>
      <c r="R81" s="787">
        <v>0</v>
      </c>
      <c r="S81" s="788"/>
      <c r="T81" s="789"/>
      <c r="U81" s="653">
        <v>0</v>
      </c>
      <c r="V81" s="653">
        <v>0</v>
      </c>
      <c r="W81" s="653">
        <v>0.5</v>
      </c>
      <c r="X81" s="653">
        <v>0</v>
      </c>
      <c r="Y81" s="653">
        <v>0</v>
      </c>
      <c r="Z81" s="684">
        <v>0</v>
      </c>
      <c r="AB81" s="294" t="s">
        <v>12</v>
      </c>
    </row>
    <row r="82" spans="2:28" ht="15.75">
      <c r="L82" s="11">
        <f>IF(AND($G$72="Yes",$G$14="Intermediate"),1,0)</f>
        <v>1</v>
      </c>
      <c r="M82" s="15"/>
      <c r="N82" s="230">
        <f>IF(AND($G$14="Intermediate",SUM(P82:Z82)=1),1,IF(AND($G$14="Intermediate",SUM(P82:Z82)&lt;&gt;1),2,0))</f>
        <v>1</v>
      </c>
      <c r="O82" s="596" t="str">
        <f t="shared" si="0"/>
        <v>Interconnection</v>
      </c>
      <c r="P82" s="724">
        <v>0</v>
      </c>
      <c r="Q82" s="653">
        <v>0</v>
      </c>
      <c r="R82" s="787">
        <v>0</v>
      </c>
      <c r="S82" s="788"/>
      <c r="T82" s="789"/>
      <c r="U82" s="653">
        <v>0</v>
      </c>
      <c r="V82" s="653">
        <v>0</v>
      </c>
      <c r="W82" s="653">
        <v>1</v>
      </c>
      <c r="X82" s="653">
        <v>0</v>
      </c>
      <c r="Y82" s="653">
        <v>0</v>
      </c>
      <c r="Z82" s="684">
        <v>0</v>
      </c>
      <c r="AB82" s="294" t="s">
        <v>12</v>
      </c>
    </row>
    <row r="83" spans="2:28" ht="15.75">
      <c r="L83" s="11">
        <f>IF(AND($G$72="Yes",$G$14="Intermediate"),1,0)</f>
        <v>1</v>
      </c>
      <c r="M83" s="15"/>
      <c r="N83" s="230">
        <f>IF(AND($G$14="Intermediate",SUM(P83:Z83)=1),1,IF(AND($G$14="Intermediate",SUM(P83:Z83)&lt;&gt;1),2,0))</f>
        <v>1</v>
      </c>
      <c r="O83" s="596" t="str">
        <f t="shared" si="0"/>
        <v>Development Costs &amp; Fee</v>
      </c>
      <c r="P83" s="724">
        <v>0.8</v>
      </c>
      <c r="Q83" s="653">
        <v>0</v>
      </c>
      <c r="R83" s="787">
        <v>0</v>
      </c>
      <c r="S83" s="788"/>
      <c r="T83" s="789"/>
      <c r="U83" s="653">
        <v>0</v>
      </c>
      <c r="V83" s="653">
        <v>0</v>
      </c>
      <c r="W83" s="653">
        <v>0.05</v>
      </c>
      <c r="X83" s="653">
        <v>0.05</v>
      </c>
      <c r="Y83" s="653">
        <v>0</v>
      </c>
      <c r="Z83" s="684">
        <v>0.1</v>
      </c>
      <c r="AB83" s="294" t="s">
        <v>12</v>
      </c>
    </row>
    <row r="84" spans="2:28" ht="16.5" thickBot="1">
      <c r="L84" s="11">
        <f>IF(AND($G$72="Yes",$G$14="Intermediate"),1,0)</f>
        <v>1</v>
      </c>
      <c r="M84" s="15"/>
      <c r="N84" s="230">
        <f>IF(AND($G$14="Intermediate",SUM(P84:Z84)=1),1,IF(AND($G$14="Intermediate",SUM(P84:Z84)&lt;&gt;1),2,0))</f>
        <v>1</v>
      </c>
      <c r="O84" s="597" t="str">
        <f t="shared" si="0"/>
        <v>Reserves &amp; Financing Costs</v>
      </c>
      <c r="P84" s="729">
        <v>0</v>
      </c>
      <c r="Q84" s="654">
        <v>0</v>
      </c>
      <c r="R84" s="790">
        <v>0</v>
      </c>
      <c r="S84" s="791"/>
      <c r="T84" s="792"/>
      <c r="U84" s="653">
        <v>0</v>
      </c>
      <c r="V84" s="653">
        <v>0</v>
      </c>
      <c r="W84" s="653">
        <v>0</v>
      </c>
      <c r="X84" s="653">
        <v>0.5</v>
      </c>
      <c r="Y84" s="653">
        <v>0</v>
      </c>
      <c r="Z84" s="684">
        <v>0.5</v>
      </c>
      <c r="AB84" s="294" t="s">
        <v>12</v>
      </c>
    </row>
    <row r="85" spans="2:28" ht="16.5" thickBot="1">
      <c r="L85" s="296">
        <f>IF(AND($G$72="Yes",$G$14="Complex"),1,0)</f>
        <v>0</v>
      </c>
      <c r="M85" s="647"/>
      <c r="N85" s="647"/>
      <c r="O85" s="546" t="s">
        <v>176</v>
      </c>
      <c r="P85" s="591"/>
      <c r="Q85" s="592"/>
      <c r="R85" s="769"/>
      <c r="S85" s="770"/>
      <c r="T85" s="771"/>
      <c r="U85" s="591"/>
      <c r="V85" s="591"/>
      <c r="W85" s="591"/>
      <c r="X85" s="591"/>
      <c r="Y85" s="591"/>
      <c r="Z85" s="594"/>
      <c r="AA85" s="40"/>
      <c r="AB85" s="421" t="s">
        <v>12</v>
      </c>
    </row>
    <row r="86" spans="2:28" ht="15.75">
      <c r="M86" s="15"/>
      <c r="N86" s="15"/>
      <c r="O86" s="15"/>
      <c r="P86" s="15"/>
      <c r="Q86" s="15"/>
      <c r="R86" s="15"/>
      <c r="S86" s="15"/>
      <c r="T86" s="15"/>
      <c r="U86" s="15"/>
    </row>
    <row r="87" spans="2:28" ht="16.5" thickBot="1">
      <c r="M87" s="15"/>
      <c r="N87" s="15"/>
      <c r="O87" s="15"/>
      <c r="P87" s="15"/>
      <c r="Q87" s="15"/>
      <c r="R87" s="15"/>
      <c r="S87" s="15"/>
      <c r="T87" s="15"/>
      <c r="U87" s="15"/>
    </row>
    <row r="88" spans="2:28" ht="15.75">
      <c r="B88" s="351"/>
      <c r="C88" s="352"/>
      <c r="D88" s="352"/>
      <c r="E88" s="363" t="s">
        <v>231</v>
      </c>
      <c r="F88" s="352"/>
      <c r="G88" s="352"/>
      <c r="H88" s="352"/>
      <c r="I88" s="352"/>
      <c r="J88" s="352"/>
      <c r="K88" s="352"/>
      <c r="L88" s="352"/>
      <c r="M88" s="353"/>
      <c r="N88" s="353"/>
      <c r="O88" s="353"/>
      <c r="P88" s="353"/>
      <c r="Q88" s="353"/>
      <c r="R88" s="353"/>
      <c r="S88" s="353"/>
      <c r="T88" s="353"/>
      <c r="U88" s="353"/>
      <c r="V88" s="352"/>
      <c r="W88" s="352"/>
      <c r="X88" s="352"/>
      <c r="Y88" s="352"/>
      <c r="Z88" s="352"/>
      <c r="AA88" s="352"/>
      <c r="AB88" s="354"/>
    </row>
    <row r="89" spans="2:28" ht="15.75">
      <c r="B89" s="355"/>
      <c r="C89" s="349"/>
      <c r="D89" s="349"/>
      <c r="E89" s="356" t="s">
        <v>232</v>
      </c>
      <c r="F89" s="349"/>
      <c r="G89" s="349"/>
      <c r="H89" s="349"/>
      <c r="I89" s="349"/>
      <c r="J89" s="349"/>
      <c r="K89" s="349"/>
      <c r="L89" s="349"/>
      <c r="M89" s="350"/>
      <c r="N89" s="350"/>
      <c r="O89" s="350"/>
      <c r="P89" s="350"/>
      <c r="Q89" s="350"/>
      <c r="R89" s="350"/>
      <c r="S89" s="350"/>
      <c r="T89" s="350"/>
      <c r="U89" s="350"/>
      <c r="V89" s="349"/>
      <c r="W89" s="349"/>
      <c r="X89" s="349"/>
      <c r="Y89" s="349"/>
      <c r="Z89" s="349"/>
      <c r="AA89" s="349"/>
      <c r="AB89" s="357"/>
    </row>
    <row r="90" spans="2:28" ht="15.75">
      <c r="B90" s="355"/>
      <c r="C90" s="349"/>
      <c r="D90" s="349"/>
      <c r="E90" s="356" t="s">
        <v>233</v>
      </c>
      <c r="F90" s="349"/>
      <c r="G90" s="349"/>
      <c r="H90" s="349"/>
      <c r="I90" s="349"/>
      <c r="J90" s="349"/>
      <c r="K90" s="349"/>
      <c r="L90" s="349"/>
      <c r="M90" s="350"/>
      <c r="N90" s="350"/>
      <c r="O90" s="350"/>
      <c r="P90" s="350"/>
      <c r="Q90" s="350"/>
      <c r="R90" s="350"/>
      <c r="S90" s="350"/>
      <c r="T90" s="350"/>
      <c r="U90" s="350"/>
      <c r="V90" s="349"/>
      <c r="W90" s="349"/>
      <c r="X90" s="349"/>
      <c r="Y90" s="349"/>
      <c r="Z90" s="349"/>
      <c r="AA90" s="349"/>
      <c r="AB90" s="357"/>
    </row>
    <row r="91" spans="2:28" ht="15.75">
      <c r="B91" s="355"/>
      <c r="C91" s="349"/>
      <c r="D91" s="349"/>
      <c r="E91" s="356" t="s">
        <v>234</v>
      </c>
      <c r="F91" s="349"/>
      <c r="G91" s="349"/>
      <c r="H91" s="349"/>
      <c r="I91" s="349"/>
      <c r="J91" s="349"/>
      <c r="K91" s="349"/>
      <c r="L91" s="349"/>
      <c r="M91" s="350"/>
      <c r="N91" s="350"/>
      <c r="O91" s="350"/>
      <c r="P91" s="350"/>
      <c r="Q91" s="350"/>
      <c r="R91" s="350"/>
      <c r="S91" s="350"/>
      <c r="T91" s="350"/>
      <c r="U91" s="350"/>
      <c r="V91" s="349"/>
      <c r="W91" s="349"/>
      <c r="X91" s="349"/>
      <c r="Y91" s="349"/>
      <c r="Z91" s="349"/>
      <c r="AA91" s="349"/>
      <c r="AB91" s="357"/>
    </row>
    <row r="92" spans="2:28" ht="15.75">
      <c r="B92" s="355"/>
      <c r="C92" s="349"/>
      <c r="D92" s="349"/>
      <c r="E92" s="356" t="s">
        <v>235</v>
      </c>
      <c r="F92" s="349"/>
      <c r="G92" s="349"/>
      <c r="H92" s="349"/>
      <c r="I92" s="349"/>
      <c r="J92" s="349"/>
      <c r="K92" s="349"/>
      <c r="L92" s="349"/>
      <c r="M92" s="350"/>
      <c r="N92" s="350"/>
      <c r="O92" s="350"/>
      <c r="P92" s="350"/>
      <c r="Q92" s="350"/>
      <c r="R92" s="350"/>
      <c r="S92" s="350"/>
      <c r="T92" s="350"/>
      <c r="U92" s="350"/>
      <c r="V92" s="349"/>
      <c r="W92" s="349"/>
      <c r="X92" s="349"/>
      <c r="Y92" s="349"/>
      <c r="Z92" s="349"/>
      <c r="AA92" s="349"/>
      <c r="AB92" s="357"/>
    </row>
    <row r="93" spans="2:28" ht="15.75">
      <c r="B93" s="355"/>
      <c r="C93" s="349"/>
      <c r="D93" s="349"/>
      <c r="E93" s="356" t="s">
        <v>236</v>
      </c>
      <c r="F93" s="349"/>
      <c r="G93" s="349"/>
      <c r="H93" s="349"/>
      <c r="I93" s="349"/>
      <c r="J93" s="349"/>
      <c r="K93" s="349"/>
      <c r="L93" s="349"/>
      <c r="M93" s="350"/>
      <c r="N93" s="350"/>
      <c r="O93" s="350"/>
      <c r="P93" s="350"/>
      <c r="Q93" s="350"/>
      <c r="R93" s="350"/>
      <c r="S93" s="350"/>
      <c r="T93" s="350"/>
      <c r="U93" s="350"/>
      <c r="V93" s="349"/>
      <c r="W93" s="349"/>
      <c r="X93" s="349"/>
      <c r="Y93" s="349"/>
      <c r="Z93" s="349"/>
      <c r="AA93" s="349"/>
      <c r="AB93" s="357"/>
    </row>
    <row r="94" spans="2:28" ht="15.75">
      <c r="B94" s="355"/>
      <c r="C94" s="349"/>
      <c r="D94" s="349"/>
      <c r="E94" s="356" t="s">
        <v>237</v>
      </c>
      <c r="F94" s="349"/>
      <c r="G94" s="349"/>
      <c r="H94" s="349"/>
      <c r="I94" s="349"/>
      <c r="J94" s="349"/>
      <c r="K94" s="349"/>
      <c r="L94" s="349"/>
      <c r="M94" s="350"/>
      <c r="N94" s="350"/>
      <c r="O94" s="350"/>
      <c r="P94" s="350"/>
      <c r="Q94" s="350"/>
      <c r="R94" s="350"/>
      <c r="S94" s="350"/>
      <c r="T94" s="350"/>
      <c r="U94" s="350"/>
      <c r="V94" s="349"/>
      <c r="W94" s="349"/>
      <c r="X94" s="349"/>
      <c r="Y94" s="349"/>
      <c r="Z94" s="349"/>
      <c r="AA94" s="349"/>
      <c r="AB94" s="357"/>
    </row>
    <row r="95" spans="2:28" ht="15.75">
      <c r="B95" s="355"/>
      <c r="C95" s="349"/>
      <c r="D95" s="349"/>
      <c r="E95" s="356" t="s">
        <v>238</v>
      </c>
      <c r="F95" s="349"/>
      <c r="G95" s="349"/>
      <c r="H95" s="349"/>
      <c r="I95" s="349"/>
      <c r="J95" s="349"/>
      <c r="K95" s="350"/>
      <c r="L95" s="350"/>
      <c r="M95" s="350"/>
      <c r="N95" s="350"/>
      <c r="O95" s="350"/>
      <c r="P95" s="350"/>
      <c r="Q95" s="350"/>
      <c r="R95" s="350"/>
      <c r="S95" s="350"/>
      <c r="T95" s="350"/>
      <c r="U95" s="350"/>
      <c r="V95" s="349"/>
      <c r="W95" s="349"/>
      <c r="X95" s="349"/>
      <c r="Y95" s="349"/>
      <c r="Z95" s="349"/>
      <c r="AA95" s="349"/>
      <c r="AB95" s="357"/>
    </row>
    <row r="96" spans="2:28" ht="15.75">
      <c r="B96" s="355"/>
      <c r="C96" s="349"/>
      <c r="D96" s="349"/>
      <c r="E96" s="356" t="s">
        <v>239</v>
      </c>
      <c r="F96" s="349"/>
      <c r="G96" s="349"/>
      <c r="H96" s="349"/>
      <c r="I96" s="349"/>
      <c r="J96" s="349"/>
      <c r="K96" s="350"/>
      <c r="L96" s="350"/>
      <c r="M96" s="350"/>
      <c r="N96" s="350"/>
      <c r="O96" s="350"/>
      <c r="P96" s="350"/>
      <c r="Q96" s="350"/>
      <c r="R96" s="350"/>
      <c r="S96" s="350"/>
      <c r="T96" s="350"/>
      <c r="U96" s="350"/>
      <c r="V96" s="349"/>
      <c r="W96" s="349"/>
      <c r="X96" s="349"/>
      <c r="Y96" s="349"/>
      <c r="Z96" s="349"/>
      <c r="AA96" s="349"/>
      <c r="AB96" s="357"/>
    </row>
    <row r="97" spans="1:29" ht="15.75">
      <c r="B97" s="355"/>
      <c r="C97" s="349"/>
      <c r="D97" s="349"/>
      <c r="E97" s="356" t="s">
        <v>240</v>
      </c>
      <c r="F97" s="349"/>
      <c r="G97" s="349"/>
      <c r="H97" s="349"/>
      <c r="I97" s="349"/>
      <c r="J97" s="349"/>
      <c r="K97" s="350"/>
      <c r="L97" s="350"/>
      <c r="M97" s="350"/>
      <c r="N97" s="350"/>
      <c r="O97" s="350"/>
      <c r="P97" s="350"/>
      <c r="Q97" s="350"/>
      <c r="R97" s="350"/>
      <c r="S97" s="350"/>
      <c r="T97" s="350"/>
      <c r="U97" s="350"/>
      <c r="V97" s="349"/>
      <c r="W97" s="349"/>
      <c r="X97" s="349"/>
      <c r="Y97" s="349"/>
      <c r="Z97" s="349"/>
      <c r="AA97" s="349"/>
      <c r="AB97" s="357"/>
    </row>
    <row r="98" spans="1:29" ht="16.5" thickBot="1">
      <c r="B98" s="358"/>
      <c r="C98" s="359"/>
      <c r="D98" s="359"/>
      <c r="E98" s="360" t="s">
        <v>241</v>
      </c>
      <c r="F98" s="359"/>
      <c r="G98" s="359"/>
      <c r="H98" s="359"/>
      <c r="I98" s="359"/>
      <c r="J98" s="359"/>
      <c r="K98" s="361"/>
      <c r="L98" s="361"/>
      <c r="M98" s="361"/>
      <c r="N98" s="361"/>
      <c r="O98" s="361"/>
      <c r="P98" s="361"/>
      <c r="Q98" s="361"/>
      <c r="R98" s="361"/>
      <c r="S98" s="361"/>
      <c r="T98" s="361"/>
      <c r="U98" s="361"/>
      <c r="V98" s="359"/>
      <c r="W98" s="359"/>
      <c r="X98" s="359"/>
      <c r="Y98" s="359"/>
      <c r="Z98" s="359"/>
      <c r="AA98" s="359"/>
      <c r="AB98" s="362"/>
    </row>
    <row r="99" spans="1:29" s="559" customFormat="1" ht="15.75">
      <c r="E99" s="560"/>
      <c r="K99" s="561"/>
      <c r="L99" s="561"/>
      <c r="M99" s="561"/>
      <c r="N99" s="561"/>
      <c r="O99" s="561"/>
      <c r="P99" s="561"/>
      <c r="Q99" s="561"/>
      <c r="R99" s="561"/>
      <c r="S99" s="561"/>
      <c r="T99" s="561"/>
      <c r="U99" s="561"/>
    </row>
    <row r="100" spans="1:29">
      <c r="A100" s="559"/>
      <c r="B100" s="559"/>
      <c r="C100" s="559"/>
      <c r="D100" s="562"/>
      <c r="E100" s="563"/>
      <c r="F100" s="559"/>
      <c r="G100" s="559"/>
      <c r="H100" s="559"/>
      <c r="I100" s="559"/>
      <c r="J100" s="559"/>
      <c r="K100" s="559"/>
      <c r="L100" s="559"/>
      <c r="M100" s="559"/>
      <c r="N100" s="559"/>
      <c r="O100" s="559"/>
      <c r="P100" s="559"/>
      <c r="Q100" s="559"/>
      <c r="R100" s="559"/>
      <c r="S100" s="559"/>
      <c r="T100" s="559"/>
      <c r="U100" s="559"/>
      <c r="V100" s="559"/>
      <c r="W100" s="559"/>
      <c r="X100" s="559"/>
      <c r="Y100" s="559"/>
      <c r="Z100" s="559"/>
      <c r="AA100" s="559"/>
      <c r="AB100" s="559"/>
      <c r="AC100" s="559"/>
    </row>
    <row r="101" spans="1:29">
      <c r="A101" s="559"/>
      <c r="B101" s="559"/>
      <c r="C101" s="559"/>
      <c r="D101" s="559"/>
      <c r="E101" s="564"/>
      <c r="F101" s="559"/>
      <c r="G101" s="565"/>
      <c r="H101" s="559"/>
      <c r="I101" s="559"/>
      <c r="J101" s="559"/>
      <c r="K101" s="559"/>
      <c r="L101" s="559"/>
      <c r="M101" s="559"/>
      <c r="N101" s="559"/>
      <c r="O101" s="559"/>
      <c r="P101" s="559"/>
      <c r="Q101" s="559"/>
      <c r="R101" s="559"/>
      <c r="S101" s="559"/>
      <c r="T101" s="559"/>
      <c r="U101" s="559"/>
      <c r="V101" s="559"/>
      <c r="W101" s="559"/>
      <c r="X101" s="559"/>
      <c r="Y101" s="559"/>
      <c r="Z101" s="559"/>
      <c r="AA101" s="559"/>
      <c r="AB101" s="559"/>
      <c r="AC101" s="559"/>
    </row>
    <row r="102" spans="1:29">
      <c r="A102" s="559"/>
      <c r="B102" s="559"/>
      <c r="C102" s="559"/>
      <c r="D102" s="559"/>
      <c r="E102" s="564"/>
      <c r="F102" s="559"/>
      <c r="G102" s="565"/>
      <c r="H102" s="559"/>
      <c r="I102" s="559"/>
      <c r="J102" s="559"/>
      <c r="K102" s="559"/>
      <c r="L102" s="559"/>
      <c r="M102" s="559"/>
      <c r="N102" s="559"/>
      <c r="O102" s="559"/>
      <c r="P102" s="559"/>
      <c r="Q102" s="559"/>
      <c r="R102" s="559"/>
      <c r="S102" s="559"/>
      <c r="T102" s="559"/>
      <c r="U102" s="559"/>
      <c r="V102" s="559"/>
      <c r="W102" s="559"/>
      <c r="X102" s="559"/>
      <c r="Y102" s="559"/>
      <c r="Z102" s="559"/>
      <c r="AA102" s="559"/>
      <c r="AB102" s="559"/>
      <c r="AC102" s="559"/>
    </row>
    <row r="103" spans="1:29" ht="15.75">
      <c r="A103" s="559"/>
      <c r="B103" s="559"/>
      <c r="C103" s="559"/>
      <c r="D103" s="559"/>
      <c r="E103" s="564"/>
      <c r="F103" s="559"/>
      <c r="G103" s="565"/>
      <c r="H103" s="559"/>
      <c r="I103" s="559"/>
      <c r="J103" s="559"/>
      <c r="K103" s="559"/>
      <c r="L103" s="559"/>
      <c r="M103" s="566"/>
      <c r="N103" s="559"/>
      <c r="O103" s="559"/>
      <c r="P103" s="559"/>
      <c r="Q103" s="559"/>
      <c r="R103" s="559"/>
      <c r="S103" s="559"/>
      <c r="T103" s="559"/>
      <c r="U103" s="559"/>
      <c r="V103" s="559"/>
      <c r="W103" s="559"/>
      <c r="X103" s="559"/>
      <c r="Y103" s="559"/>
      <c r="Z103" s="559"/>
      <c r="AA103" s="559"/>
      <c r="AB103" s="559"/>
      <c r="AC103" s="559"/>
    </row>
    <row r="104" spans="1:29">
      <c r="A104" s="559"/>
      <c r="B104" s="559"/>
      <c r="C104" s="559"/>
      <c r="D104" s="559"/>
      <c r="E104" s="564"/>
      <c r="F104" s="559"/>
      <c r="G104" s="565"/>
      <c r="H104" s="559"/>
      <c r="I104" s="559"/>
      <c r="J104" s="559"/>
      <c r="K104" s="559"/>
      <c r="L104" s="559"/>
      <c r="M104" s="559"/>
      <c r="N104" s="559"/>
      <c r="O104" s="559"/>
      <c r="P104" s="559"/>
      <c r="Q104" s="559"/>
      <c r="R104" s="559"/>
      <c r="S104" s="559"/>
      <c r="T104" s="559"/>
      <c r="U104" s="559"/>
      <c r="V104" s="559"/>
      <c r="W104" s="559"/>
      <c r="X104" s="559"/>
      <c r="Y104" s="559"/>
      <c r="Z104" s="559"/>
      <c r="AA104" s="559"/>
      <c r="AB104" s="559"/>
      <c r="AC104" s="559"/>
    </row>
    <row r="105" spans="1:29">
      <c r="A105" s="559"/>
      <c r="B105" s="559"/>
      <c r="C105" s="559"/>
      <c r="D105" s="559"/>
      <c r="E105" s="559"/>
      <c r="F105" s="559"/>
      <c r="G105" s="559"/>
      <c r="H105" s="559"/>
      <c r="I105" s="559"/>
      <c r="J105" s="559"/>
      <c r="K105" s="559"/>
      <c r="L105" s="559"/>
      <c r="M105" s="559"/>
      <c r="N105" s="559"/>
      <c r="O105" s="559"/>
      <c r="P105" s="559"/>
      <c r="Q105" s="559"/>
      <c r="R105" s="559"/>
      <c r="S105" s="559"/>
      <c r="T105" s="559"/>
      <c r="U105" s="559"/>
      <c r="V105" s="559"/>
      <c r="W105" s="559"/>
      <c r="X105" s="559"/>
      <c r="Y105" s="559"/>
      <c r="Z105" s="559"/>
      <c r="AA105" s="559"/>
      <c r="AB105" s="559"/>
      <c r="AC105" s="559"/>
    </row>
  </sheetData>
  <protectedRanges>
    <protectedRange sqref="Q12:Q14 Q18:Q21 Q23:Q27 Q30:Q31 Q7:Q9" name="Column Q Inputs 1"/>
    <protectedRange sqref="P75:P76 P79:Z79 Q80:T84" name="Depreciation Inputs"/>
    <protectedRange sqref="G72:G76" name="Column G Inputs_1"/>
    <protectedRange sqref="G54 G57" name="Column G Inputs_2"/>
    <protectedRange sqref="U80:Z84" name="Depreciation Inputs_1"/>
    <protectedRange sqref="P80:P84" name="Depreciation Inputs_3"/>
    <protectedRange sqref="G7:G8" name="Column G Inputs_5_2"/>
    <protectedRange sqref="G10:G11" name="Column G Inputs_5"/>
  </protectedRanges>
  <dataConsolidate/>
  <mergeCells count="10">
    <mergeCell ref="O4:P4"/>
    <mergeCell ref="C2:T2"/>
    <mergeCell ref="R81:T81"/>
    <mergeCell ref="R82:T82"/>
    <mergeCell ref="R85:T85"/>
    <mergeCell ref="R83:T83"/>
    <mergeCell ref="R84:T84"/>
    <mergeCell ref="R78:T78"/>
    <mergeCell ref="R79:T79"/>
    <mergeCell ref="R80:T80"/>
  </mergeCells>
  <conditionalFormatting sqref="C14">
    <cfRule type="expression" dxfId="68" priority="573">
      <formula>$G$14&lt;&gt;""</formula>
    </cfRule>
  </conditionalFormatting>
  <conditionalFormatting sqref="C30">
    <cfRule type="expression" dxfId="67" priority="567">
      <formula>$G$30&gt;=0</formula>
    </cfRule>
  </conditionalFormatting>
  <conditionalFormatting sqref="C15">
    <cfRule type="expression" dxfId="66" priority="394">
      <formula>AND($G$14="Simple",$G$15&gt;0)</formula>
    </cfRule>
    <cfRule type="expression" dxfId="65" priority="564">
      <formula>AND($G$14="Simple",$G$15&lt;=0)</formula>
    </cfRule>
  </conditionalFormatting>
  <conditionalFormatting sqref="C16">
    <cfRule type="expression" dxfId="64" priority="393">
      <formula>AND($G$14="Intermediate",$G$16&gt;0)</formula>
    </cfRule>
    <cfRule type="expression" dxfId="63" priority="563">
      <formula>AND($G$14="Intermediate",$G$16&lt;=0)</formula>
    </cfRule>
  </conditionalFormatting>
  <conditionalFormatting sqref="C73">
    <cfRule type="expression" dxfId="62" priority="147">
      <formula>$G$72="No"</formula>
    </cfRule>
    <cfRule type="expression" dxfId="61" priority="148">
      <formula>$D$73=1</formula>
    </cfRule>
  </conditionalFormatting>
  <conditionalFormatting sqref="C61">
    <cfRule type="expression" dxfId="60" priority="385">
      <formula>$D$61=1</formula>
    </cfRule>
  </conditionalFormatting>
  <conditionalFormatting sqref="G21:H21 L30 K24">
    <cfRule type="expression" dxfId="59" priority="727">
      <formula>$G$14="Complex"</formula>
    </cfRule>
  </conditionalFormatting>
  <conditionalFormatting sqref="C50">
    <cfRule type="expression" dxfId="58" priority="387">
      <formula>$D$50=1</formula>
    </cfRule>
  </conditionalFormatting>
  <conditionalFormatting sqref="E7:F7 H7:I7">
    <cfRule type="expression" dxfId="57" priority="415">
      <formula>#REF!="Solar Thermal Electric"</formula>
    </cfRule>
  </conditionalFormatting>
  <conditionalFormatting sqref="E42:H42 E35:H36 H37:H38 E37:F41 H40:H41">
    <cfRule type="expression" dxfId="56" priority="405">
      <formula>$G$29="Simple"</formula>
    </cfRule>
  </conditionalFormatting>
  <conditionalFormatting sqref="G56">
    <cfRule type="expression" dxfId="55" priority="372">
      <formula>$G$56="Fail"</formula>
    </cfRule>
  </conditionalFormatting>
  <conditionalFormatting sqref="O63:Q63 S63">
    <cfRule type="expression" dxfId="54" priority="367">
      <formula>$Q$62="Salvage"</formula>
    </cfRule>
  </conditionalFormatting>
  <conditionalFormatting sqref="E45:G47">
    <cfRule type="expression" dxfId="53" priority="345">
      <formula>$G$14="Simple"</formula>
    </cfRule>
  </conditionalFormatting>
  <conditionalFormatting sqref="G59">
    <cfRule type="expression" dxfId="52" priority="313">
      <formula>$G$59="Fail"</formula>
    </cfRule>
  </conditionalFormatting>
  <conditionalFormatting sqref="G15">
    <cfRule type="expression" dxfId="51" priority="277">
      <formula>$G$14="Simple"</formula>
    </cfRule>
  </conditionalFormatting>
  <conditionalFormatting sqref="G20 E16:F20">
    <cfRule type="expression" dxfId="50" priority="276">
      <formula>$G$14="Intermediate"</formula>
    </cfRule>
  </conditionalFormatting>
  <conditionalFormatting sqref="I51:I59 E55:G56 E54:F54 E58:G59 E57:F57 E51:G53">
    <cfRule type="expression" dxfId="49" priority="259">
      <formula>$G$50=0</formula>
    </cfRule>
  </conditionalFormatting>
  <conditionalFormatting sqref="O13:P13">
    <cfRule type="expression" dxfId="48" priority="252">
      <formula>$T$13=1</formula>
    </cfRule>
  </conditionalFormatting>
  <conditionalFormatting sqref="O14:P14">
    <cfRule type="expression" dxfId="47" priority="251">
      <formula>$T$14=1</formula>
    </cfRule>
  </conditionalFormatting>
  <conditionalFormatting sqref="O15">
    <cfRule type="expression" dxfId="46" priority="250">
      <formula>$T$15=1</formula>
    </cfRule>
  </conditionalFormatting>
  <conditionalFormatting sqref="Q13">
    <cfRule type="expression" dxfId="45" priority="247">
      <formula>$T$13=1</formula>
    </cfRule>
  </conditionalFormatting>
  <conditionalFormatting sqref="Q14">
    <cfRule type="expression" dxfId="44" priority="246">
      <formula>$T$14=1</formula>
    </cfRule>
  </conditionalFormatting>
  <conditionalFormatting sqref="O12:P12">
    <cfRule type="expression" dxfId="43" priority="243">
      <formula>$T$12=1</formula>
    </cfRule>
  </conditionalFormatting>
  <conditionalFormatting sqref="Q12">
    <cfRule type="expression" dxfId="42" priority="242">
      <formula>$T$12=1</formula>
    </cfRule>
  </conditionalFormatting>
  <conditionalFormatting sqref="O19:Q20 O22:Q22 S19:S20 S22 M102">
    <cfRule type="expression" dxfId="41" priority="230">
      <formula>$Q$18="Performance-Based"</formula>
    </cfRule>
  </conditionalFormatting>
  <conditionalFormatting sqref="O23:Q27 S23:S27">
    <cfRule type="expression" dxfId="40" priority="229">
      <formula>$Q$18="Cost-Based"</formula>
    </cfRule>
  </conditionalFormatting>
  <conditionalFormatting sqref="I15">
    <cfRule type="expression" dxfId="39" priority="218">
      <formula>$G$14="Simple"</formula>
    </cfRule>
  </conditionalFormatting>
  <conditionalFormatting sqref="I21">
    <cfRule type="expression" dxfId="38" priority="217">
      <formula>$G$14="Complex"</formula>
    </cfRule>
  </conditionalFormatting>
  <conditionalFormatting sqref="I16:I20">
    <cfRule type="expression" dxfId="37" priority="216">
      <formula>$G$14="Intermediate"</formula>
    </cfRule>
  </conditionalFormatting>
  <conditionalFormatting sqref="I35:I42">
    <cfRule type="expression" dxfId="36" priority="215">
      <formula>$G$29="Intermediate"</formula>
    </cfRule>
  </conditionalFormatting>
  <conditionalFormatting sqref="E15:F15">
    <cfRule type="expression" dxfId="35" priority="209">
      <formula>$G$14="Simple"</formula>
    </cfRule>
  </conditionalFormatting>
  <conditionalFormatting sqref="F21">
    <cfRule type="expression" dxfId="34" priority="206">
      <formula>$G$14="Complex"</formula>
    </cfRule>
  </conditionalFormatting>
  <conditionalFormatting sqref="E21">
    <cfRule type="expression" dxfId="33" priority="205">
      <formula>$G$14="Complex"</formula>
    </cfRule>
  </conditionalFormatting>
  <conditionalFormatting sqref="O21:Q21 S21">
    <cfRule type="expression" dxfId="32" priority="195">
      <formula>$T$21=0</formula>
    </cfRule>
  </conditionalFormatting>
  <conditionalFormatting sqref="S12">
    <cfRule type="expression" dxfId="31" priority="194">
      <formula>$T$12=1</formula>
    </cfRule>
  </conditionalFormatting>
  <conditionalFormatting sqref="S13">
    <cfRule type="expression" dxfId="30" priority="193">
      <formula>$T$13=1</formula>
    </cfRule>
  </conditionalFormatting>
  <conditionalFormatting sqref="S14">
    <cfRule type="expression" dxfId="29" priority="192">
      <formula>$T$14=1</formula>
    </cfRule>
  </conditionalFormatting>
  <conditionalFormatting sqref="S15">
    <cfRule type="expression" dxfId="28" priority="191">
      <formula>$T$15=1</formula>
    </cfRule>
  </conditionalFormatting>
  <conditionalFormatting sqref="E62:G62">
    <cfRule type="expression" dxfId="27" priority="188">
      <formula>$G$50=0%</formula>
    </cfRule>
  </conditionalFormatting>
  <conditionalFormatting sqref="AB79:AB85 O79:R79 U79:Z79 O80:O84 Q80:R84">
    <cfRule type="expression" dxfId="26" priority="86">
      <formula>$L79=0</formula>
    </cfRule>
  </conditionalFormatting>
  <conditionalFormatting sqref="O85:R85 U85:Z85">
    <cfRule type="expression" dxfId="25" priority="81">
      <formula>$L$85=0</formula>
    </cfRule>
  </conditionalFormatting>
  <conditionalFormatting sqref="O35:Q38 S35:S38">
    <cfRule type="expression" dxfId="24" priority="41">
      <formula>$R$35=1</formula>
    </cfRule>
  </conditionalFormatting>
  <conditionalFormatting sqref="O39:Q39 S39 S41:S44 O41:Q44">
    <cfRule type="expression" dxfId="23" priority="40">
      <formula>$R$39=1</formula>
    </cfRule>
  </conditionalFormatting>
  <conditionalFormatting sqref="O40:Q40 S40">
    <cfRule type="expression" dxfId="22" priority="2696">
      <formula>$R$40=1</formula>
    </cfRule>
  </conditionalFormatting>
  <conditionalFormatting sqref="O45:Q45 S45">
    <cfRule type="expression" dxfId="21" priority="36">
      <formula>$R$45=1</formula>
    </cfRule>
  </conditionalFormatting>
  <conditionalFormatting sqref="L23 K18">
    <cfRule type="expression" dxfId="20" priority="2775">
      <formula>$G$14="Simple"</formula>
    </cfRule>
  </conditionalFormatting>
  <conditionalFormatting sqref="L24:L28 K19:K23">
    <cfRule type="expression" dxfId="19" priority="2777">
      <formula>$G$14="Intermediate"</formula>
    </cfRule>
  </conditionalFormatting>
  <conditionalFormatting sqref="E77:G78 I73:I78 E73:F76">
    <cfRule type="expression" dxfId="18" priority="2779">
      <formula>$G$72="No"</formula>
    </cfRule>
  </conditionalFormatting>
  <conditionalFormatting sqref="O76:P76">
    <cfRule type="expression" dxfId="17" priority="28">
      <formula>$P$75="No"</formula>
    </cfRule>
  </conditionalFormatting>
  <conditionalFormatting sqref="S76">
    <cfRule type="expression" dxfId="16" priority="27">
      <formula>$P$76="No"</formula>
    </cfRule>
  </conditionalFormatting>
  <conditionalFormatting sqref="S27">
    <cfRule type="expression" dxfId="15" priority="25">
      <formula>$Q$19="Cost-Based"</formula>
    </cfRule>
  </conditionalFormatting>
  <conditionalFormatting sqref="W11:W17">
    <cfRule type="expression" dxfId="14" priority="13">
      <formula>#REF!="Solar Thermal Electric"</formula>
    </cfRule>
  </conditionalFormatting>
  <conditionalFormatting sqref="W8:W9">
    <cfRule type="expression" dxfId="13" priority="12">
      <formula>#REF!="Solar Thermal Electric"</formula>
    </cfRule>
  </conditionalFormatting>
  <conditionalFormatting sqref="G37:G41">
    <cfRule type="expression" dxfId="12" priority="11">
      <formula>$G$29="Simple"</formula>
    </cfRule>
  </conditionalFormatting>
  <conditionalFormatting sqref="G73:G76">
    <cfRule type="expression" dxfId="11" priority="9">
      <formula>$G$72="No"</formula>
    </cfRule>
  </conditionalFormatting>
  <conditionalFormatting sqref="G54">
    <cfRule type="expression" dxfId="10" priority="8">
      <formula>$G$50=0</formula>
    </cfRule>
  </conditionalFormatting>
  <conditionalFormatting sqref="G57">
    <cfRule type="expression" dxfId="9" priority="6">
      <formula>$G$50=0</formula>
    </cfRule>
  </conditionalFormatting>
  <conditionalFormatting sqref="P80:P84">
    <cfRule type="expression" dxfId="8" priority="4">
      <formula>$L80=0</formula>
    </cfRule>
  </conditionalFormatting>
  <conditionalFormatting sqref="G50">
    <cfRule type="expression" dxfId="7" priority="3">
      <formula>$G$50=0</formula>
    </cfRule>
  </conditionalFormatting>
  <conditionalFormatting sqref="G7">
    <cfRule type="expression" dxfId="6" priority="2">
      <formula>#REF!="Solar Thermal Electric"</formula>
    </cfRule>
  </conditionalFormatting>
  <dataValidations count="15">
    <dataValidation type="decimal" errorStyle="warning" operator="greaterThanOrEqual" allowBlank="1" showInputMessage="1" showErrorMessage="1" errorTitle="Project Fails to Meet DSCR" error="This project's cash flow is insufficient to support the amount of user-defined debt, and fails to meet the lender's requirements.    _x000a_Please read the note field(s) highlighted in yellow for options to cure this deficiency._x000a_" sqref="G58" xr:uid="{00000000-0002-0000-0400-000000000000}">
      <formula1>G57</formula1>
    </dataValidation>
    <dataValidation type="list" allowBlank="1" showInputMessage="1" showErrorMessage="1" sqref="Q31 P75 Q48 Q40 G72" xr:uid="{00000000-0002-0000-0400-000001000000}">
      <formula1>"Yes, No"</formula1>
    </dataValidation>
    <dataValidation type="list" allowBlank="1" showInputMessage="1" showErrorMessage="1" sqref="G74 G76" xr:uid="{A846C02D-87CA-4947-A74E-9739887B0967}">
      <formula1>"As Generated, Carried Forward"</formula1>
    </dataValidation>
    <dataValidation errorStyle="warning" allowBlank="1" showInputMessage="1" showErrorMessage="1" sqref="G56" xr:uid="{00000000-0002-0000-0400-000003000000}"/>
    <dataValidation errorStyle="warning" operator="equal" allowBlank="1" showInputMessage="1" showErrorMessage="1" errorTitle="Project Fails to Meet DSCR" error="This project's cash flow is insufficient to support the amount of user-defined debt, and fails to meet the lender's requirements.    _x000a_Please read the note field(s) highlighted in yellow for options to cure this deficiency._x000a__x000a_" sqref="H56 H59" xr:uid="{00000000-0002-0000-0400-000004000000}"/>
    <dataValidation errorStyle="warning" operator="greaterThanOrEqual" allowBlank="1" showInputMessage="1" showErrorMessage="1" errorTitle="test" error="test" sqref="G54 G57" xr:uid="{0B6927CB-F33F-49B2-A18E-C042651C6057}"/>
    <dataValidation type="decimal" showInputMessage="1" showErrorMessage="1" sqref="G50" xr:uid="{00000000-0002-0000-0400-000006000000}">
      <formula1>0</formula1>
      <formula2>1</formula2>
    </dataValidation>
    <dataValidation type="list" allowBlank="1" showInputMessage="1" showErrorMessage="1" sqref="Q62" xr:uid="{00000000-0002-0000-0400-000007000000}">
      <formula1>"Operations, Salvage"</formula1>
    </dataValidation>
    <dataValidation type="list" allowBlank="1" showInputMessage="1" showErrorMessage="1" sqref="Q39 Q23" xr:uid="{00000000-0002-0000-0400-000008000000}">
      <formula1>"Cash, Tax Credit"</formula1>
    </dataValidation>
    <dataValidation type="list" allowBlank="1" showInputMessage="1" showErrorMessage="1" sqref="G14" xr:uid="{00000000-0002-0000-0400-000009000000}">
      <formula1>"Simple, Intermediate, Complex"</formula1>
    </dataValidation>
    <dataValidation type="list" allowBlank="1" showInputMessage="1" showErrorMessage="1" sqref="G29" xr:uid="{7E71BD56-DB36-4E6E-97EA-D45A04131965}">
      <formula1>"Simple, Intermediate"</formula1>
    </dataValidation>
    <dataValidation type="list" allowBlank="1" showInputMessage="1" showErrorMessage="1" sqref="Q18 Q34" xr:uid="{00000000-0002-0000-0400-00000B000000}">
      <formula1>"Cost-Based, Performance-Based, Neither"</formula1>
    </dataValidation>
    <dataValidation type="list" allowBlank="1" showInputMessage="1" showErrorMessage="1" sqref="Q12" xr:uid="{00000000-0002-0000-0400-00000C000000}">
      <formula1>"Year One, Year-by-Year"</formula1>
    </dataValidation>
    <dataValidation type="list" allowBlank="1" showInputMessage="1" showErrorMessage="1" sqref="W8" xr:uid="{EC0096F8-640F-4DC7-AF05-44547566BA53}">
      <formula1>"Solar, Wind, Hydro"</formula1>
    </dataValidation>
    <dataValidation type="list" allowBlank="1" showInputMessage="1" showErrorMessage="1" sqref="W20" xr:uid="{100DA111-1C67-47A5-84EF-C7928DA46EF3}">
      <formula1>"2024,2025,2026"</formula1>
    </dataValidation>
  </dataValidations>
  <hyperlinks>
    <hyperlink ref="E21" location="'Complex Inputs'!A1" display="'Complex Inputs'!A1" xr:uid="{00000000-0004-0000-0400-000000000000}"/>
    <hyperlink ref="O15" location="'Complex Inputs'!A126" display="'Complex Inputs'!A126" xr:uid="{00000000-0004-0000-0400-000001000000}"/>
    <hyperlink ref="O85" location="'Complex Inputs'!A114" display="'Complex Inputs'!A114" xr:uid="{00000000-0004-0000-0400-000002000000}"/>
  </hyperlink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00"/>
  </sheetPr>
  <dimension ref="B1:O46"/>
  <sheetViews>
    <sheetView tabSelected="1" topLeftCell="A3" workbookViewId="0">
      <selection activeCell="D14" sqref="D14"/>
    </sheetView>
  </sheetViews>
  <sheetFormatPr defaultRowHeight="14.25"/>
  <cols>
    <col min="1" max="1" width="2.5703125" style="123" customWidth="1"/>
    <col min="2" max="2" width="57.5703125" style="123" customWidth="1"/>
    <col min="3" max="3" width="8.42578125" style="123" bestFit="1" customWidth="1"/>
    <col min="4" max="4" width="25.7109375" style="123" customWidth="1"/>
    <col min="5" max="5" width="3.7109375" style="123" customWidth="1"/>
    <col min="6" max="15" width="26.28515625" style="123" bestFit="1" customWidth="1"/>
    <col min="16" max="243" width="9.28515625" style="123"/>
    <col min="244" max="244" width="21.42578125" style="123" customWidth="1"/>
    <col min="245" max="245" width="16.42578125" style="123" customWidth="1"/>
    <col min="246" max="246" width="18" style="123" customWidth="1"/>
    <col min="247" max="247" width="23.7109375" style="123" customWidth="1"/>
    <col min="248" max="248" width="26" style="123" customWidth="1"/>
    <col min="249" max="249" width="21.42578125" style="123" customWidth="1"/>
    <col min="250" max="250" width="20.7109375" style="123" customWidth="1"/>
    <col min="251" max="251" width="0" style="123" hidden="1" customWidth="1"/>
    <col min="252" max="499" width="9.28515625" style="123"/>
    <col min="500" max="500" width="21.42578125" style="123" customWidth="1"/>
    <col min="501" max="501" width="16.42578125" style="123" customWidth="1"/>
    <col min="502" max="502" width="18" style="123" customWidth="1"/>
    <col min="503" max="503" width="23.7109375" style="123" customWidth="1"/>
    <col min="504" max="504" width="26" style="123" customWidth="1"/>
    <col min="505" max="505" width="21.42578125" style="123" customWidth="1"/>
    <col min="506" max="506" width="20.7109375" style="123" customWidth="1"/>
    <col min="507" max="507" width="0" style="123" hidden="1" customWidth="1"/>
    <col min="508" max="755" width="9.28515625" style="123"/>
    <col min="756" max="756" width="21.42578125" style="123" customWidth="1"/>
    <col min="757" max="757" width="16.42578125" style="123" customWidth="1"/>
    <col min="758" max="758" width="18" style="123" customWidth="1"/>
    <col min="759" max="759" width="23.7109375" style="123" customWidth="1"/>
    <col min="760" max="760" width="26" style="123" customWidth="1"/>
    <col min="761" max="761" width="21.42578125" style="123" customWidth="1"/>
    <col min="762" max="762" width="20.7109375" style="123" customWidth="1"/>
    <col min="763" max="763" width="0" style="123" hidden="1" customWidth="1"/>
    <col min="764" max="1011" width="9.28515625" style="123"/>
    <col min="1012" max="1012" width="21.42578125" style="123" customWidth="1"/>
    <col min="1013" max="1013" width="16.42578125" style="123" customWidth="1"/>
    <col min="1014" max="1014" width="18" style="123" customWidth="1"/>
    <col min="1015" max="1015" width="23.7109375" style="123" customWidth="1"/>
    <col min="1016" max="1016" width="26" style="123" customWidth="1"/>
    <col min="1017" max="1017" width="21.42578125" style="123" customWidth="1"/>
    <col min="1018" max="1018" width="20.7109375" style="123" customWidth="1"/>
    <col min="1019" max="1019" width="0" style="123" hidden="1" customWidth="1"/>
    <col min="1020" max="1267" width="9.28515625" style="123"/>
    <col min="1268" max="1268" width="21.42578125" style="123" customWidth="1"/>
    <col min="1269" max="1269" width="16.42578125" style="123" customWidth="1"/>
    <col min="1270" max="1270" width="18" style="123" customWidth="1"/>
    <col min="1271" max="1271" width="23.7109375" style="123" customWidth="1"/>
    <col min="1272" max="1272" width="26" style="123" customWidth="1"/>
    <col min="1273" max="1273" width="21.42578125" style="123" customWidth="1"/>
    <col min="1274" max="1274" width="20.7109375" style="123" customWidth="1"/>
    <col min="1275" max="1275" width="0" style="123" hidden="1" customWidth="1"/>
    <col min="1276" max="1523" width="9.28515625" style="123"/>
    <col min="1524" max="1524" width="21.42578125" style="123" customWidth="1"/>
    <col min="1525" max="1525" width="16.42578125" style="123" customWidth="1"/>
    <col min="1526" max="1526" width="18" style="123" customWidth="1"/>
    <col min="1527" max="1527" width="23.7109375" style="123" customWidth="1"/>
    <col min="1528" max="1528" width="26" style="123" customWidth="1"/>
    <col min="1529" max="1529" width="21.42578125" style="123" customWidth="1"/>
    <col min="1530" max="1530" width="20.7109375" style="123" customWidth="1"/>
    <col min="1531" max="1531" width="0" style="123" hidden="1" customWidth="1"/>
    <col min="1532" max="1779" width="9.28515625" style="123"/>
    <col min="1780" max="1780" width="21.42578125" style="123" customWidth="1"/>
    <col min="1781" max="1781" width="16.42578125" style="123" customWidth="1"/>
    <col min="1782" max="1782" width="18" style="123" customWidth="1"/>
    <col min="1783" max="1783" width="23.7109375" style="123" customWidth="1"/>
    <col min="1784" max="1784" width="26" style="123" customWidth="1"/>
    <col min="1785" max="1785" width="21.42578125" style="123" customWidth="1"/>
    <col min="1786" max="1786" width="20.7109375" style="123" customWidth="1"/>
    <col min="1787" max="1787" width="0" style="123" hidden="1" customWidth="1"/>
    <col min="1788" max="2035" width="9.28515625" style="123"/>
    <col min="2036" max="2036" width="21.42578125" style="123" customWidth="1"/>
    <col min="2037" max="2037" width="16.42578125" style="123" customWidth="1"/>
    <col min="2038" max="2038" width="18" style="123" customWidth="1"/>
    <col min="2039" max="2039" width="23.7109375" style="123" customWidth="1"/>
    <col min="2040" max="2040" width="26" style="123" customWidth="1"/>
    <col min="2041" max="2041" width="21.42578125" style="123" customWidth="1"/>
    <col min="2042" max="2042" width="20.7109375" style="123" customWidth="1"/>
    <col min="2043" max="2043" width="0" style="123" hidden="1" customWidth="1"/>
    <col min="2044" max="2291" width="9.28515625" style="123"/>
    <col min="2292" max="2292" width="21.42578125" style="123" customWidth="1"/>
    <col min="2293" max="2293" width="16.42578125" style="123" customWidth="1"/>
    <col min="2294" max="2294" width="18" style="123" customWidth="1"/>
    <col min="2295" max="2295" width="23.7109375" style="123" customWidth="1"/>
    <col min="2296" max="2296" width="26" style="123" customWidth="1"/>
    <col min="2297" max="2297" width="21.42578125" style="123" customWidth="1"/>
    <col min="2298" max="2298" width="20.7109375" style="123" customWidth="1"/>
    <col min="2299" max="2299" width="0" style="123" hidden="1" customWidth="1"/>
    <col min="2300" max="2547" width="9.28515625" style="123"/>
    <col min="2548" max="2548" width="21.42578125" style="123" customWidth="1"/>
    <col min="2549" max="2549" width="16.42578125" style="123" customWidth="1"/>
    <col min="2550" max="2550" width="18" style="123" customWidth="1"/>
    <col min="2551" max="2551" width="23.7109375" style="123" customWidth="1"/>
    <col min="2552" max="2552" width="26" style="123" customWidth="1"/>
    <col min="2553" max="2553" width="21.42578125" style="123" customWidth="1"/>
    <col min="2554" max="2554" width="20.7109375" style="123" customWidth="1"/>
    <col min="2555" max="2555" width="0" style="123" hidden="1" customWidth="1"/>
    <col min="2556" max="2803" width="9.28515625" style="123"/>
    <col min="2804" max="2804" width="21.42578125" style="123" customWidth="1"/>
    <col min="2805" max="2805" width="16.42578125" style="123" customWidth="1"/>
    <col min="2806" max="2806" width="18" style="123" customWidth="1"/>
    <col min="2807" max="2807" width="23.7109375" style="123" customWidth="1"/>
    <col min="2808" max="2808" width="26" style="123" customWidth="1"/>
    <col min="2809" max="2809" width="21.42578125" style="123" customWidth="1"/>
    <col min="2810" max="2810" width="20.7109375" style="123" customWidth="1"/>
    <col min="2811" max="2811" width="0" style="123" hidden="1" customWidth="1"/>
    <col min="2812" max="3059" width="9.28515625" style="123"/>
    <col min="3060" max="3060" width="21.42578125" style="123" customWidth="1"/>
    <col min="3061" max="3061" width="16.42578125" style="123" customWidth="1"/>
    <col min="3062" max="3062" width="18" style="123" customWidth="1"/>
    <col min="3063" max="3063" width="23.7109375" style="123" customWidth="1"/>
    <col min="3064" max="3064" width="26" style="123" customWidth="1"/>
    <col min="3065" max="3065" width="21.42578125" style="123" customWidth="1"/>
    <col min="3066" max="3066" width="20.7109375" style="123" customWidth="1"/>
    <col min="3067" max="3067" width="0" style="123" hidden="1" customWidth="1"/>
    <col min="3068" max="3315" width="9.28515625" style="123"/>
    <col min="3316" max="3316" width="21.42578125" style="123" customWidth="1"/>
    <col min="3317" max="3317" width="16.42578125" style="123" customWidth="1"/>
    <col min="3318" max="3318" width="18" style="123" customWidth="1"/>
    <col min="3319" max="3319" width="23.7109375" style="123" customWidth="1"/>
    <col min="3320" max="3320" width="26" style="123" customWidth="1"/>
    <col min="3321" max="3321" width="21.42578125" style="123" customWidth="1"/>
    <col min="3322" max="3322" width="20.7109375" style="123" customWidth="1"/>
    <col min="3323" max="3323" width="0" style="123" hidden="1" customWidth="1"/>
    <col min="3324" max="3571" width="9.28515625" style="123"/>
    <col min="3572" max="3572" width="21.42578125" style="123" customWidth="1"/>
    <col min="3573" max="3573" width="16.42578125" style="123" customWidth="1"/>
    <col min="3574" max="3574" width="18" style="123" customWidth="1"/>
    <col min="3575" max="3575" width="23.7109375" style="123" customWidth="1"/>
    <col min="3576" max="3576" width="26" style="123" customWidth="1"/>
    <col min="3577" max="3577" width="21.42578125" style="123" customWidth="1"/>
    <col min="3578" max="3578" width="20.7109375" style="123" customWidth="1"/>
    <col min="3579" max="3579" width="0" style="123" hidden="1" customWidth="1"/>
    <col min="3580" max="3827" width="9.28515625" style="123"/>
    <col min="3828" max="3828" width="21.42578125" style="123" customWidth="1"/>
    <col min="3829" max="3829" width="16.42578125" style="123" customWidth="1"/>
    <col min="3830" max="3830" width="18" style="123" customWidth="1"/>
    <col min="3831" max="3831" width="23.7109375" style="123" customWidth="1"/>
    <col min="3832" max="3832" width="26" style="123" customWidth="1"/>
    <col min="3833" max="3833" width="21.42578125" style="123" customWidth="1"/>
    <col min="3834" max="3834" width="20.7109375" style="123" customWidth="1"/>
    <col min="3835" max="3835" width="0" style="123" hidden="1" customWidth="1"/>
    <col min="3836" max="4083" width="9.28515625" style="123"/>
    <col min="4084" max="4084" width="21.42578125" style="123" customWidth="1"/>
    <col min="4085" max="4085" width="16.42578125" style="123" customWidth="1"/>
    <col min="4086" max="4086" width="18" style="123" customWidth="1"/>
    <col min="4087" max="4087" width="23.7109375" style="123" customWidth="1"/>
    <col min="4088" max="4088" width="26" style="123" customWidth="1"/>
    <col min="4089" max="4089" width="21.42578125" style="123" customWidth="1"/>
    <col min="4090" max="4090" width="20.7109375" style="123" customWidth="1"/>
    <col min="4091" max="4091" width="0" style="123" hidden="1" customWidth="1"/>
    <col min="4092" max="4339" width="9.28515625" style="123"/>
    <col min="4340" max="4340" width="21.42578125" style="123" customWidth="1"/>
    <col min="4341" max="4341" width="16.42578125" style="123" customWidth="1"/>
    <col min="4342" max="4342" width="18" style="123" customWidth="1"/>
    <col min="4343" max="4343" width="23.7109375" style="123" customWidth="1"/>
    <col min="4344" max="4344" width="26" style="123" customWidth="1"/>
    <col min="4345" max="4345" width="21.42578125" style="123" customWidth="1"/>
    <col min="4346" max="4346" width="20.7109375" style="123" customWidth="1"/>
    <col min="4347" max="4347" width="0" style="123" hidden="1" customWidth="1"/>
    <col min="4348" max="4595" width="9.28515625" style="123"/>
    <col min="4596" max="4596" width="21.42578125" style="123" customWidth="1"/>
    <col min="4597" max="4597" width="16.42578125" style="123" customWidth="1"/>
    <col min="4598" max="4598" width="18" style="123" customWidth="1"/>
    <col min="4599" max="4599" width="23.7109375" style="123" customWidth="1"/>
    <col min="4600" max="4600" width="26" style="123" customWidth="1"/>
    <col min="4601" max="4601" width="21.42578125" style="123" customWidth="1"/>
    <col min="4602" max="4602" width="20.7109375" style="123" customWidth="1"/>
    <col min="4603" max="4603" width="0" style="123" hidden="1" customWidth="1"/>
    <col min="4604" max="4851" width="9.28515625" style="123"/>
    <col min="4852" max="4852" width="21.42578125" style="123" customWidth="1"/>
    <col min="4853" max="4853" width="16.42578125" style="123" customWidth="1"/>
    <col min="4854" max="4854" width="18" style="123" customWidth="1"/>
    <col min="4855" max="4855" width="23.7109375" style="123" customWidth="1"/>
    <col min="4856" max="4856" width="26" style="123" customWidth="1"/>
    <col min="4857" max="4857" width="21.42578125" style="123" customWidth="1"/>
    <col min="4858" max="4858" width="20.7109375" style="123" customWidth="1"/>
    <col min="4859" max="4859" width="0" style="123" hidden="1" customWidth="1"/>
    <col min="4860" max="5107" width="9.28515625" style="123"/>
    <col min="5108" max="5108" width="21.42578125" style="123" customWidth="1"/>
    <col min="5109" max="5109" width="16.42578125" style="123" customWidth="1"/>
    <col min="5110" max="5110" width="18" style="123" customWidth="1"/>
    <col min="5111" max="5111" width="23.7109375" style="123" customWidth="1"/>
    <col min="5112" max="5112" width="26" style="123" customWidth="1"/>
    <col min="5113" max="5113" width="21.42578125" style="123" customWidth="1"/>
    <col min="5114" max="5114" width="20.7109375" style="123" customWidth="1"/>
    <col min="5115" max="5115" width="0" style="123" hidden="1" customWidth="1"/>
    <col min="5116" max="5363" width="9.28515625" style="123"/>
    <col min="5364" max="5364" width="21.42578125" style="123" customWidth="1"/>
    <col min="5365" max="5365" width="16.42578125" style="123" customWidth="1"/>
    <col min="5366" max="5366" width="18" style="123" customWidth="1"/>
    <col min="5367" max="5367" width="23.7109375" style="123" customWidth="1"/>
    <col min="5368" max="5368" width="26" style="123" customWidth="1"/>
    <col min="5369" max="5369" width="21.42578125" style="123" customWidth="1"/>
    <col min="5370" max="5370" width="20.7109375" style="123" customWidth="1"/>
    <col min="5371" max="5371" width="0" style="123" hidden="1" customWidth="1"/>
    <col min="5372" max="5619" width="9.28515625" style="123"/>
    <col min="5620" max="5620" width="21.42578125" style="123" customWidth="1"/>
    <col min="5621" max="5621" width="16.42578125" style="123" customWidth="1"/>
    <col min="5622" max="5622" width="18" style="123" customWidth="1"/>
    <col min="5623" max="5623" width="23.7109375" style="123" customWidth="1"/>
    <col min="5624" max="5624" width="26" style="123" customWidth="1"/>
    <col min="5625" max="5625" width="21.42578125" style="123" customWidth="1"/>
    <col min="5626" max="5626" width="20.7109375" style="123" customWidth="1"/>
    <col min="5627" max="5627" width="0" style="123" hidden="1" customWidth="1"/>
    <col min="5628" max="5875" width="9.28515625" style="123"/>
    <col min="5876" max="5876" width="21.42578125" style="123" customWidth="1"/>
    <col min="5877" max="5877" width="16.42578125" style="123" customWidth="1"/>
    <col min="5878" max="5878" width="18" style="123" customWidth="1"/>
    <col min="5879" max="5879" width="23.7109375" style="123" customWidth="1"/>
    <col min="5880" max="5880" width="26" style="123" customWidth="1"/>
    <col min="5881" max="5881" width="21.42578125" style="123" customWidth="1"/>
    <col min="5882" max="5882" width="20.7109375" style="123" customWidth="1"/>
    <col min="5883" max="5883" width="0" style="123" hidden="1" customWidth="1"/>
    <col min="5884" max="6131" width="9.28515625" style="123"/>
    <col min="6132" max="6132" width="21.42578125" style="123" customWidth="1"/>
    <col min="6133" max="6133" width="16.42578125" style="123" customWidth="1"/>
    <col min="6134" max="6134" width="18" style="123" customWidth="1"/>
    <col min="6135" max="6135" width="23.7109375" style="123" customWidth="1"/>
    <col min="6136" max="6136" width="26" style="123" customWidth="1"/>
    <col min="6137" max="6137" width="21.42578125" style="123" customWidth="1"/>
    <col min="6138" max="6138" width="20.7109375" style="123" customWidth="1"/>
    <col min="6139" max="6139" width="0" style="123" hidden="1" customWidth="1"/>
    <col min="6140" max="6387" width="9.28515625" style="123"/>
    <col min="6388" max="6388" width="21.42578125" style="123" customWidth="1"/>
    <col min="6389" max="6389" width="16.42578125" style="123" customWidth="1"/>
    <col min="6390" max="6390" width="18" style="123" customWidth="1"/>
    <col min="6391" max="6391" width="23.7109375" style="123" customWidth="1"/>
    <col min="6392" max="6392" width="26" style="123" customWidth="1"/>
    <col min="6393" max="6393" width="21.42578125" style="123" customWidth="1"/>
    <col min="6394" max="6394" width="20.7109375" style="123" customWidth="1"/>
    <col min="6395" max="6395" width="0" style="123" hidden="1" customWidth="1"/>
    <col min="6396" max="6643" width="9.28515625" style="123"/>
    <col min="6644" max="6644" width="21.42578125" style="123" customWidth="1"/>
    <col min="6645" max="6645" width="16.42578125" style="123" customWidth="1"/>
    <col min="6646" max="6646" width="18" style="123" customWidth="1"/>
    <col min="6647" max="6647" width="23.7109375" style="123" customWidth="1"/>
    <col min="6648" max="6648" width="26" style="123" customWidth="1"/>
    <col min="6649" max="6649" width="21.42578125" style="123" customWidth="1"/>
    <col min="6650" max="6650" width="20.7109375" style="123" customWidth="1"/>
    <col min="6651" max="6651" width="0" style="123" hidden="1" customWidth="1"/>
    <col min="6652" max="6899" width="9.28515625" style="123"/>
    <col min="6900" max="6900" width="21.42578125" style="123" customWidth="1"/>
    <col min="6901" max="6901" width="16.42578125" style="123" customWidth="1"/>
    <col min="6902" max="6902" width="18" style="123" customWidth="1"/>
    <col min="6903" max="6903" width="23.7109375" style="123" customWidth="1"/>
    <col min="6904" max="6904" width="26" style="123" customWidth="1"/>
    <col min="6905" max="6905" width="21.42578125" style="123" customWidth="1"/>
    <col min="6906" max="6906" width="20.7109375" style="123" customWidth="1"/>
    <col min="6907" max="6907" width="0" style="123" hidden="1" customWidth="1"/>
    <col min="6908" max="7155" width="9.28515625" style="123"/>
    <col min="7156" max="7156" width="21.42578125" style="123" customWidth="1"/>
    <col min="7157" max="7157" width="16.42578125" style="123" customWidth="1"/>
    <col min="7158" max="7158" width="18" style="123" customWidth="1"/>
    <col min="7159" max="7159" width="23.7109375" style="123" customWidth="1"/>
    <col min="7160" max="7160" width="26" style="123" customWidth="1"/>
    <col min="7161" max="7161" width="21.42578125" style="123" customWidth="1"/>
    <col min="7162" max="7162" width="20.7109375" style="123" customWidth="1"/>
    <col min="7163" max="7163" width="0" style="123" hidden="1" customWidth="1"/>
    <col min="7164" max="7411" width="9.28515625" style="123"/>
    <col min="7412" max="7412" width="21.42578125" style="123" customWidth="1"/>
    <col min="7413" max="7413" width="16.42578125" style="123" customWidth="1"/>
    <col min="7414" max="7414" width="18" style="123" customWidth="1"/>
    <col min="7415" max="7415" width="23.7109375" style="123" customWidth="1"/>
    <col min="7416" max="7416" width="26" style="123" customWidth="1"/>
    <col min="7417" max="7417" width="21.42578125" style="123" customWidth="1"/>
    <col min="7418" max="7418" width="20.7109375" style="123" customWidth="1"/>
    <col min="7419" max="7419" width="0" style="123" hidden="1" customWidth="1"/>
    <col min="7420" max="7667" width="9.28515625" style="123"/>
    <col min="7668" max="7668" width="21.42578125" style="123" customWidth="1"/>
    <col min="7669" max="7669" width="16.42578125" style="123" customWidth="1"/>
    <col min="7670" max="7670" width="18" style="123" customWidth="1"/>
    <col min="7671" max="7671" width="23.7109375" style="123" customWidth="1"/>
    <col min="7672" max="7672" width="26" style="123" customWidth="1"/>
    <col min="7673" max="7673" width="21.42578125" style="123" customWidth="1"/>
    <col min="7674" max="7674" width="20.7109375" style="123" customWidth="1"/>
    <col min="7675" max="7675" width="0" style="123" hidden="1" customWidth="1"/>
    <col min="7676" max="7923" width="9.28515625" style="123"/>
    <col min="7924" max="7924" width="21.42578125" style="123" customWidth="1"/>
    <col min="7925" max="7925" width="16.42578125" style="123" customWidth="1"/>
    <col min="7926" max="7926" width="18" style="123" customWidth="1"/>
    <col min="7927" max="7927" width="23.7109375" style="123" customWidth="1"/>
    <col min="7928" max="7928" width="26" style="123" customWidth="1"/>
    <col min="7929" max="7929" width="21.42578125" style="123" customWidth="1"/>
    <col min="7930" max="7930" width="20.7109375" style="123" customWidth="1"/>
    <col min="7931" max="7931" width="0" style="123" hidden="1" customWidth="1"/>
    <col min="7932" max="8179" width="9.28515625" style="123"/>
    <col min="8180" max="8180" width="21.42578125" style="123" customWidth="1"/>
    <col min="8181" max="8181" width="16.42578125" style="123" customWidth="1"/>
    <col min="8182" max="8182" width="18" style="123" customWidth="1"/>
    <col min="8183" max="8183" width="23.7109375" style="123" customWidth="1"/>
    <col min="8184" max="8184" width="26" style="123" customWidth="1"/>
    <col min="8185" max="8185" width="21.42578125" style="123" customWidth="1"/>
    <col min="8186" max="8186" width="20.7109375" style="123" customWidth="1"/>
    <col min="8187" max="8187" width="0" style="123" hidden="1" customWidth="1"/>
    <col min="8188" max="8435" width="9.28515625" style="123"/>
    <col min="8436" max="8436" width="21.42578125" style="123" customWidth="1"/>
    <col min="8437" max="8437" width="16.42578125" style="123" customWidth="1"/>
    <col min="8438" max="8438" width="18" style="123" customWidth="1"/>
    <col min="8439" max="8439" width="23.7109375" style="123" customWidth="1"/>
    <col min="8440" max="8440" width="26" style="123" customWidth="1"/>
    <col min="8441" max="8441" width="21.42578125" style="123" customWidth="1"/>
    <col min="8442" max="8442" width="20.7109375" style="123" customWidth="1"/>
    <col min="8443" max="8443" width="0" style="123" hidden="1" customWidth="1"/>
    <col min="8444" max="8691" width="9.28515625" style="123"/>
    <col min="8692" max="8692" width="21.42578125" style="123" customWidth="1"/>
    <col min="8693" max="8693" width="16.42578125" style="123" customWidth="1"/>
    <col min="8694" max="8694" width="18" style="123" customWidth="1"/>
    <col min="8695" max="8695" width="23.7109375" style="123" customWidth="1"/>
    <col min="8696" max="8696" width="26" style="123" customWidth="1"/>
    <col min="8697" max="8697" width="21.42578125" style="123" customWidth="1"/>
    <col min="8698" max="8698" width="20.7109375" style="123" customWidth="1"/>
    <col min="8699" max="8699" width="0" style="123" hidden="1" customWidth="1"/>
    <col min="8700" max="8947" width="9.28515625" style="123"/>
    <col min="8948" max="8948" width="21.42578125" style="123" customWidth="1"/>
    <col min="8949" max="8949" width="16.42578125" style="123" customWidth="1"/>
    <col min="8950" max="8950" width="18" style="123" customWidth="1"/>
    <col min="8951" max="8951" width="23.7109375" style="123" customWidth="1"/>
    <col min="8952" max="8952" width="26" style="123" customWidth="1"/>
    <col min="8953" max="8953" width="21.42578125" style="123" customWidth="1"/>
    <col min="8954" max="8954" width="20.7109375" style="123" customWidth="1"/>
    <col min="8955" max="8955" width="0" style="123" hidden="1" customWidth="1"/>
    <col min="8956" max="9203" width="9.28515625" style="123"/>
    <col min="9204" max="9204" width="21.42578125" style="123" customWidth="1"/>
    <col min="9205" max="9205" width="16.42578125" style="123" customWidth="1"/>
    <col min="9206" max="9206" width="18" style="123" customWidth="1"/>
    <col min="9207" max="9207" width="23.7109375" style="123" customWidth="1"/>
    <col min="9208" max="9208" width="26" style="123" customWidth="1"/>
    <col min="9209" max="9209" width="21.42578125" style="123" customWidth="1"/>
    <col min="9210" max="9210" width="20.7109375" style="123" customWidth="1"/>
    <col min="9211" max="9211" width="0" style="123" hidden="1" customWidth="1"/>
    <col min="9212" max="9459" width="9.28515625" style="123"/>
    <col min="9460" max="9460" width="21.42578125" style="123" customWidth="1"/>
    <col min="9461" max="9461" width="16.42578125" style="123" customWidth="1"/>
    <col min="9462" max="9462" width="18" style="123" customWidth="1"/>
    <col min="9463" max="9463" width="23.7109375" style="123" customWidth="1"/>
    <col min="9464" max="9464" width="26" style="123" customWidth="1"/>
    <col min="9465" max="9465" width="21.42578125" style="123" customWidth="1"/>
    <col min="9466" max="9466" width="20.7109375" style="123" customWidth="1"/>
    <col min="9467" max="9467" width="0" style="123" hidden="1" customWidth="1"/>
    <col min="9468" max="9715" width="9.28515625" style="123"/>
    <col min="9716" max="9716" width="21.42578125" style="123" customWidth="1"/>
    <col min="9717" max="9717" width="16.42578125" style="123" customWidth="1"/>
    <col min="9718" max="9718" width="18" style="123" customWidth="1"/>
    <col min="9719" max="9719" width="23.7109375" style="123" customWidth="1"/>
    <col min="9720" max="9720" width="26" style="123" customWidth="1"/>
    <col min="9721" max="9721" width="21.42578125" style="123" customWidth="1"/>
    <col min="9722" max="9722" width="20.7109375" style="123" customWidth="1"/>
    <col min="9723" max="9723" width="0" style="123" hidden="1" customWidth="1"/>
    <col min="9724" max="9971" width="9.28515625" style="123"/>
    <col min="9972" max="9972" width="21.42578125" style="123" customWidth="1"/>
    <col min="9973" max="9973" width="16.42578125" style="123" customWidth="1"/>
    <col min="9974" max="9974" width="18" style="123" customWidth="1"/>
    <col min="9975" max="9975" width="23.7109375" style="123" customWidth="1"/>
    <col min="9976" max="9976" width="26" style="123" customWidth="1"/>
    <col min="9977" max="9977" width="21.42578125" style="123" customWidth="1"/>
    <col min="9978" max="9978" width="20.7109375" style="123" customWidth="1"/>
    <col min="9979" max="9979" width="0" style="123" hidden="1" customWidth="1"/>
    <col min="9980" max="10227" width="9.28515625" style="123"/>
    <col min="10228" max="10228" width="21.42578125" style="123" customWidth="1"/>
    <col min="10229" max="10229" width="16.42578125" style="123" customWidth="1"/>
    <col min="10230" max="10230" width="18" style="123" customWidth="1"/>
    <col min="10231" max="10231" width="23.7109375" style="123" customWidth="1"/>
    <col min="10232" max="10232" width="26" style="123" customWidth="1"/>
    <col min="10233" max="10233" width="21.42578125" style="123" customWidth="1"/>
    <col min="10234" max="10234" width="20.7109375" style="123" customWidth="1"/>
    <col min="10235" max="10235" width="0" style="123" hidden="1" customWidth="1"/>
    <col min="10236" max="10483" width="9.28515625" style="123"/>
    <col min="10484" max="10484" width="21.42578125" style="123" customWidth="1"/>
    <col min="10485" max="10485" width="16.42578125" style="123" customWidth="1"/>
    <col min="10486" max="10486" width="18" style="123" customWidth="1"/>
    <col min="10487" max="10487" width="23.7109375" style="123" customWidth="1"/>
    <col min="10488" max="10488" width="26" style="123" customWidth="1"/>
    <col min="10489" max="10489" width="21.42578125" style="123" customWidth="1"/>
    <col min="10490" max="10490" width="20.7109375" style="123" customWidth="1"/>
    <col min="10491" max="10491" width="0" style="123" hidden="1" customWidth="1"/>
    <col min="10492" max="10739" width="9.28515625" style="123"/>
    <col min="10740" max="10740" width="21.42578125" style="123" customWidth="1"/>
    <col min="10741" max="10741" width="16.42578125" style="123" customWidth="1"/>
    <col min="10742" max="10742" width="18" style="123" customWidth="1"/>
    <col min="10743" max="10743" width="23.7109375" style="123" customWidth="1"/>
    <col min="10744" max="10744" width="26" style="123" customWidth="1"/>
    <col min="10745" max="10745" width="21.42578125" style="123" customWidth="1"/>
    <col min="10746" max="10746" width="20.7109375" style="123" customWidth="1"/>
    <col min="10747" max="10747" width="0" style="123" hidden="1" customWidth="1"/>
    <col min="10748" max="10995" width="9.28515625" style="123"/>
    <col min="10996" max="10996" width="21.42578125" style="123" customWidth="1"/>
    <col min="10997" max="10997" width="16.42578125" style="123" customWidth="1"/>
    <col min="10998" max="10998" width="18" style="123" customWidth="1"/>
    <col min="10999" max="10999" width="23.7109375" style="123" customWidth="1"/>
    <col min="11000" max="11000" width="26" style="123" customWidth="1"/>
    <col min="11001" max="11001" width="21.42578125" style="123" customWidth="1"/>
    <col min="11002" max="11002" width="20.7109375" style="123" customWidth="1"/>
    <col min="11003" max="11003" width="0" style="123" hidden="1" customWidth="1"/>
    <col min="11004" max="11251" width="9.28515625" style="123"/>
    <col min="11252" max="11252" width="21.42578125" style="123" customWidth="1"/>
    <col min="11253" max="11253" width="16.42578125" style="123" customWidth="1"/>
    <col min="11254" max="11254" width="18" style="123" customWidth="1"/>
    <col min="11255" max="11255" width="23.7109375" style="123" customWidth="1"/>
    <col min="11256" max="11256" width="26" style="123" customWidth="1"/>
    <col min="11257" max="11257" width="21.42578125" style="123" customWidth="1"/>
    <col min="11258" max="11258" width="20.7109375" style="123" customWidth="1"/>
    <col min="11259" max="11259" width="0" style="123" hidden="1" customWidth="1"/>
    <col min="11260" max="11507" width="9.28515625" style="123"/>
    <col min="11508" max="11508" width="21.42578125" style="123" customWidth="1"/>
    <col min="11509" max="11509" width="16.42578125" style="123" customWidth="1"/>
    <col min="11510" max="11510" width="18" style="123" customWidth="1"/>
    <col min="11511" max="11511" width="23.7109375" style="123" customWidth="1"/>
    <col min="11512" max="11512" width="26" style="123" customWidth="1"/>
    <col min="11513" max="11513" width="21.42578125" style="123" customWidth="1"/>
    <col min="11514" max="11514" width="20.7109375" style="123" customWidth="1"/>
    <col min="11515" max="11515" width="0" style="123" hidden="1" customWidth="1"/>
    <col min="11516" max="11763" width="9.28515625" style="123"/>
    <col min="11764" max="11764" width="21.42578125" style="123" customWidth="1"/>
    <col min="11765" max="11765" width="16.42578125" style="123" customWidth="1"/>
    <col min="11766" max="11766" width="18" style="123" customWidth="1"/>
    <col min="11767" max="11767" width="23.7109375" style="123" customWidth="1"/>
    <col min="11768" max="11768" width="26" style="123" customWidth="1"/>
    <col min="11769" max="11769" width="21.42578125" style="123" customWidth="1"/>
    <col min="11770" max="11770" width="20.7109375" style="123" customWidth="1"/>
    <col min="11771" max="11771" width="0" style="123" hidden="1" customWidth="1"/>
    <col min="11772" max="12019" width="9.28515625" style="123"/>
    <col min="12020" max="12020" width="21.42578125" style="123" customWidth="1"/>
    <col min="12021" max="12021" width="16.42578125" style="123" customWidth="1"/>
    <col min="12022" max="12022" width="18" style="123" customWidth="1"/>
    <col min="12023" max="12023" width="23.7109375" style="123" customWidth="1"/>
    <col min="12024" max="12024" width="26" style="123" customWidth="1"/>
    <col min="12025" max="12025" width="21.42578125" style="123" customWidth="1"/>
    <col min="12026" max="12026" width="20.7109375" style="123" customWidth="1"/>
    <col min="12027" max="12027" width="0" style="123" hidden="1" customWidth="1"/>
    <col min="12028" max="12275" width="9.28515625" style="123"/>
    <col min="12276" max="12276" width="21.42578125" style="123" customWidth="1"/>
    <col min="12277" max="12277" width="16.42578125" style="123" customWidth="1"/>
    <col min="12278" max="12278" width="18" style="123" customWidth="1"/>
    <col min="12279" max="12279" width="23.7109375" style="123" customWidth="1"/>
    <col min="12280" max="12280" width="26" style="123" customWidth="1"/>
    <col min="12281" max="12281" width="21.42578125" style="123" customWidth="1"/>
    <col min="12282" max="12282" width="20.7109375" style="123" customWidth="1"/>
    <col min="12283" max="12283" width="0" style="123" hidden="1" customWidth="1"/>
    <col min="12284" max="12531" width="9.28515625" style="123"/>
    <col min="12532" max="12532" width="21.42578125" style="123" customWidth="1"/>
    <col min="12533" max="12533" width="16.42578125" style="123" customWidth="1"/>
    <col min="12534" max="12534" width="18" style="123" customWidth="1"/>
    <col min="12535" max="12535" width="23.7109375" style="123" customWidth="1"/>
    <col min="12536" max="12536" width="26" style="123" customWidth="1"/>
    <col min="12537" max="12537" width="21.42578125" style="123" customWidth="1"/>
    <col min="12538" max="12538" width="20.7109375" style="123" customWidth="1"/>
    <col min="12539" max="12539" width="0" style="123" hidden="1" customWidth="1"/>
    <col min="12540" max="12787" width="9.28515625" style="123"/>
    <col min="12788" max="12788" width="21.42578125" style="123" customWidth="1"/>
    <col min="12789" max="12789" width="16.42578125" style="123" customWidth="1"/>
    <col min="12790" max="12790" width="18" style="123" customWidth="1"/>
    <col min="12791" max="12791" width="23.7109375" style="123" customWidth="1"/>
    <col min="12792" max="12792" width="26" style="123" customWidth="1"/>
    <col min="12793" max="12793" width="21.42578125" style="123" customWidth="1"/>
    <col min="12794" max="12794" width="20.7109375" style="123" customWidth="1"/>
    <col min="12795" max="12795" width="0" style="123" hidden="1" customWidth="1"/>
    <col min="12796" max="13043" width="9.28515625" style="123"/>
    <col min="13044" max="13044" width="21.42578125" style="123" customWidth="1"/>
    <col min="13045" max="13045" width="16.42578125" style="123" customWidth="1"/>
    <col min="13046" max="13046" width="18" style="123" customWidth="1"/>
    <col min="13047" max="13047" width="23.7109375" style="123" customWidth="1"/>
    <col min="13048" max="13048" width="26" style="123" customWidth="1"/>
    <col min="13049" max="13049" width="21.42578125" style="123" customWidth="1"/>
    <col min="13050" max="13050" width="20.7109375" style="123" customWidth="1"/>
    <col min="13051" max="13051" width="0" style="123" hidden="1" customWidth="1"/>
    <col min="13052" max="13299" width="9.28515625" style="123"/>
    <col min="13300" max="13300" width="21.42578125" style="123" customWidth="1"/>
    <col min="13301" max="13301" width="16.42578125" style="123" customWidth="1"/>
    <col min="13302" max="13302" width="18" style="123" customWidth="1"/>
    <col min="13303" max="13303" width="23.7109375" style="123" customWidth="1"/>
    <col min="13304" max="13304" width="26" style="123" customWidth="1"/>
    <col min="13305" max="13305" width="21.42578125" style="123" customWidth="1"/>
    <col min="13306" max="13306" width="20.7109375" style="123" customWidth="1"/>
    <col min="13307" max="13307" width="0" style="123" hidden="1" customWidth="1"/>
    <col min="13308" max="13555" width="9.28515625" style="123"/>
    <col min="13556" max="13556" width="21.42578125" style="123" customWidth="1"/>
    <col min="13557" max="13557" width="16.42578125" style="123" customWidth="1"/>
    <col min="13558" max="13558" width="18" style="123" customWidth="1"/>
    <col min="13559" max="13559" width="23.7109375" style="123" customWidth="1"/>
    <col min="13560" max="13560" width="26" style="123" customWidth="1"/>
    <col min="13561" max="13561" width="21.42578125" style="123" customWidth="1"/>
    <col min="13562" max="13562" width="20.7109375" style="123" customWidth="1"/>
    <col min="13563" max="13563" width="0" style="123" hidden="1" customWidth="1"/>
    <col min="13564" max="13811" width="9.28515625" style="123"/>
    <col min="13812" max="13812" width="21.42578125" style="123" customWidth="1"/>
    <col min="13813" max="13813" width="16.42578125" style="123" customWidth="1"/>
    <col min="13814" max="13814" width="18" style="123" customWidth="1"/>
    <col min="13815" max="13815" width="23.7109375" style="123" customWidth="1"/>
    <col min="13816" max="13816" width="26" style="123" customWidth="1"/>
    <col min="13817" max="13817" width="21.42578125" style="123" customWidth="1"/>
    <col min="13818" max="13818" width="20.7109375" style="123" customWidth="1"/>
    <col min="13819" max="13819" width="0" style="123" hidden="1" customWidth="1"/>
    <col min="13820" max="14067" width="9.28515625" style="123"/>
    <col min="14068" max="14068" width="21.42578125" style="123" customWidth="1"/>
    <col min="14069" max="14069" width="16.42578125" style="123" customWidth="1"/>
    <col min="14070" max="14070" width="18" style="123" customWidth="1"/>
    <col min="14071" max="14071" width="23.7109375" style="123" customWidth="1"/>
    <col min="14072" max="14072" width="26" style="123" customWidth="1"/>
    <col min="14073" max="14073" width="21.42578125" style="123" customWidth="1"/>
    <col min="14074" max="14074" width="20.7109375" style="123" customWidth="1"/>
    <col min="14075" max="14075" width="0" style="123" hidden="1" customWidth="1"/>
    <col min="14076" max="14323" width="9.28515625" style="123"/>
    <col min="14324" max="14324" width="21.42578125" style="123" customWidth="1"/>
    <col min="14325" max="14325" width="16.42578125" style="123" customWidth="1"/>
    <col min="14326" max="14326" width="18" style="123" customWidth="1"/>
    <col min="14327" max="14327" width="23.7109375" style="123" customWidth="1"/>
    <col min="14328" max="14328" width="26" style="123" customWidth="1"/>
    <col min="14329" max="14329" width="21.42578125" style="123" customWidth="1"/>
    <col min="14330" max="14330" width="20.7109375" style="123" customWidth="1"/>
    <col min="14331" max="14331" width="0" style="123" hidden="1" customWidth="1"/>
    <col min="14332" max="14579" width="9.28515625" style="123"/>
    <col min="14580" max="14580" width="21.42578125" style="123" customWidth="1"/>
    <col min="14581" max="14581" width="16.42578125" style="123" customWidth="1"/>
    <col min="14582" max="14582" width="18" style="123" customWidth="1"/>
    <col min="14583" max="14583" width="23.7109375" style="123" customWidth="1"/>
    <col min="14584" max="14584" width="26" style="123" customWidth="1"/>
    <col min="14585" max="14585" width="21.42578125" style="123" customWidth="1"/>
    <col min="14586" max="14586" width="20.7109375" style="123" customWidth="1"/>
    <col min="14587" max="14587" width="0" style="123" hidden="1" customWidth="1"/>
    <col min="14588" max="14835" width="9.28515625" style="123"/>
    <col min="14836" max="14836" width="21.42578125" style="123" customWidth="1"/>
    <col min="14837" max="14837" width="16.42578125" style="123" customWidth="1"/>
    <col min="14838" max="14838" width="18" style="123" customWidth="1"/>
    <col min="14839" max="14839" width="23.7109375" style="123" customWidth="1"/>
    <col min="14840" max="14840" width="26" style="123" customWidth="1"/>
    <col min="14841" max="14841" width="21.42578125" style="123" customWidth="1"/>
    <col min="14842" max="14842" width="20.7109375" style="123" customWidth="1"/>
    <col min="14843" max="14843" width="0" style="123" hidden="1" customWidth="1"/>
    <col min="14844" max="15091" width="9.28515625" style="123"/>
    <col min="15092" max="15092" width="21.42578125" style="123" customWidth="1"/>
    <col min="15093" max="15093" width="16.42578125" style="123" customWidth="1"/>
    <col min="15094" max="15094" width="18" style="123" customWidth="1"/>
    <col min="15095" max="15095" width="23.7109375" style="123" customWidth="1"/>
    <col min="15096" max="15096" width="26" style="123" customWidth="1"/>
    <col min="15097" max="15097" width="21.42578125" style="123" customWidth="1"/>
    <col min="15098" max="15098" width="20.7109375" style="123" customWidth="1"/>
    <col min="15099" max="15099" width="0" style="123" hidden="1" customWidth="1"/>
    <col min="15100" max="15347" width="9.28515625" style="123"/>
    <col min="15348" max="15348" width="21.42578125" style="123" customWidth="1"/>
    <col min="15349" max="15349" width="16.42578125" style="123" customWidth="1"/>
    <col min="15350" max="15350" width="18" style="123" customWidth="1"/>
    <col min="15351" max="15351" width="23.7109375" style="123" customWidth="1"/>
    <col min="15352" max="15352" width="26" style="123" customWidth="1"/>
    <col min="15353" max="15353" width="21.42578125" style="123" customWidth="1"/>
    <col min="15354" max="15354" width="20.7109375" style="123" customWidth="1"/>
    <col min="15355" max="15355" width="0" style="123" hidden="1" customWidth="1"/>
    <col min="15356" max="15603" width="9.28515625" style="123"/>
    <col min="15604" max="15604" width="21.42578125" style="123" customWidth="1"/>
    <col min="15605" max="15605" width="16.42578125" style="123" customWidth="1"/>
    <col min="15606" max="15606" width="18" style="123" customWidth="1"/>
    <col min="15607" max="15607" width="23.7109375" style="123" customWidth="1"/>
    <col min="15608" max="15608" width="26" style="123" customWidth="1"/>
    <col min="15609" max="15609" width="21.42578125" style="123" customWidth="1"/>
    <col min="15610" max="15610" width="20.7109375" style="123" customWidth="1"/>
    <col min="15611" max="15611" width="0" style="123" hidden="1" customWidth="1"/>
    <col min="15612" max="15859" width="9.28515625" style="123"/>
    <col min="15860" max="15860" width="21.42578125" style="123" customWidth="1"/>
    <col min="15861" max="15861" width="16.42578125" style="123" customWidth="1"/>
    <col min="15862" max="15862" width="18" style="123" customWidth="1"/>
    <col min="15863" max="15863" width="23.7109375" style="123" customWidth="1"/>
    <col min="15864" max="15864" width="26" style="123" customWidth="1"/>
    <col min="15865" max="15865" width="21.42578125" style="123" customWidth="1"/>
    <col min="15866" max="15866" width="20.7109375" style="123" customWidth="1"/>
    <col min="15867" max="15867" width="0" style="123" hidden="1" customWidth="1"/>
    <col min="15868" max="16115" width="9.28515625" style="123"/>
    <col min="16116" max="16116" width="21.42578125" style="123" customWidth="1"/>
    <col min="16117" max="16117" width="16.42578125" style="123" customWidth="1"/>
    <col min="16118" max="16118" width="18" style="123" customWidth="1"/>
    <col min="16119" max="16119" width="23.7109375" style="123" customWidth="1"/>
    <col min="16120" max="16120" width="26" style="123" customWidth="1"/>
    <col min="16121" max="16121" width="21.42578125" style="123" customWidth="1"/>
    <col min="16122" max="16122" width="20.7109375" style="123" customWidth="1"/>
    <col min="16123" max="16123" width="0" style="123" hidden="1" customWidth="1"/>
    <col min="16124" max="16384" width="9.28515625" style="123"/>
  </cols>
  <sheetData>
    <row r="1" spans="2:15" ht="9" customHeight="1"/>
    <row r="2" spans="2:15" ht="30.4" customHeight="1">
      <c r="B2" s="158" t="s">
        <v>242</v>
      </c>
      <c r="C2" s="159"/>
      <c r="D2" s="159"/>
      <c r="E2" s="159"/>
      <c r="F2" s="159"/>
      <c r="G2" s="159"/>
      <c r="H2" s="159"/>
      <c r="I2" s="159"/>
      <c r="J2" s="160"/>
    </row>
    <row r="3" spans="2:15" ht="30.4" customHeight="1">
      <c r="B3" s="796" t="s">
        <v>243</v>
      </c>
      <c r="C3" s="797"/>
      <c r="D3" s="797"/>
      <c r="E3" s="797"/>
      <c r="F3" s="797"/>
      <c r="G3" s="797"/>
      <c r="H3" s="797"/>
      <c r="I3" s="797"/>
      <c r="J3" s="798"/>
    </row>
    <row r="4" spans="2:15" ht="15" customHeight="1" thickBot="1">
      <c r="B4" s="237"/>
      <c r="C4" s="237"/>
      <c r="D4" s="237"/>
      <c r="E4" s="237"/>
      <c r="F4" s="237"/>
      <c r="G4" s="237"/>
      <c r="H4" s="237"/>
      <c r="I4" s="237"/>
      <c r="J4" s="237"/>
    </row>
    <row r="5" spans="2:15" ht="45" customHeight="1" thickBot="1">
      <c r="B5" s="801" t="s">
        <v>244</v>
      </c>
      <c r="C5" s="802"/>
      <c r="D5" s="803"/>
      <c r="E5" s="237"/>
      <c r="F5" s="796" t="s">
        <v>245</v>
      </c>
      <c r="G5" s="797"/>
      <c r="H5" s="797"/>
      <c r="I5" s="797"/>
      <c r="J5" s="798"/>
    </row>
    <row r="6" spans="2:15" ht="15.75" thickBot="1">
      <c r="B6" s="394" t="s">
        <v>246</v>
      </c>
      <c r="C6" s="395" t="s">
        <v>247</v>
      </c>
      <c r="D6" s="396" t="s">
        <v>248</v>
      </c>
      <c r="F6" s="238" t="s">
        <v>249</v>
      </c>
      <c r="G6" s="238" t="s">
        <v>249</v>
      </c>
      <c r="H6" s="238" t="s">
        <v>249</v>
      </c>
      <c r="I6" s="238" t="s">
        <v>249</v>
      </c>
      <c r="J6" s="238" t="s">
        <v>249</v>
      </c>
      <c r="K6" s="238" t="s">
        <v>249</v>
      </c>
      <c r="L6" s="238" t="s">
        <v>249</v>
      </c>
      <c r="M6" s="238" t="s">
        <v>249</v>
      </c>
      <c r="N6" s="238" t="s">
        <v>249</v>
      </c>
      <c r="O6" s="238" t="s">
        <v>249</v>
      </c>
    </row>
    <row r="7" spans="2:15" ht="15">
      <c r="B7" s="161" t="s">
        <v>250</v>
      </c>
      <c r="C7" s="162" t="s">
        <v>39</v>
      </c>
      <c r="D7" s="239">
        <f>'Cash Flow'!G78</f>
        <v>18.650000000000009</v>
      </c>
      <c r="E7" s="186"/>
      <c r="F7" s="239"/>
      <c r="G7" s="239"/>
      <c r="H7" s="239"/>
      <c r="I7" s="239"/>
      <c r="J7" s="239"/>
      <c r="K7" s="239"/>
      <c r="L7" s="239"/>
      <c r="M7" s="239"/>
      <c r="N7" s="239"/>
      <c r="O7" s="435"/>
    </row>
    <row r="8" spans="2:15" ht="15.75" customHeight="1">
      <c r="B8" s="161" t="s">
        <v>251</v>
      </c>
      <c r="C8" s="162" t="s">
        <v>19</v>
      </c>
      <c r="D8" s="240">
        <f>'Active Inputs'!$Q$9</f>
        <v>0</v>
      </c>
      <c r="E8" s="186"/>
      <c r="F8" s="240"/>
      <c r="G8" s="240"/>
      <c r="H8" s="240"/>
      <c r="I8" s="240"/>
      <c r="J8" s="240"/>
      <c r="K8" s="240"/>
      <c r="L8" s="240"/>
      <c r="M8" s="240"/>
      <c r="N8" s="240"/>
      <c r="O8" s="436"/>
    </row>
    <row r="9" spans="2:15" ht="15.75" customHeight="1">
      <c r="B9" s="163" t="s">
        <v>252</v>
      </c>
      <c r="C9" s="164" t="s">
        <v>19</v>
      </c>
      <c r="D9" s="240">
        <f>'Active Inputs'!$Q$8</f>
        <v>0</v>
      </c>
      <c r="E9" s="186"/>
      <c r="F9" s="240"/>
      <c r="G9" s="240"/>
      <c r="H9" s="240"/>
      <c r="I9" s="240"/>
      <c r="J9" s="240"/>
      <c r="K9" s="240"/>
      <c r="L9" s="240"/>
      <c r="M9" s="240"/>
      <c r="N9" s="240"/>
      <c r="O9" s="436"/>
    </row>
    <row r="10" spans="2:15" ht="30">
      <c r="B10" s="407" t="s">
        <v>253</v>
      </c>
      <c r="C10" s="408"/>
      <c r="D10" s="400" t="str">
        <f>IF('Active Inputs'!$G$56="Pass","Yes","No, see Inputs Worksheet")</f>
        <v>Yes</v>
      </c>
      <c r="F10" s="434"/>
      <c r="G10" s="434"/>
      <c r="H10" s="434"/>
      <c r="I10" s="434"/>
      <c r="J10" s="434"/>
      <c r="K10" s="434"/>
      <c r="L10" s="434"/>
      <c r="M10" s="434"/>
      <c r="N10" s="434"/>
      <c r="O10" s="434"/>
    </row>
    <row r="11" spans="2:15" ht="30">
      <c r="B11" s="409" t="s">
        <v>254</v>
      </c>
      <c r="C11" s="410"/>
      <c r="D11" s="400" t="str">
        <f>IF('Active Inputs'!$G$59="Pass","Yes","No, see Inputs Worksheet")</f>
        <v>Yes</v>
      </c>
      <c r="F11" s="434"/>
      <c r="G11" s="434"/>
      <c r="H11" s="434"/>
      <c r="I11" s="434"/>
      <c r="J11" s="434"/>
      <c r="K11" s="434"/>
      <c r="L11" s="434"/>
      <c r="M11" s="434"/>
      <c r="N11" s="434"/>
      <c r="O11" s="437"/>
    </row>
    <row r="12" spans="2:15" ht="15.75" customHeight="1">
      <c r="B12" s="384" t="s">
        <v>255</v>
      </c>
      <c r="C12" s="382"/>
      <c r="D12" s="383"/>
      <c r="F12" s="433"/>
      <c r="G12" s="433"/>
      <c r="H12" s="433"/>
      <c r="I12" s="433"/>
      <c r="J12" s="433"/>
      <c r="K12" s="433"/>
      <c r="L12" s="433"/>
      <c r="M12" s="433"/>
      <c r="N12" s="433"/>
      <c r="O12" s="433"/>
    </row>
    <row r="13" spans="2:15" ht="15.75" customHeight="1">
      <c r="B13" s="252"/>
      <c r="C13" s="162"/>
      <c r="D13" s="253"/>
      <c r="F13" s="253"/>
      <c r="G13" s="253"/>
      <c r="H13" s="253"/>
      <c r="I13" s="253"/>
      <c r="J13" s="253"/>
      <c r="K13" s="253"/>
      <c r="L13" s="253"/>
      <c r="M13" s="253"/>
      <c r="N13" s="253"/>
      <c r="O13" s="253"/>
    </row>
    <row r="14" spans="2:15" ht="15.75" customHeight="1">
      <c r="B14" s="254" t="s">
        <v>256</v>
      </c>
      <c r="C14" s="255" t="s">
        <v>39</v>
      </c>
      <c r="D14" s="673">
        <f>-PMT('Active Inputs'!$G$61,'Active Inputs'!$Q$7,NPV('Active Inputs'!$G$61,'Cash Flow'!G14:AJ14))</f>
        <v>18.650000000000016</v>
      </c>
      <c r="F14" s="256"/>
      <c r="G14" s="256"/>
      <c r="H14" s="256"/>
      <c r="I14" s="256"/>
      <c r="J14" s="256"/>
      <c r="K14" s="256"/>
      <c r="L14" s="256"/>
      <c r="M14" s="256"/>
      <c r="N14" s="256"/>
      <c r="O14" s="256"/>
    </row>
    <row r="15" spans="2:15" s="141" customFormat="1">
      <c r="C15" s="165"/>
    </row>
    <row r="16" spans="2:15" s="141" customFormat="1" ht="15.75" customHeight="1">
      <c r="B16" s="166" t="s">
        <v>257</v>
      </c>
      <c r="C16" s="259"/>
      <c r="D16" s="258"/>
      <c r="E16" s="123"/>
      <c r="F16" s="164"/>
      <c r="G16" s="164"/>
      <c r="H16" s="164"/>
      <c r="I16" s="164"/>
      <c r="J16" s="164"/>
      <c r="K16" s="164"/>
      <c r="L16" s="164"/>
      <c r="M16" s="164"/>
      <c r="N16" s="164"/>
      <c r="O16" s="164"/>
    </row>
    <row r="17" spans="2:15" ht="15">
      <c r="B17" s="161" t="str">
        <f>'Active Inputs'!$E$7</f>
        <v>Generator Nameplate Capacity</v>
      </c>
      <c r="C17" s="162" t="str">
        <f>'Active Inputs'!F7</f>
        <v>kW</v>
      </c>
      <c r="D17" s="429">
        <f>'Active Inputs'!G7</f>
        <v>5000</v>
      </c>
      <c r="E17" s="167"/>
      <c r="F17" s="430"/>
      <c r="G17" s="431"/>
      <c r="H17" s="430"/>
      <c r="I17" s="430"/>
      <c r="J17" s="430"/>
      <c r="K17" s="430"/>
      <c r="L17" s="431"/>
      <c r="M17" s="430"/>
      <c r="N17" s="430"/>
      <c r="O17" s="430"/>
    </row>
    <row r="18" spans="2:15" ht="15">
      <c r="B18" s="161" t="str">
        <f>'Active Inputs'!$E$8</f>
        <v>Net Capacity Factor, Yr 1</v>
      </c>
      <c r="C18" s="162" t="str">
        <f>'Active Inputs'!$F$8</f>
        <v>%</v>
      </c>
      <c r="D18" s="168">
        <f>'Active Inputs'!$G$8</f>
        <v>0.151</v>
      </c>
      <c r="E18" s="169"/>
      <c r="F18" s="168"/>
      <c r="G18" s="169"/>
      <c r="H18" s="168"/>
      <c r="I18" s="168"/>
      <c r="J18" s="168"/>
      <c r="K18" s="168"/>
      <c r="L18" s="169"/>
      <c r="M18" s="168"/>
      <c r="N18" s="168"/>
      <c r="O18" s="168"/>
    </row>
    <row r="19" spans="2:15" ht="15">
      <c r="B19" s="161" t="str">
        <f>'Active Inputs'!$O$7</f>
        <v>Payment Duration for Cost-Based Incentive</v>
      </c>
      <c r="C19" s="162" t="s">
        <v>258</v>
      </c>
      <c r="D19" s="170">
        <f>'Active Inputs'!$Q$7</f>
        <v>20</v>
      </c>
      <c r="E19" s="124"/>
      <c r="F19" s="170"/>
      <c r="G19" s="124"/>
      <c r="H19" s="170"/>
      <c r="I19" s="170"/>
      <c r="J19" s="170"/>
      <c r="K19" s="170"/>
      <c r="L19" s="124"/>
      <c r="M19" s="170"/>
      <c r="N19" s="170"/>
      <c r="O19" s="170"/>
    </row>
    <row r="20" spans="2:15" ht="15">
      <c r="B20" s="161"/>
      <c r="C20" s="162"/>
      <c r="D20" s="170"/>
      <c r="E20" s="124"/>
      <c r="F20" s="170"/>
      <c r="G20" s="124"/>
      <c r="H20" s="170"/>
      <c r="I20" s="170"/>
      <c r="J20" s="170"/>
      <c r="K20" s="170"/>
      <c r="L20" s="124"/>
      <c r="M20" s="170"/>
      <c r="N20" s="170"/>
      <c r="O20" s="170"/>
    </row>
    <row r="21" spans="2:15" ht="15">
      <c r="B21" s="161" t="str">
        <f>'Active Inputs'!$E$25</f>
        <v>Net Project Cost</v>
      </c>
      <c r="C21" s="162" t="s">
        <v>47</v>
      </c>
      <c r="D21" s="171">
        <f>'Active Inputs'!$G25</f>
        <v>12361049.689819714</v>
      </c>
      <c r="E21" s="172"/>
      <c r="F21" s="171"/>
      <c r="G21" s="172"/>
      <c r="H21" s="171"/>
      <c r="I21" s="171"/>
      <c r="J21" s="171"/>
      <c r="K21" s="171"/>
      <c r="L21" s="172"/>
      <c r="M21" s="171"/>
      <c r="N21" s="171"/>
      <c r="O21" s="171"/>
    </row>
    <row r="22" spans="2:15" ht="15">
      <c r="B22" s="161" t="str">
        <f>'Active Inputs'!$E$26</f>
        <v>Net Project Cost</v>
      </c>
      <c r="C22" s="165" t="s">
        <v>33</v>
      </c>
      <c r="D22" s="171">
        <f>'Active Inputs'!$G26</f>
        <v>2472.2099379639426</v>
      </c>
      <c r="E22" s="173"/>
      <c r="F22" s="171"/>
      <c r="G22" s="172"/>
      <c r="H22" s="171"/>
      <c r="I22" s="171"/>
      <c r="J22" s="171"/>
      <c r="K22" s="171"/>
      <c r="L22" s="172"/>
      <c r="M22" s="171"/>
      <c r="N22" s="171"/>
      <c r="O22" s="171"/>
    </row>
    <row r="23" spans="2:15" ht="15">
      <c r="B23" s="161"/>
      <c r="C23" s="162"/>
      <c r="D23" s="170"/>
      <c r="E23" s="124"/>
      <c r="F23" s="170"/>
      <c r="G23" s="124"/>
      <c r="H23" s="170"/>
      <c r="I23" s="170"/>
      <c r="J23" s="170"/>
      <c r="K23" s="170"/>
      <c r="L23" s="124"/>
      <c r="M23" s="170"/>
      <c r="N23" s="170"/>
      <c r="O23" s="170"/>
    </row>
    <row r="24" spans="2:15" ht="15">
      <c r="B24" s="161" t="str">
        <f>'Active Inputs'!$E$60</f>
        <v>% Equity (% hard costs) (soft costs also equity funded)</v>
      </c>
      <c r="C24" s="165" t="s">
        <v>19</v>
      </c>
      <c r="D24" s="174">
        <f>'Active Inputs'!$G60</f>
        <v>0.55499999999999994</v>
      </c>
      <c r="E24" s="175"/>
      <c r="F24" s="174"/>
      <c r="G24" s="175"/>
      <c r="H24" s="174"/>
      <c r="I24" s="174"/>
      <c r="J24" s="174"/>
      <c r="K24" s="174"/>
      <c r="L24" s="175"/>
      <c r="M24" s="174"/>
      <c r="N24" s="174"/>
      <c r="O24" s="174"/>
    </row>
    <row r="25" spans="2:15" ht="15">
      <c r="B25" s="161" t="str">
        <f>'Active Inputs'!$E$61</f>
        <v>Target After-Tax Equity IRR</v>
      </c>
      <c r="C25" s="162" t="s">
        <v>19</v>
      </c>
      <c r="D25" s="241">
        <f>'Active Inputs'!$G61</f>
        <v>0.10025000000000001</v>
      </c>
      <c r="E25" s="175"/>
      <c r="F25" s="174"/>
      <c r="G25" s="175"/>
      <c r="H25" s="174"/>
      <c r="I25" s="174"/>
      <c r="J25" s="174"/>
      <c r="K25" s="174"/>
      <c r="L25" s="175"/>
      <c r="M25" s="174"/>
      <c r="N25" s="174"/>
      <c r="O25" s="174"/>
    </row>
    <row r="26" spans="2:15" ht="15">
      <c r="B26" s="161" t="str">
        <f>'Active Inputs'!$E$50</f>
        <v>% Debt (% of hard costs) (mortgage-style amort.)</v>
      </c>
      <c r="C26" s="165" t="s">
        <v>19</v>
      </c>
      <c r="D26" s="174">
        <f>'Active Inputs'!$G50</f>
        <v>0.44500000000000001</v>
      </c>
      <c r="E26" s="175"/>
      <c r="F26" s="174"/>
      <c r="G26" s="175"/>
      <c r="H26" s="174"/>
      <c r="I26" s="174"/>
      <c r="J26" s="174"/>
      <c r="K26" s="174"/>
      <c r="L26" s="175"/>
      <c r="M26" s="174"/>
      <c r="N26" s="174"/>
      <c r="O26" s="174"/>
    </row>
    <row r="27" spans="2:15" ht="15">
      <c r="B27" s="161" t="str">
        <f>'Active Inputs'!$E$52</f>
        <v>Interest Rate on Term Debt</v>
      </c>
      <c r="C27" s="165" t="s">
        <v>19</v>
      </c>
      <c r="D27" s="241">
        <f>'Active Inputs'!$G52</f>
        <v>7.6638765941485373E-2</v>
      </c>
      <c r="E27" s="175"/>
      <c r="F27" s="174"/>
      <c r="G27" s="175"/>
      <c r="H27" s="174"/>
      <c r="I27" s="174"/>
      <c r="J27" s="174"/>
      <c r="K27" s="174"/>
      <c r="L27" s="175"/>
      <c r="M27" s="174"/>
      <c r="N27" s="174"/>
      <c r="O27" s="174"/>
    </row>
    <row r="28" spans="2:15" ht="15">
      <c r="B28" s="161" t="str">
        <f>'Active Inputs'!$E$72</f>
        <v>Is owner a taxable entity?</v>
      </c>
      <c r="C28" s="124"/>
      <c r="D28" s="174" t="str">
        <f>'Active Inputs'!$G$72</f>
        <v>Yes</v>
      </c>
      <c r="E28" s="175"/>
      <c r="F28" s="174"/>
      <c r="G28" s="175"/>
      <c r="H28" s="174"/>
      <c r="I28" s="174"/>
      <c r="J28" s="174"/>
      <c r="K28" s="174"/>
      <c r="L28" s="175"/>
      <c r="M28" s="174"/>
      <c r="N28" s="174"/>
      <c r="O28" s="174"/>
    </row>
    <row r="29" spans="2:15" ht="15">
      <c r="B29" s="161"/>
      <c r="C29" s="124"/>
      <c r="D29" s="174"/>
      <c r="E29" s="175"/>
      <c r="F29" s="174"/>
      <c r="G29" s="175"/>
      <c r="H29" s="174"/>
      <c r="I29" s="174"/>
      <c r="J29" s="174"/>
      <c r="K29" s="174"/>
      <c r="L29" s="175"/>
      <c r="M29" s="174"/>
      <c r="N29" s="174"/>
      <c r="O29" s="174"/>
    </row>
    <row r="30" spans="2:15" ht="15">
      <c r="B30" s="161" t="s">
        <v>259</v>
      </c>
      <c r="C30" s="162"/>
      <c r="D30" s="171" t="str">
        <f>'Active Inputs'!Q18</f>
        <v>Cost-Based</v>
      </c>
      <c r="E30" s="175"/>
      <c r="F30" s="174"/>
      <c r="G30" s="175"/>
      <c r="H30" s="174"/>
      <c r="I30" s="174"/>
      <c r="J30" s="174"/>
      <c r="K30" s="174"/>
      <c r="L30" s="175"/>
      <c r="M30" s="174"/>
      <c r="N30" s="174"/>
      <c r="O30" s="174"/>
    </row>
    <row r="31" spans="2:15" ht="15">
      <c r="B31" s="161" t="s">
        <v>260</v>
      </c>
      <c r="C31" s="162"/>
      <c r="D31" s="171" t="str">
        <f>IF($D$30="Cost-Based",'Active Inputs'!$Q$19,'Active Inputs'!$Q$23)</f>
        <v>ITC</v>
      </c>
      <c r="E31" s="175"/>
      <c r="F31" s="174"/>
      <c r="G31" s="175"/>
      <c r="H31" s="174"/>
      <c r="I31" s="174"/>
      <c r="J31" s="174"/>
      <c r="K31" s="174"/>
      <c r="L31" s="175"/>
      <c r="M31" s="174"/>
      <c r="N31" s="174"/>
      <c r="O31" s="174"/>
    </row>
    <row r="32" spans="2:15" ht="15">
      <c r="B32" s="163" t="s">
        <v>261</v>
      </c>
      <c r="C32" s="144"/>
      <c r="D32" s="176" t="str">
        <f>IF(AND('Active Inputs'!$Q$30=0,'Active Inputs'!$Q$47=0),"No","Yes")</f>
        <v>No</v>
      </c>
      <c r="F32" s="176"/>
      <c r="G32" s="567"/>
      <c r="H32" s="176"/>
      <c r="I32" s="176"/>
      <c r="J32" s="176"/>
      <c r="K32" s="176"/>
      <c r="L32" s="567"/>
      <c r="M32" s="176"/>
      <c r="N32" s="176"/>
      <c r="O32" s="176"/>
    </row>
    <row r="33" spans="2:15" ht="150.75" customHeight="1">
      <c r="B33" s="364" t="s">
        <v>262</v>
      </c>
      <c r="C33" s="365"/>
      <c r="D33" s="257"/>
      <c r="F33" s="257"/>
      <c r="G33" s="257"/>
      <c r="H33" s="257"/>
      <c r="I33" s="257"/>
      <c r="J33" s="257"/>
      <c r="K33" s="257"/>
      <c r="L33" s="257"/>
      <c r="M33" s="257"/>
      <c r="N33" s="257"/>
      <c r="O33" s="257"/>
    </row>
    <row r="34" spans="2:15" ht="30.4" customHeight="1">
      <c r="B34" s="180"/>
      <c r="C34" s="180"/>
      <c r="D34" s="180"/>
      <c r="E34" s="180"/>
      <c r="F34" s="180"/>
      <c r="G34" s="180"/>
      <c r="H34" s="180"/>
      <c r="I34" s="180"/>
      <c r="J34" s="180"/>
    </row>
    <row r="35" spans="2:15" ht="18">
      <c r="B35" s="180"/>
      <c r="C35" s="180"/>
      <c r="D35" s="181"/>
      <c r="E35" s="180"/>
      <c r="F35" s="180"/>
      <c r="G35" s="180"/>
      <c r="H35" s="180"/>
      <c r="I35" s="180"/>
      <c r="J35" s="180"/>
    </row>
    <row r="36" spans="2:15">
      <c r="D36" s="800"/>
      <c r="E36" s="800"/>
      <c r="F36" s="800"/>
      <c r="G36" s="800"/>
      <c r="H36" s="800"/>
      <c r="I36" s="800"/>
    </row>
    <row r="37" spans="2:15" ht="15">
      <c r="C37" s="177"/>
      <c r="D37" s="178"/>
      <c r="E37" s="178"/>
      <c r="F37" s="178"/>
      <c r="G37" s="178"/>
      <c r="H37" s="178"/>
      <c r="I37" s="178"/>
      <c r="J37" s="178"/>
    </row>
    <row r="38" spans="2:15" ht="15">
      <c r="B38" s="799"/>
      <c r="C38" s="179"/>
    </row>
    <row r="39" spans="2:15" ht="15">
      <c r="B39" s="799"/>
      <c r="C39" s="179"/>
    </row>
    <row r="40" spans="2:15" ht="15">
      <c r="B40" s="799"/>
      <c r="C40" s="179"/>
    </row>
    <row r="41" spans="2:15" ht="15">
      <c r="B41" s="799"/>
      <c r="C41" s="179"/>
    </row>
    <row r="42" spans="2:15" ht="15">
      <c r="B42" s="799"/>
      <c r="C42" s="179"/>
    </row>
    <row r="46" spans="2:15" ht="15.75" customHeight="1"/>
  </sheetData>
  <protectedRanges>
    <protectedRange sqref="F6:O6" name="Scenario Names"/>
    <protectedRange sqref="D33 F7:O33" name="InputsOutputs"/>
  </protectedRanges>
  <mergeCells count="5">
    <mergeCell ref="B3:J3"/>
    <mergeCell ref="B38:B42"/>
    <mergeCell ref="D36:I36"/>
    <mergeCell ref="F5:J5"/>
    <mergeCell ref="B5:D5"/>
  </mergeCells>
  <conditionalFormatting sqref="D10">
    <cfRule type="expression" dxfId="5" priority="9">
      <formula>$D10="Yes"</formula>
    </cfRule>
  </conditionalFormatting>
  <conditionalFormatting sqref="D11">
    <cfRule type="expression" dxfId="4" priority="7">
      <formula>$D11="Yes"</formula>
    </cfRule>
  </conditionalFormatting>
  <pageMargins left="0.7" right="0.7" top="0.75" bottom="0.75" header="0.3" footer="0.3"/>
  <pageSetup orientation="portrait" horizontalDpi="4294967293" verticalDpi="12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7" tint="0.39997558519241921"/>
  </sheetPr>
  <dimension ref="B1:S38"/>
  <sheetViews>
    <sheetView zoomScale="70" zoomScaleNormal="70" workbookViewId="0">
      <selection activeCell="C7" sqref="C7"/>
    </sheetView>
  </sheetViews>
  <sheetFormatPr defaultRowHeight="14.25"/>
  <cols>
    <col min="1" max="1" width="2.5703125" style="123" customWidth="1"/>
    <col min="2" max="2" width="9.7109375" style="123" customWidth="1"/>
    <col min="3" max="3" width="15" style="123" customWidth="1"/>
    <col min="4" max="4" width="12.7109375" style="123" customWidth="1"/>
    <col min="5" max="5" width="13.7109375" style="123" customWidth="1"/>
    <col min="6" max="6" width="14.7109375" style="123" customWidth="1"/>
    <col min="7" max="7" width="13" style="124" customWidth="1"/>
    <col min="8" max="8" width="12.42578125" style="123" customWidth="1"/>
    <col min="9" max="10" width="15.28515625" style="123" bestFit="1" customWidth="1"/>
    <col min="11" max="11" width="15.7109375" style="123" customWidth="1"/>
    <col min="12" max="12" width="14.42578125" style="123" customWidth="1"/>
    <col min="13" max="13" width="15.7109375" style="123" customWidth="1"/>
    <col min="14" max="14" width="16.42578125" style="123" customWidth="1"/>
    <col min="15" max="15" width="11.42578125" style="123" customWidth="1"/>
    <col min="16" max="16" width="11.28515625" style="123" customWidth="1"/>
    <col min="17" max="17" width="9.28515625" style="123"/>
    <col min="18" max="18" width="24.7109375" style="123" bestFit="1" customWidth="1"/>
    <col min="19" max="19" width="29.28515625" style="123" bestFit="1" customWidth="1"/>
    <col min="20" max="235" width="9.28515625" style="123"/>
    <col min="236" max="236" width="21.42578125" style="123" customWidth="1"/>
    <col min="237" max="237" width="16.42578125" style="123" customWidth="1"/>
    <col min="238" max="238" width="18" style="123" customWidth="1"/>
    <col min="239" max="239" width="23.7109375" style="123" customWidth="1"/>
    <col min="240" max="240" width="26" style="123" customWidth="1"/>
    <col min="241" max="241" width="21.42578125" style="123" customWidth="1"/>
    <col min="242" max="242" width="20.7109375" style="123" customWidth="1"/>
    <col min="243" max="243" width="0" style="123" hidden="1" customWidth="1"/>
    <col min="244" max="491" width="9.28515625" style="123"/>
    <col min="492" max="492" width="21.42578125" style="123" customWidth="1"/>
    <col min="493" max="493" width="16.42578125" style="123" customWidth="1"/>
    <col min="494" max="494" width="18" style="123" customWidth="1"/>
    <col min="495" max="495" width="23.7109375" style="123" customWidth="1"/>
    <col min="496" max="496" width="26" style="123" customWidth="1"/>
    <col min="497" max="497" width="21.42578125" style="123" customWidth="1"/>
    <col min="498" max="498" width="20.7109375" style="123" customWidth="1"/>
    <col min="499" max="499" width="0" style="123" hidden="1" customWidth="1"/>
    <col min="500" max="747" width="9.28515625" style="123"/>
    <col min="748" max="748" width="21.42578125" style="123" customWidth="1"/>
    <col min="749" max="749" width="16.42578125" style="123" customWidth="1"/>
    <col min="750" max="750" width="18" style="123" customWidth="1"/>
    <col min="751" max="751" width="23.7109375" style="123" customWidth="1"/>
    <col min="752" max="752" width="26" style="123" customWidth="1"/>
    <col min="753" max="753" width="21.42578125" style="123" customWidth="1"/>
    <col min="754" max="754" width="20.7109375" style="123" customWidth="1"/>
    <col min="755" max="755" width="0" style="123" hidden="1" customWidth="1"/>
    <col min="756" max="1003" width="9.28515625" style="123"/>
    <col min="1004" max="1004" width="21.42578125" style="123" customWidth="1"/>
    <col min="1005" max="1005" width="16.42578125" style="123" customWidth="1"/>
    <col min="1006" max="1006" width="18" style="123" customWidth="1"/>
    <col min="1007" max="1007" width="23.7109375" style="123" customWidth="1"/>
    <col min="1008" max="1008" width="26" style="123" customWidth="1"/>
    <col min="1009" max="1009" width="21.42578125" style="123" customWidth="1"/>
    <col min="1010" max="1010" width="20.7109375" style="123" customWidth="1"/>
    <col min="1011" max="1011" width="0" style="123" hidden="1" customWidth="1"/>
    <col min="1012" max="1259" width="9.28515625" style="123"/>
    <col min="1260" max="1260" width="21.42578125" style="123" customWidth="1"/>
    <col min="1261" max="1261" width="16.42578125" style="123" customWidth="1"/>
    <col min="1262" max="1262" width="18" style="123" customWidth="1"/>
    <col min="1263" max="1263" width="23.7109375" style="123" customWidth="1"/>
    <col min="1264" max="1264" width="26" style="123" customWidth="1"/>
    <col min="1265" max="1265" width="21.42578125" style="123" customWidth="1"/>
    <col min="1266" max="1266" width="20.7109375" style="123" customWidth="1"/>
    <col min="1267" max="1267" width="0" style="123" hidden="1" customWidth="1"/>
    <col min="1268" max="1515" width="9.28515625" style="123"/>
    <col min="1516" max="1516" width="21.42578125" style="123" customWidth="1"/>
    <col min="1517" max="1517" width="16.42578125" style="123" customWidth="1"/>
    <col min="1518" max="1518" width="18" style="123" customWidth="1"/>
    <col min="1519" max="1519" width="23.7109375" style="123" customWidth="1"/>
    <col min="1520" max="1520" width="26" style="123" customWidth="1"/>
    <col min="1521" max="1521" width="21.42578125" style="123" customWidth="1"/>
    <col min="1522" max="1522" width="20.7109375" style="123" customWidth="1"/>
    <col min="1523" max="1523" width="0" style="123" hidden="1" customWidth="1"/>
    <col min="1524" max="1771" width="9.28515625" style="123"/>
    <col min="1772" max="1772" width="21.42578125" style="123" customWidth="1"/>
    <col min="1773" max="1773" width="16.42578125" style="123" customWidth="1"/>
    <col min="1774" max="1774" width="18" style="123" customWidth="1"/>
    <col min="1775" max="1775" width="23.7109375" style="123" customWidth="1"/>
    <col min="1776" max="1776" width="26" style="123" customWidth="1"/>
    <col min="1777" max="1777" width="21.42578125" style="123" customWidth="1"/>
    <col min="1778" max="1778" width="20.7109375" style="123" customWidth="1"/>
    <col min="1779" max="1779" width="0" style="123" hidden="1" customWidth="1"/>
    <col min="1780" max="2027" width="9.28515625" style="123"/>
    <col min="2028" max="2028" width="21.42578125" style="123" customWidth="1"/>
    <col min="2029" max="2029" width="16.42578125" style="123" customWidth="1"/>
    <col min="2030" max="2030" width="18" style="123" customWidth="1"/>
    <col min="2031" max="2031" width="23.7109375" style="123" customWidth="1"/>
    <col min="2032" max="2032" width="26" style="123" customWidth="1"/>
    <col min="2033" max="2033" width="21.42578125" style="123" customWidth="1"/>
    <col min="2034" max="2034" width="20.7109375" style="123" customWidth="1"/>
    <col min="2035" max="2035" width="0" style="123" hidden="1" customWidth="1"/>
    <col min="2036" max="2283" width="9.28515625" style="123"/>
    <col min="2284" max="2284" width="21.42578125" style="123" customWidth="1"/>
    <col min="2285" max="2285" width="16.42578125" style="123" customWidth="1"/>
    <col min="2286" max="2286" width="18" style="123" customWidth="1"/>
    <col min="2287" max="2287" width="23.7109375" style="123" customWidth="1"/>
    <col min="2288" max="2288" width="26" style="123" customWidth="1"/>
    <col min="2289" max="2289" width="21.42578125" style="123" customWidth="1"/>
    <col min="2290" max="2290" width="20.7109375" style="123" customWidth="1"/>
    <col min="2291" max="2291" width="0" style="123" hidden="1" customWidth="1"/>
    <col min="2292" max="2539" width="9.28515625" style="123"/>
    <col min="2540" max="2540" width="21.42578125" style="123" customWidth="1"/>
    <col min="2541" max="2541" width="16.42578125" style="123" customWidth="1"/>
    <col min="2542" max="2542" width="18" style="123" customWidth="1"/>
    <col min="2543" max="2543" width="23.7109375" style="123" customWidth="1"/>
    <col min="2544" max="2544" width="26" style="123" customWidth="1"/>
    <col min="2545" max="2545" width="21.42578125" style="123" customWidth="1"/>
    <col min="2546" max="2546" width="20.7109375" style="123" customWidth="1"/>
    <col min="2547" max="2547" width="0" style="123" hidden="1" customWidth="1"/>
    <col min="2548" max="2795" width="9.28515625" style="123"/>
    <col min="2796" max="2796" width="21.42578125" style="123" customWidth="1"/>
    <col min="2797" max="2797" width="16.42578125" style="123" customWidth="1"/>
    <col min="2798" max="2798" width="18" style="123" customWidth="1"/>
    <col min="2799" max="2799" width="23.7109375" style="123" customWidth="1"/>
    <col min="2800" max="2800" width="26" style="123" customWidth="1"/>
    <col min="2801" max="2801" width="21.42578125" style="123" customWidth="1"/>
    <col min="2802" max="2802" width="20.7109375" style="123" customWidth="1"/>
    <col min="2803" max="2803" width="0" style="123" hidden="1" customWidth="1"/>
    <col min="2804" max="3051" width="9.28515625" style="123"/>
    <col min="3052" max="3052" width="21.42578125" style="123" customWidth="1"/>
    <col min="3053" max="3053" width="16.42578125" style="123" customWidth="1"/>
    <col min="3054" max="3054" width="18" style="123" customWidth="1"/>
    <col min="3055" max="3055" width="23.7109375" style="123" customWidth="1"/>
    <col min="3056" max="3056" width="26" style="123" customWidth="1"/>
    <col min="3057" max="3057" width="21.42578125" style="123" customWidth="1"/>
    <col min="3058" max="3058" width="20.7109375" style="123" customWidth="1"/>
    <col min="3059" max="3059" width="0" style="123" hidden="1" customWidth="1"/>
    <col min="3060" max="3307" width="9.28515625" style="123"/>
    <col min="3308" max="3308" width="21.42578125" style="123" customWidth="1"/>
    <col min="3309" max="3309" width="16.42578125" style="123" customWidth="1"/>
    <col min="3310" max="3310" width="18" style="123" customWidth="1"/>
    <col min="3311" max="3311" width="23.7109375" style="123" customWidth="1"/>
    <col min="3312" max="3312" width="26" style="123" customWidth="1"/>
    <col min="3313" max="3313" width="21.42578125" style="123" customWidth="1"/>
    <col min="3314" max="3314" width="20.7109375" style="123" customWidth="1"/>
    <col min="3315" max="3315" width="0" style="123" hidden="1" customWidth="1"/>
    <col min="3316" max="3563" width="9.28515625" style="123"/>
    <col min="3564" max="3564" width="21.42578125" style="123" customWidth="1"/>
    <col min="3565" max="3565" width="16.42578125" style="123" customWidth="1"/>
    <col min="3566" max="3566" width="18" style="123" customWidth="1"/>
    <col min="3567" max="3567" width="23.7109375" style="123" customWidth="1"/>
    <col min="3568" max="3568" width="26" style="123" customWidth="1"/>
    <col min="3569" max="3569" width="21.42578125" style="123" customWidth="1"/>
    <col min="3570" max="3570" width="20.7109375" style="123" customWidth="1"/>
    <col min="3571" max="3571" width="0" style="123" hidden="1" customWidth="1"/>
    <col min="3572" max="3819" width="9.28515625" style="123"/>
    <col min="3820" max="3820" width="21.42578125" style="123" customWidth="1"/>
    <col min="3821" max="3821" width="16.42578125" style="123" customWidth="1"/>
    <col min="3822" max="3822" width="18" style="123" customWidth="1"/>
    <col min="3823" max="3823" width="23.7109375" style="123" customWidth="1"/>
    <col min="3824" max="3824" width="26" style="123" customWidth="1"/>
    <col min="3825" max="3825" width="21.42578125" style="123" customWidth="1"/>
    <col min="3826" max="3826" width="20.7109375" style="123" customWidth="1"/>
    <col min="3827" max="3827" width="0" style="123" hidden="1" customWidth="1"/>
    <col min="3828" max="4075" width="9.28515625" style="123"/>
    <col min="4076" max="4076" width="21.42578125" style="123" customWidth="1"/>
    <col min="4077" max="4077" width="16.42578125" style="123" customWidth="1"/>
    <col min="4078" max="4078" width="18" style="123" customWidth="1"/>
    <col min="4079" max="4079" width="23.7109375" style="123" customWidth="1"/>
    <col min="4080" max="4080" width="26" style="123" customWidth="1"/>
    <col min="4081" max="4081" width="21.42578125" style="123" customWidth="1"/>
    <col min="4082" max="4082" width="20.7109375" style="123" customWidth="1"/>
    <col min="4083" max="4083" width="0" style="123" hidden="1" customWidth="1"/>
    <col min="4084" max="4331" width="9.28515625" style="123"/>
    <col min="4332" max="4332" width="21.42578125" style="123" customWidth="1"/>
    <col min="4333" max="4333" width="16.42578125" style="123" customWidth="1"/>
    <col min="4334" max="4334" width="18" style="123" customWidth="1"/>
    <col min="4335" max="4335" width="23.7109375" style="123" customWidth="1"/>
    <col min="4336" max="4336" width="26" style="123" customWidth="1"/>
    <col min="4337" max="4337" width="21.42578125" style="123" customWidth="1"/>
    <col min="4338" max="4338" width="20.7109375" style="123" customWidth="1"/>
    <col min="4339" max="4339" width="0" style="123" hidden="1" customWidth="1"/>
    <col min="4340" max="4587" width="9.28515625" style="123"/>
    <col min="4588" max="4588" width="21.42578125" style="123" customWidth="1"/>
    <col min="4589" max="4589" width="16.42578125" style="123" customWidth="1"/>
    <col min="4590" max="4590" width="18" style="123" customWidth="1"/>
    <col min="4591" max="4591" width="23.7109375" style="123" customWidth="1"/>
    <col min="4592" max="4592" width="26" style="123" customWidth="1"/>
    <col min="4593" max="4593" width="21.42578125" style="123" customWidth="1"/>
    <col min="4594" max="4594" width="20.7109375" style="123" customWidth="1"/>
    <col min="4595" max="4595" width="0" style="123" hidden="1" customWidth="1"/>
    <col min="4596" max="4843" width="9.28515625" style="123"/>
    <col min="4844" max="4844" width="21.42578125" style="123" customWidth="1"/>
    <col min="4845" max="4845" width="16.42578125" style="123" customWidth="1"/>
    <col min="4846" max="4846" width="18" style="123" customWidth="1"/>
    <col min="4847" max="4847" width="23.7109375" style="123" customWidth="1"/>
    <col min="4848" max="4848" width="26" style="123" customWidth="1"/>
    <col min="4849" max="4849" width="21.42578125" style="123" customWidth="1"/>
    <col min="4850" max="4850" width="20.7109375" style="123" customWidth="1"/>
    <col min="4851" max="4851" width="0" style="123" hidden="1" customWidth="1"/>
    <col min="4852" max="5099" width="9.28515625" style="123"/>
    <col min="5100" max="5100" width="21.42578125" style="123" customWidth="1"/>
    <col min="5101" max="5101" width="16.42578125" style="123" customWidth="1"/>
    <col min="5102" max="5102" width="18" style="123" customWidth="1"/>
    <col min="5103" max="5103" width="23.7109375" style="123" customWidth="1"/>
    <col min="5104" max="5104" width="26" style="123" customWidth="1"/>
    <col min="5105" max="5105" width="21.42578125" style="123" customWidth="1"/>
    <col min="5106" max="5106" width="20.7109375" style="123" customWidth="1"/>
    <col min="5107" max="5107" width="0" style="123" hidden="1" customWidth="1"/>
    <col min="5108" max="5355" width="9.28515625" style="123"/>
    <col min="5356" max="5356" width="21.42578125" style="123" customWidth="1"/>
    <col min="5357" max="5357" width="16.42578125" style="123" customWidth="1"/>
    <col min="5358" max="5358" width="18" style="123" customWidth="1"/>
    <col min="5359" max="5359" width="23.7109375" style="123" customWidth="1"/>
    <col min="5360" max="5360" width="26" style="123" customWidth="1"/>
    <col min="5361" max="5361" width="21.42578125" style="123" customWidth="1"/>
    <col min="5362" max="5362" width="20.7109375" style="123" customWidth="1"/>
    <col min="5363" max="5363" width="0" style="123" hidden="1" customWidth="1"/>
    <col min="5364" max="5611" width="9.28515625" style="123"/>
    <col min="5612" max="5612" width="21.42578125" style="123" customWidth="1"/>
    <col min="5613" max="5613" width="16.42578125" style="123" customWidth="1"/>
    <col min="5614" max="5614" width="18" style="123" customWidth="1"/>
    <col min="5615" max="5615" width="23.7109375" style="123" customWidth="1"/>
    <col min="5616" max="5616" width="26" style="123" customWidth="1"/>
    <col min="5617" max="5617" width="21.42578125" style="123" customWidth="1"/>
    <col min="5618" max="5618" width="20.7109375" style="123" customWidth="1"/>
    <col min="5619" max="5619" width="0" style="123" hidden="1" customWidth="1"/>
    <col min="5620" max="5867" width="9.28515625" style="123"/>
    <col min="5868" max="5868" width="21.42578125" style="123" customWidth="1"/>
    <col min="5869" max="5869" width="16.42578125" style="123" customWidth="1"/>
    <col min="5870" max="5870" width="18" style="123" customWidth="1"/>
    <col min="5871" max="5871" width="23.7109375" style="123" customWidth="1"/>
    <col min="5872" max="5872" width="26" style="123" customWidth="1"/>
    <col min="5873" max="5873" width="21.42578125" style="123" customWidth="1"/>
    <col min="5874" max="5874" width="20.7109375" style="123" customWidth="1"/>
    <col min="5875" max="5875" width="0" style="123" hidden="1" customWidth="1"/>
    <col min="5876" max="6123" width="9.28515625" style="123"/>
    <col min="6124" max="6124" width="21.42578125" style="123" customWidth="1"/>
    <col min="6125" max="6125" width="16.42578125" style="123" customWidth="1"/>
    <col min="6126" max="6126" width="18" style="123" customWidth="1"/>
    <col min="6127" max="6127" width="23.7109375" style="123" customWidth="1"/>
    <col min="6128" max="6128" width="26" style="123" customWidth="1"/>
    <col min="6129" max="6129" width="21.42578125" style="123" customWidth="1"/>
    <col min="6130" max="6130" width="20.7109375" style="123" customWidth="1"/>
    <col min="6131" max="6131" width="0" style="123" hidden="1" customWidth="1"/>
    <col min="6132" max="6379" width="9.28515625" style="123"/>
    <col min="6380" max="6380" width="21.42578125" style="123" customWidth="1"/>
    <col min="6381" max="6381" width="16.42578125" style="123" customWidth="1"/>
    <col min="6382" max="6382" width="18" style="123" customWidth="1"/>
    <col min="6383" max="6383" width="23.7109375" style="123" customWidth="1"/>
    <col min="6384" max="6384" width="26" style="123" customWidth="1"/>
    <col min="6385" max="6385" width="21.42578125" style="123" customWidth="1"/>
    <col min="6386" max="6386" width="20.7109375" style="123" customWidth="1"/>
    <col min="6387" max="6387" width="0" style="123" hidden="1" customWidth="1"/>
    <col min="6388" max="6635" width="9.28515625" style="123"/>
    <col min="6636" max="6636" width="21.42578125" style="123" customWidth="1"/>
    <col min="6637" max="6637" width="16.42578125" style="123" customWidth="1"/>
    <col min="6638" max="6638" width="18" style="123" customWidth="1"/>
    <col min="6639" max="6639" width="23.7109375" style="123" customWidth="1"/>
    <col min="6640" max="6640" width="26" style="123" customWidth="1"/>
    <col min="6641" max="6641" width="21.42578125" style="123" customWidth="1"/>
    <col min="6642" max="6642" width="20.7109375" style="123" customWidth="1"/>
    <col min="6643" max="6643" width="0" style="123" hidden="1" customWidth="1"/>
    <col min="6644" max="6891" width="9.28515625" style="123"/>
    <col min="6892" max="6892" width="21.42578125" style="123" customWidth="1"/>
    <col min="6893" max="6893" width="16.42578125" style="123" customWidth="1"/>
    <col min="6894" max="6894" width="18" style="123" customWidth="1"/>
    <col min="6895" max="6895" width="23.7109375" style="123" customWidth="1"/>
    <col min="6896" max="6896" width="26" style="123" customWidth="1"/>
    <col min="6897" max="6897" width="21.42578125" style="123" customWidth="1"/>
    <col min="6898" max="6898" width="20.7109375" style="123" customWidth="1"/>
    <col min="6899" max="6899" width="0" style="123" hidden="1" customWidth="1"/>
    <col min="6900" max="7147" width="9.28515625" style="123"/>
    <col min="7148" max="7148" width="21.42578125" style="123" customWidth="1"/>
    <col min="7149" max="7149" width="16.42578125" style="123" customWidth="1"/>
    <col min="7150" max="7150" width="18" style="123" customWidth="1"/>
    <col min="7151" max="7151" width="23.7109375" style="123" customWidth="1"/>
    <col min="7152" max="7152" width="26" style="123" customWidth="1"/>
    <col min="7153" max="7153" width="21.42578125" style="123" customWidth="1"/>
    <col min="7154" max="7154" width="20.7109375" style="123" customWidth="1"/>
    <col min="7155" max="7155" width="0" style="123" hidden="1" customWidth="1"/>
    <col min="7156" max="7403" width="9.28515625" style="123"/>
    <col min="7404" max="7404" width="21.42578125" style="123" customWidth="1"/>
    <col min="7405" max="7405" width="16.42578125" style="123" customWidth="1"/>
    <col min="7406" max="7406" width="18" style="123" customWidth="1"/>
    <col min="7407" max="7407" width="23.7109375" style="123" customWidth="1"/>
    <col min="7408" max="7408" width="26" style="123" customWidth="1"/>
    <col min="7409" max="7409" width="21.42578125" style="123" customWidth="1"/>
    <col min="7410" max="7410" width="20.7109375" style="123" customWidth="1"/>
    <col min="7411" max="7411" width="0" style="123" hidden="1" customWidth="1"/>
    <col min="7412" max="7659" width="9.28515625" style="123"/>
    <col min="7660" max="7660" width="21.42578125" style="123" customWidth="1"/>
    <col min="7661" max="7661" width="16.42578125" style="123" customWidth="1"/>
    <col min="7662" max="7662" width="18" style="123" customWidth="1"/>
    <col min="7663" max="7663" width="23.7109375" style="123" customWidth="1"/>
    <col min="7664" max="7664" width="26" style="123" customWidth="1"/>
    <col min="7665" max="7665" width="21.42578125" style="123" customWidth="1"/>
    <col min="7666" max="7666" width="20.7109375" style="123" customWidth="1"/>
    <col min="7667" max="7667" width="0" style="123" hidden="1" customWidth="1"/>
    <col min="7668" max="7915" width="9.28515625" style="123"/>
    <col min="7916" max="7916" width="21.42578125" style="123" customWidth="1"/>
    <col min="7917" max="7917" width="16.42578125" style="123" customWidth="1"/>
    <col min="7918" max="7918" width="18" style="123" customWidth="1"/>
    <col min="7919" max="7919" width="23.7109375" style="123" customWidth="1"/>
    <col min="7920" max="7920" width="26" style="123" customWidth="1"/>
    <col min="7921" max="7921" width="21.42578125" style="123" customWidth="1"/>
    <col min="7922" max="7922" width="20.7109375" style="123" customWidth="1"/>
    <col min="7923" max="7923" width="0" style="123" hidden="1" customWidth="1"/>
    <col min="7924" max="8171" width="9.28515625" style="123"/>
    <col min="8172" max="8172" width="21.42578125" style="123" customWidth="1"/>
    <col min="8173" max="8173" width="16.42578125" style="123" customWidth="1"/>
    <col min="8174" max="8174" width="18" style="123" customWidth="1"/>
    <col min="8175" max="8175" width="23.7109375" style="123" customWidth="1"/>
    <col min="8176" max="8176" width="26" style="123" customWidth="1"/>
    <col min="8177" max="8177" width="21.42578125" style="123" customWidth="1"/>
    <col min="8178" max="8178" width="20.7109375" style="123" customWidth="1"/>
    <col min="8179" max="8179" width="0" style="123" hidden="1" customWidth="1"/>
    <col min="8180" max="8427" width="9.28515625" style="123"/>
    <col min="8428" max="8428" width="21.42578125" style="123" customWidth="1"/>
    <col min="8429" max="8429" width="16.42578125" style="123" customWidth="1"/>
    <col min="8430" max="8430" width="18" style="123" customWidth="1"/>
    <col min="8431" max="8431" width="23.7109375" style="123" customWidth="1"/>
    <col min="8432" max="8432" width="26" style="123" customWidth="1"/>
    <col min="8433" max="8433" width="21.42578125" style="123" customWidth="1"/>
    <col min="8434" max="8434" width="20.7109375" style="123" customWidth="1"/>
    <col min="8435" max="8435" width="0" style="123" hidden="1" customWidth="1"/>
    <col min="8436" max="8683" width="9.28515625" style="123"/>
    <col min="8684" max="8684" width="21.42578125" style="123" customWidth="1"/>
    <col min="8685" max="8685" width="16.42578125" style="123" customWidth="1"/>
    <col min="8686" max="8686" width="18" style="123" customWidth="1"/>
    <col min="8687" max="8687" width="23.7109375" style="123" customWidth="1"/>
    <col min="8688" max="8688" width="26" style="123" customWidth="1"/>
    <col min="8689" max="8689" width="21.42578125" style="123" customWidth="1"/>
    <col min="8690" max="8690" width="20.7109375" style="123" customWidth="1"/>
    <col min="8691" max="8691" width="0" style="123" hidden="1" customWidth="1"/>
    <col min="8692" max="8939" width="9.28515625" style="123"/>
    <col min="8940" max="8940" width="21.42578125" style="123" customWidth="1"/>
    <col min="8941" max="8941" width="16.42578125" style="123" customWidth="1"/>
    <col min="8942" max="8942" width="18" style="123" customWidth="1"/>
    <col min="8943" max="8943" width="23.7109375" style="123" customWidth="1"/>
    <col min="8944" max="8944" width="26" style="123" customWidth="1"/>
    <col min="8945" max="8945" width="21.42578125" style="123" customWidth="1"/>
    <col min="8946" max="8946" width="20.7109375" style="123" customWidth="1"/>
    <col min="8947" max="8947" width="0" style="123" hidden="1" customWidth="1"/>
    <col min="8948" max="9195" width="9.28515625" style="123"/>
    <col min="9196" max="9196" width="21.42578125" style="123" customWidth="1"/>
    <col min="9197" max="9197" width="16.42578125" style="123" customWidth="1"/>
    <col min="9198" max="9198" width="18" style="123" customWidth="1"/>
    <col min="9199" max="9199" width="23.7109375" style="123" customWidth="1"/>
    <col min="9200" max="9200" width="26" style="123" customWidth="1"/>
    <col min="9201" max="9201" width="21.42578125" style="123" customWidth="1"/>
    <col min="9202" max="9202" width="20.7109375" style="123" customWidth="1"/>
    <col min="9203" max="9203" width="0" style="123" hidden="1" customWidth="1"/>
    <col min="9204" max="9451" width="9.28515625" style="123"/>
    <col min="9452" max="9452" width="21.42578125" style="123" customWidth="1"/>
    <col min="9453" max="9453" width="16.42578125" style="123" customWidth="1"/>
    <col min="9454" max="9454" width="18" style="123" customWidth="1"/>
    <col min="9455" max="9455" width="23.7109375" style="123" customWidth="1"/>
    <col min="9456" max="9456" width="26" style="123" customWidth="1"/>
    <col min="9457" max="9457" width="21.42578125" style="123" customWidth="1"/>
    <col min="9458" max="9458" width="20.7109375" style="123" customWidth="1"/>
    <col min="9459" max="9459" width="0" style="123" hidden="1" customWidth="1"/>
    <col min="9460" max="9707" width="9.28515625" style="123"/>
    <col min="9708" max="9708" width="21.42578125" style="123" customWidth="1"/>
    <col min="9709" max="9709" width="16.42578125" style="123" customWidth="1"/>
    <col min="9710" max="9710" width="18" style="123" customWidth="1"/>
    <col min="9711" max="9711" width="23.7109375" style="123" customWidth="1"/>
    <col min="9712" max="9712" width="26" style="123" customWidth="1"/>
    <col min="9713" max="9713" width="21.42578125" style="123" customWidth="1"/>
    <col min="9714" max="9714" width="20.7109375" style="123" customWidth="1"/>
    <col min="9715" max="9715" width="0" style="123" hidden="1" customWidth="1"/>
    <col min="9716" max="9963" width="9.28515625" style="123"/>
    <col min="9964" max="9964" width="21.42578125" style="123" customWidth="1"/>
    <col min="9965" max="9965" width="16.42578125" style="123" customWidth="1"/>
    <col min="9966" max="9966" width="18" style="123" customWidth="1"/>
    <col min="9967" max="9967" width="23.7109375" style="123" customWidth="1"/>
    <col min="9968" max="9968" width="26" style="123" customWidth="1"/>
    <col min="9969" max="9969" width="21.42578125" style="123" customWidth="1"/>
    <col min="9970" max="9970" width="20.7109375" style="123" customWidth="1"/>
    <col min="9971" max="9971" width="0" style="123" hidden="1" customWidth="1"/>
    <col min="9972" max="10219" width="9.28515625" style="123"/>
    <col min="10220" max="10220" width="21.42578125" style="123" customWidth="1"/>
    <col min="10221" max="10221" width="16.42578125" style="123" customWidth="1"/>
    <col min="10222" max="10222" width="18" style="123" customWidth="1"/>
    <col min="10223" max="10223" width="23.7109375" style="123" customWidth="1"/>
    <col min="10224" max="10224" width="26" style="123" customWidth="1"/>
    <col min="10225" max="10225" width="21.42578125" style="123" customWidth="1"/>
    <col min="10226" max="10226" width="20.7109375" style="123" customWidth="1"/>
    <col min="10227" max="10227" width="0" style="123" hidden="1" customWidth="1"/>
    <col min="10228" max="10475" width="9.28515625" style="123"/>
    <col min="10476" max="10476" width="21.42578125" style="123" customWidth="1"/>
    <col min="10477" max="10477" width="16.42578125" style="123" customWidth="1"/>
    <col min="10478" max="10478" width="18" style="123" customWidth="1"/>
    <col min="10479" max="10479" width="23.7109375" style="123" customWidth="1"/>
    <col min="10480" max="10480" width="26" style="123" customWidth="1"/>
    <col min="10481" max="10481" width="21.42578125" style="123" customWidth="1"/>
    <col min="10482" max="10482" width="20.7109375" style="123" customWidth="1"/>
    <col min="10483" max="10483" width="0" style="123" hidden="1" customWidth="1"/>
    <col min="10484" max="10731" width="9.28515625" style="123"/>
    <col min="10732" max="10732" width="21.42578125" style="123" customWidth="1"/>
    <col min="10733" max="10733" width="16.42578125" style="123" customWidth="1"/>
    <col min="10734" max="10734" width="18" style="123" customWidth="1"/>
    <col min="10735" max="10735" width="23.7109375" style="123" customWidth="1"/>
    <col min="10736" max="10736" width="26" style="123" customWidth="1"/>
    <col min="10737" max="10737" width="21.42578125" style="123" customWidth="1"/>
    <col min="10738" max="10738" width="20.7109375" style="123" customWidth="1"/>
    <col min="10739" max="10739" width="0" style="123" hidden="1" customWidth="1"/>
    <col min="10740" max="10987" width="9.28515625" style="123"/>
    <col min="10988" max="10988" width="21.42578125" style="123" customWidth="1"/>
    <col min="10989" max="10989" width="16.42578125" style="123" customWidth="1"/>
    <col min="10990" max="10990" width="18" style="123" customWidth="1"/>
    <col min="10991" max="10991" width="23.7109375" style="123" customWidth="1"/>
    <col min="10992" max="10992" width="26" style="123" customWidth="1"/>
    <col min="10993" max="10993" width="21.42578125" style="123" customWidth="1"/>
    <col min="10994" max="10994" width="20.7109375" style="123" customWidth="1"/>
    <col min="10995" max="10995" width="0" style="123" hidden="1" customWidth="1"/>
    <col min="10996" max="11243" width="9.28515625" style="123"/>
    <col min="11244" max="11244" width="21.42578125" style="123" customWidth="1"/>
    <col min="11245" max="11245" width="16.42578125" style="123" customWidth="1"/>
    <col min="11246" max="11246" width="18" style="123" customWidth="1"/>
    <col min="11247" max="11247" width="23.7109375" style="123" customWidth="1"/>
    <col min="11248" max="11248" width="26" style="123" customWidth="1"/>
    <col min="11249" max="11249" width="21.42578125" style="123" customWidth="1"/>
    <col min="11250" max="11250" width="20.7109375" style="123" customWidth="1"/>
    <col min="11251" max="11251" width="0" style="123" hidden="1" customWidth="1"/>
    <col min="11252" max="11499" width="9.28515625" style="123"/>
    <col min="11500" max="11500" width="21.42578125" style="123" customWidth="1"/>
    <col min="11501" max="11501" width="16.42578125" style="123" customWidth="1"/>
    <col min="11502" max="11502" width="18" style="123" customWidth="1"/>
    <col min="11503" max="11503" width="23.7109375" style="123" customWidth="1"/>
    <col min="11504" max="11504" width="26" style="123" customWidth="1"/>
    <col min="11505" max="11505" width="21.42578125" style="123" customWidth="1"/>
    <col min="11506" max="11506" width="20.7109375" style="123" customWidth="1"/>
    <col min="11507" max="11507" width="0" style="123" hidden="1" customWidth="1"/>
    <col min="11508" max="11755" width="9.28515625" style="123"/>
    <col min="11756" max="11756" width="21.42578125" style="123" customWidth="1"/>
    <col min="11757" max="11757" width="16.42578125" style="123" customWidth="1"/>
    <col min="11758" max="11758" width="18" style="123" customWidth="1"/>
    <col min="11759" max="11759" width="23.7109375" style="123" customWidth="1"/>
    <col min="11760" max="11760" width="26" style="123" customWidth="1"/>
    <col min="11761" max="11761" width="21.42578125" style="123" customWidth="1"/>
    <col min="11762" max="11762" width="20.7109375" style="123" customWidth="1"/>
    <col min="11763" max="11763" width="0" style="123" hidden="1" customWidth="1"/>
    <col min="11764" max="12011" width="9.28515625" style="123"/>
    <col min="12012" max="12012" width="21.42578125" style="123" customWidth="1"/>
    <col min="12013" max="12013" width="16.42578125" style="123" customWidth="1"/>
    <col min="12014" max="12014" width="18" style="123" customWidth="1"/>
    <col min="12015" max="12015" width="23.7109375" style="123" customWidth="1"/>
    <col min="12016" max="12016" width="26" style="123" customWidth="1"/>
    <col min="12017" max="12017" width="21.42578125" style="123" customWidth="1"/>
    <col min="12018" max="12018" width="20.7109375" style="123" customWidth="1"/>
    <col min="12019" max="12019" width="0" style="123" hidden="1" customWidth="1"/>
    <col min="12020" max="12267" width="9.28515625" style="123"/>
    <col min="12268" max="12268" width="21.42578125" style="123" customWidth="1"/>
    <col min="12269" max="12269" width="16.42578125" style="123" customWidth="1"/>
    <col min="12270" max="12270" width="18" style="123" customWidth="1"/>
    <col min="12271" max="12271" width="23.7109375" style="123" customWidth="1"/>
    <col min="12272" max="12272" width="26" style="123" customWidth="1"/>
    <col min="12273" max="12273" width="21.42578125" style="123" customWidth="1"/>
    <col min="12274" max="12274" width="20.7109375" style="123" customWidth="1"/>
    <col min="12275" max="12275" width="0" style="123" hidden="1" customWidth="1"/>
    <col min="12276" max="12523" width="9.28515625" style="123"/>
    <col min="12524" max="12524" width="21.42578125" style="123" customWidth="1"/>
    <col min="12525" max="12525" width="16.42578125" style="123" customWidth="1"/>
    <col min="12526" max="12526" width="18" style="123" customWidth="1"/>
    <col min="12527" max="12527" width="23.7109375" style="123" customWidth="1"/>
    <col min="12528" max="12528" width="26" style="123" customWidth="1"/>
    <col min="12529" max="12529" width="21.42578125" style="123" customWidth="1"/>
    <col min="12530" max="12530" width="20.7109375" style="123" customWidth="1"/>
    <col min="12531" max="12531" width="0" style="123" hidden="1" customWidth="1"/>
    <col min="12532" max="12779" width="9.28515625" style="123"/>
    <col min="12780" max="12780" width="21.42578125" style="123" customWidth="1"/>
    <col min="12781" max="12781" width="16.42578125" style="123" customWidth="1"/>
    <col min="12782" max="12782" width="18" style="123" customWidth="1"/>
    <col min="12783" max="12783" width="23.7109375" style="123" customWidth="1"/>
    <col min="12784" max="12784" width="26" style="123" customWidth="1"/>
    <col min="12785" max="12785" width="21.42578125" style="123" customWidth="1"/>
    <col min="12786" max="12786" width="20.7109375" style="123" customWidth="1"/>
    <col min="12787" max="12787" width="0" style="123" hidden="1" customWidth="1"/>
    <col min="12788" max="13035" width="9.28515625" style="123"/>
    <col min="13036" max="13036" width="21.42578125" style="123" customWidth="1"/>
    <col min="13037" max="13037" width="16.42578125" style="123" customWidth="1"/>
    <col min="13038" max="13038" width="18" style="123" customWidth="1"/>
    <col min="13039" max="13039" width="23.7109375" style="123" customWidth="1"/>
    <col min="13040" max="13040" width="26" style="123" customWidth="1"/>
    <col min="13041" max="13041" width="21.42578125" style="123" customWidth="1"/>
    <col min="13042" max="13042" width="20.7109375" style="123" customWidth="1"/>
    <col min="13043" max="13043" width="0" style="123" hidden="1" customWidth="1"/>
    <col min="13044" max="13291" width="9.28515625" style="123"/>
    <col min="13292" max="13292" width="21.42578125" style="123" customWidth="1"/>
    <col min="13293" max="13293" width="16.42578125" style="123" customWidth="1"/>
    <col min="13294" max="13294" width="18" style="123" customWidth="1"/>
    <col min="13295" max="13295" width="23.7109375" style="123" customWidth="1"/>
    <col min="13296" max="13296" width="26" style="123" customWidth="1"/>
    <col min="13297" max="13297" width="21.42578125" style="123" customWidth="1"/>
    <col min="13298" max="13298" width="20.7109375" style="123" customWidth="1"/>
    <col min="13299" max="13299" width="0" style="123" hidden="1" customWidth="1"/>
    <col min="13300" max="13547" width="9.28515625" style="123"/>
    <col min="13548" max="13548" width="21.42578125" style="123" customWidth="1"/>
    <col min="13549" max="13549" width="16.42578125" style="123" customWidth="1"/>
    <col min="13550" max="13550" width="18" style="123" customWidth="1"/>
    <col min="13551" max="13551" width="23.7109375" style="123" customWidth="1"/>
    <col min="13552" max="13552" width="26" style="123" customWidth="1"/>
    <col min="13553" max="13553" width="21.42578125" style="123" customWidth="1"/>
    <col min="13554" max="13554" width="20.7109375" style="123" customWidth="1"/>
    <col min="13555" max="13555" width="0" style="123" hidden="1" customWidth="1"/>
    <col min="13556" max="13803" width="9.28515625" style="123"/>
    <col min="13804" max="13804" width="21.42578125" style="123" customWidth="1"/>
    <col min="13805" max="13805" width="16.42578125" style="123" customWidth="1"/>
    <col min="13806" max="13806" width="18" style="123" customWidth="1"/>
    <col min="13807" max="13807" width="23.7109375" style="123" customWidth="1"/>
    <col min="13808" max="13808" width="26" style="123" customWidth="1"/>
    <col min="13809" max="13809" width="21.42578125" style="123" customWidth="1"/>
    <col min="13810" max="13810" width="20.7109375" style="123" customWidth="1"/>
    <col min="13811" max="13811" width="0" style="123" hidden="1" customWidth="1"/>
    <col min="13812" max="14059" width="9.28515625" style="123"/>
    <col min="14060" max="14060" width="21.42578125" style="123" customWidth="1"/>
    <col min="14061" max="14061" width="16.42578125" style="123" customWidth="1"/>
    <col min="14062" max="14062" width="18" style="123" customWidth="1"/>
    <col min="14063" max="14063" width="23.7109375" style="123" customWidth="1"/>
    <col min="14064" max="14064" width="26" style="123" customWidth="1"/>
    <col min="14065" max="14065" width="21.42578125" style="123" customWidth="1"/>
    <col min="14066" max="14066" width="20.7109375" style="123" customWidth="1"/>
    <col min="14067" max="14067" width="0" style="123" hidden="1" customWidth="1"/>
    <col min="14068" max="14315" width="9.28515625" style="123"/>
    <col min="14316" max="14316" width="21.42578125" style="123" customWidth="1"/>
    <col min="14317" max="14317" width="16.42578125" style="123" customWidth="1"/>
    <col min="14318" max="14318" width="18" style="123" customWidth="1"/>
    <col min="14319" max="14319" width="23.7109375" style="123" customWidth="1"/>
    <col min="14320" max="14320" width="26" style="123" customWidth="1"/>
    <col min="14321" max="14321" width="21.42578125" style="123" customWidth="1"/>
    <col min="14322" max="14322" width="20.7109375" style="123" customWidth="1"/>
    <col min="14323" max="14323" width="0" style="123" hidden="1" customWidth="1"/>
    <col min="14324" max="14571" width="9.28515625" style="123"/>
    <col min="14572" max="14572" width="21.42578125" style="123" customWidth="1"/>
    <col min="14573" max="14573" width="16.42578125" style="123" customWidth="1"/>
    <col min="14574" max="14574" width="18" style="123" customWidth="1"/>
    <col min="14575" max="14575" width="23.7109375" style="123" customWidth="1"/>
    <col min="14576" max="14576" width="26" style="123" customWidth="1"/>
    <col min="14577" max="14577" width="21.42578125" style="123" customWidth="1"/>
    <col min="14578" max="14578" width="20.7109375" style="123" customWidth="1"/>
    <col min="14579" max="14579" width="0" style="123" hidden="1" customWidth="1"/>
    <col min="14580" max="14827" width="9.28515625" style="123"/>
    <col min="14828" max="14828" width="21.42578125" style="123" customWidth="1"/>
    <col min="14829" max="14829" width="16.42578125" style="123" customWidth="1"/>
    <col min="14830" max="14830" width="18" style="123" customWidth="1"/>
    <col min="14831" max="14831" width="23.7109375" style="123" customWidth="1"/>
    <col min="14832" max="14832" width="26" style="123" customWidth="1"/>
    <col min="14833" max="14833" width="21.42578125" style="123" customWidth="1"/>
    <col min="14834" max="14834" width="20.7109375" style="123" customWidth="1"/>
    <col min="14835" max="14835" width="0" style="123" hidden="1" customWidth="1"/>
    <col min="14836" max="15083" width="9.28515625" style="123"/>
    <col min="15084" max="15084" width="21.42578125" style="123" customWidth="1"/>
    <col min="15085" max="15085" width="16.42578125" style="123" customWidth="1"/>
    <col min="15086" max="15086" width="18" style="123" customWidth="1"/>
    <col min="15087" max="15087" width="23.7109375" style="123" customWidth="1"/>
    <col min="15088" max="15088" width="26" style="123" customWidth="1"/>
    <col min="15089" max="15089" width="21.42578125" style="123" customWidth="1"/>
    <col min="15090" max="15090" width="20.7109375" style="123" customWidth="1"/>
    <col min="15091" max="15091" width="0" style="123" hidden="1" customWidth="1"/>
    <col min="15092" max="15339" width="9.28515625" style="123"/>
    <col min="15340" max="15340" width="21.42578125" style="123" customWidth="1"/>
    <col min="15341" max="15341" width="16.42578125" style="123" customWidth="1"/>
    <col min="15342" max="15342" width="18" style="123" customWidth="1"/>
    <col min="15343" max="15343" width="23.7109375" style="123" customWidth="1"/>
    <col min="15344" max="15344" width="26" style="123" customWidth="1"/>
    <col min="15345" max="15345" width="21.42578125" style="123" customWidth="1"/>
    <col min="15346" max="15346" width="20.7109375" style="123" customWidth="1"/>
    <col min="15347" max="15347" width="0" style="123" hidden="1" customWidth="1"/>
    <col min="15348" max="15595" width="9.28515625" style="123"/>
    <col min="15596" max="15596" width="21.42578125" style="123" customWidth="1"/>
    <col min="15597" max="15597" width="16.42578125" style="123" customWidth="1"/>
    <col min="15598" max="15598" width="18" style="123" customWidth="1"/>
    <col min="15599" max="15599" width="23.7109375" style="123" customWidth="1"/>
    <col min="15600" max="15600" width="26" style="123" customWidth="1"/>
    <col min="15601" max="15601" width="21.42578125" style="123" customWidth="1"/>
    <col min="15602" max="15602" width="20.7109375" style="123" customWidth="1"/>
    <col min="15603" max="15603" width="0" style="123" hidden="1" customWidth="1"/>
    <col min="15604" max="15851" width="9.28515625" style="123"/>
    <col min="15852" max="15852" width="21.42578125" style="123" customWidth="1"/>
    <col min="15853" max="15853" width="16.42578125" style="123" customWidth="1"/>
    <col min="15854" max="15854" width="18" style="123" customWidth="1"/>
    <col min="15855" max="15855" width="23.7109375" style="123" customWidth="1"/>
    <col min="15856" max="15856" width="26" style="123" customWidth="1"/>
    <col min="15857" max="15857" width="21.42578125" style="123" customWidth="1"/>
    <col min="15858" max="15858" width="20.7109375" style="123" customWidth="1"/>
    <col min="15859" max="15859" width="0" style="123" hidden="1" customWidth="1"/>
    <col min="15860" max="16107" width="9.28515625" style="123"/>
    <col min="16108" max="16108" width="21.42578125" style="123" customWidth="1"/>
    <col min="16109" max="16109" width="16.42578125" style="123" customWidth="1"/>
    <col min="16110" max="16110" width="18" style="123" customWidth="1"/>
    <col min="16111" max="16111" width="23.7109375" style="123" customWidth="1"/>
    <col min="16112" max="16112" width="26" style="123" customWidth="1"/>
    <col min="16113" max="16113" width="21.42578125" style="123" customWidth="1"/>
    <col min="16114" max="16114" width="20.7109375" style="123" customWidth="1"/>
    <col min="16115" max="16115" width="0" style="123" hidden="1" customWidth="1"/>
    <col min="16116" max="16384" width="9.28515625" style="123"/>
  </cols>
  <sheetData>
    <row r="1" spans="2:19" ht="9" customHeight="1" thickBot="1"/>
    <row r="2" spans="2:19" s="125" customFormat="1" ht="30.4" customHeight="1" thickBot="1">
      <c r="B2" s="145" t="s">
        <v>263</v>
      </c>
      <c r="C2" s="146"/>
      <c r="D2" s="146"/>
      <c r="E2" s="146"/>
      <c r="F2" s="146"/>
      <c r="G2" s="147"/>
      <c r="H2" s="146"/>
      <c r="I2" s="146"/>
      <c r="J2" s="146"/>
      <c r="K2" s="146"/>
      <c r="L2" s="146"/>
      <c r="M2" s="148"/>
      <c r="N2" s="147"/>
      <c r="O2" s="147"/>
      <c r="P2" s="149"/>
    </row>
    <row r="3" spans="2:19" ht="15">
      <c r="G3" s="150"/>
      <c r="M3" s="151"/>
      <c r="N3" s="152"/>
      <c r="O3" s="152"/>
      <c r="P3" s="152"/>
      <c r="R3" s="808" t="s">
        <v>264</v>
      </c>
      <c r="S3" s="809"/>
    </row>
    <row r="4" spans="2:19" ht="45" customHeight="1">
      <c r="B4" s="126" t="s">
        <v>265</v>
      </c>
      <c r="C4" s="127" t="s">
        <v>266</v>
      </c>
      <c r="D4" s="127" t="s">
        <v>267</v>
      </c>
      <c r="E4" s="127" t="s">
        <v>268</v>
      </c>
      <c r="F4" s="127" t="s">
        <v>269</v>
      </c>
      <c r="G4" s="127" t="s">
        <v>270</v>
      </c>
      <c r="H4" s="127" t="s">
        <v>271</v>
      </c>
      <c r="I4" s="127" t="s">
        <v>272</v>
      </c>
      <c r="J4" s="127" t="s">
        <v>273</v>
      </c>
      <c r="K4" s="127" t="s">
        <v>274</v>
      </c>
      <c r="L4" s="127" t="s">
        <v>275</v>
      </c>
      <c r="M4" s="127" t="s">
        <v>276</v>
      </c>
      <c r="N4" s="127" t="s">
        <v>277</v>
      </c>
      <c r="O4" s="127" t="s">
        <v>278</v>
      </c>
      <c r="P4" s="128" t="s">
        <v>269</v>
      </c>
      <c r="R4" s="804" t="s">
        <v>279</v>
      </c>
      <c r="S4" s="806" t="s">
        <v>280</v>
      </c>
    </row>
    <row r="5" spans="2:19" ht="15.75" customHeight="1">
      <c r="B5" s="129" t="s">
        <v>230</v>
      </c>
      <c r="C5" s="130" t="s">
        <v>39</v>
      </c>
      <c r="D5" s="130" t="s">
        <v>47</v>
      </c>
      <c r="E5" s="130" t="s">
        <v>47</v>
      </c>
      <c r="F5" s="130" t="s">
        <v>47</v>
      </c>
      <c r="G5" s="131" t="s">
        <v>47</v>
      </c>
      <c r="H5" s="131" t="s">
        <v>47</v>
      </c>
      <c r="I5" s="131" t="s">
        <v>47</v>
      </c>
      <c r="J5" s="131" t="s">
        <v>47</v>
      </c>
      <c r="K5" s="130" t="s">
        <v>47</v>
      </c>
      <c r="L5" s="130" t="s">
        <v>47</v>
      </c>
      <c r="M5" s="131" t="s">
        <v>47</v>
      </c>
      <c r="N5" s="131" t="s">
        <v>47</v>
      </c>
      <c r="O5" s="130" t="s">
        <v>19</v>
      </c>
      <c r="P5" s="132" t="s">
        <v>281</v>
      </c>
      <c r="R5" s="805"/>
      <c r="S5" s="807"/>
    </row>
    <row r="6" spans="2:19" ht="15.75" customHeight="1">
      <c r="B6" s="133">
        <v>0</v>
      </c>
      <c r="C6" s="134"/>
      <c r="D6" s="135"/>
      <c r="E6" s="135"/>
      <c r="F6" s="135"/>
      <c r="G6" s="136"/>
      <c r="H6" s="135"/>
      <c r="I6" s="135"/>
      <c r="J6" s="135"/>
      <c r="K6" s="135"/>
      <c r="M6" s="136">
        <f>'Cash Flow'!F72</f>
        <v>-6799863.7901178924</v>
      </c>
      <c r="N6" s="136">
        <f>M6</f>
        <v>-6799863.7901178924</v>
      </c>
      <c r="O6" s="153"/>
      <c r="P6" s="154"/>
      <c r="R6" s="307"/>
      <c r="S6" s="308"/>
    </row>
    <row r="7" spans="2:19" s="141" customFormat="1">
      <c r="B7" s="137">
        <v>1</v>
      </c>
      <c r="C7" s="138">
        <f>IF($B7&gt;'Active Inputs'!$G$11,"",IF($B7&lt;='Active Inputs'!$Q$7,LOOKUP($B7,'Cash Flow'!$F$2:$AJ$2,'Cash Flow'!$F$14:$AJ$14),LOOKUP($B7,'Cash Flow'!$F$2:$AJ$2,'Cash Flow'!$F$16:$AJ$16)))</f>
        <v>18.650000000000009</v>
      </c>
      <c r="D7" s="136">
        <f>IF($B7&gt;'Active Inputs'!$G$11,"",LOOKUP($B7,'Cash Flow'!$F$2:$AJ$2,'Cash Flow'!$F$23:$AJ$23))</f>
        <v>1233473.7000000007</v>
      </c>
      <c r="E7" s="136">
        <f>IF($B7&gt;'Active Inputs'!$G$11,"",LOOKUP($B7,'Cash Flow'!$F$2:$AJ$2,'Cash Flow'!$F$38:$AJ$38))</f>
        <v>-328971.21902797074</v>
      </c>
      <c r="F7" s="136">
        <f>IF($B7&gt;'Active Inputs'!$G$11,"",LOOKUP($B7,'Cash Flow'!$F$2:$AJ$2,'Cash Flow'!$F$91:$AJ$91))</f>
        <v>-636437.78084666224</v>
      </c>
      <c r="G7" s="136">
        <f>IF($B7&gt;'Active Inputs'!$G$11,"",LOOKUP($B7,'Cash Flow'!$F$2:$AJ$2,'Cash Flow'!$F$50:$AJ$50)+LOOKUP($B7,'Cash Flow'!$F$2:$AJ$2,'Cash Flow'!$F$51:$AJ$51))</f>
        <v>0</v>
      </c>
      <c r="H7" s="136">
        <f>IF($B7&gt;'Active Inputs'!$G$11,"",SUM(D7:G7))</f>
        <v>268064.70012536773</v>
      </c>
      <c r="I7" s="136">
        <f>IF($B7&gt;'Active Inputs'!$G$11,"",LOOKUP($B7,'Cash Flow'!$F$2:$AJ$2,'Cash Flow'!$F$65:$AJ$65))</f>
        <v>-1555253.404077929</v>
      </c>
      <c r="J7" s="136">
        <f>IF($B7&gt;'Active Inputs'!$G$11,"",LOOKUP($B7,'Cash Flow'!$F$2:$AJ$2,'Cash Flow'!$F$66:$AJ$66))</f>
        <v>-1555253.404077929</v>
      </c>
      <c r="K7" s="136">
        <f>IF($B7&gt;'Active Inputs'!$G$11,"",LOOKUP($B7,'Cash Flow'!$F$2:$AJ$2,'Cash Flow'!$F$68:$AJ$68)+LOOKUP($B7,'Cash Flow'!$F$2:$AJ$2,'Cash Flow'!$F$70:$AJ$70))</f>
        <v>3855181.1816202439</v>
      </c>
      <c r="L7" s="136">
        <f>IF($B7&gt;'Active Inputs'!$G$11,"",LOOKUP($B7,'Cash Flow'!$F$2:$AJ$2,'Cash Flow'!$F$69:$AJ$69)+LOOKUP($B7,'Cash Flow'!$F$2:$AJ$2,'Cash Flow'!$F$71:$AJ$71))</f>
        <v>139972.8063670136</v>
      </c>
      <c r="M7" s="136">
        <f>IF($B7&gt;'Active Inputs'!$G$11,"",H7+K7+L7)</f>
        <v>4263218.6881126259</v>
      </c>
      <c r="N7" s="136">
        <f>IF($B7&gt;'Active Inputs'!$G$11,N6,N6+M7)</f>
        <v>-2536645.1020052666</v>
      </c>
      <c r="O7" s="139">
        <f>IF($B7&gt;'Active Inputs'!$G$11,"",LOOKUP($B7,'Cash Flow'!$F$2:$AJ$2,'Cash Flow'!$F$73:$AJ$73))</f>
        <v>-0.37304351679686942</v>
      </c>
      <c r="P7" s="140">
        <f>IF($B7&gt;'Active Inputs'!$G$11,"",LOOKUP($B7,'Cash Flow'!$F$2:$AJ$2,'Cash Flow'!$F$44:$AJ$44))</f>
        <v>1.4211954541239797</v>
      </c>
      <c r="R7" s="309">
        <f>IF($B7&gt;'Active Inputs'!$G$11,"",D7+K7+L7)</f>
        <v>5228627.6879872587</v>
      </c>
      <c r="S7" s="310">
        <f>IF($B7&gt;'Active Inputs'!$G$11,"",-(E7+F7+G7))</f>
        <v>965408.99987463304</v>
      </c>
    </row>
    <row r="8" spans="2:19" s="141" customFormat="1" ht="15.75" customHeight="1">
      <c r="B8" s="142">
        <v>2</v>
      </c>
      <c r="C8" s="138">
        <f>IF($B8&gt;'Active Inputs'!$G$11,"",IF($B8&lt;='Active Inputs'!$Q$7,LOOKUP($B8,'Cash Flow'!$F$2:$AJ$2,'Cash Flow'!$F$14:$AJ$14),LOOKUP($B8,'Cash Flow'!$F$2:$AJ$2,'Cash Flow'!$F$16:$AJ$16)))</f>
        <v>18.650000000000009</v>
      </c>
      <c r="D8" s="136">
        <f>IF($B8&gt;'Active Inputs'!$G$11,"",LOOKUP($B8,'Cash Flow'!$F$2:$AJ$2,'Cash Flow'!$F$23:$AJ$23))</f>
        <v>1227411.3315000006</v>
      </c>
      <c r="E8" s="136">
        <f>IF($B8&gt;'Active Inputs'!$G$11,"",LOOKUP($B8,'Cash Flow'!$F$2:$AJ$2,'Cash Flow'!$F$38:$AJ$38))</f>
        <v>-335635.64340853016</v>
      </c>
      <c r="F8" s="136">
        <f>IF($B8&gt;'Active Inputs'!$G$11,"",LOOKUP($B8,'Cash Flow'!$F$2:$AJ$2,'Cash Flow'!$F$91:$AJ$91))</f>
        <v>-636437.78084666224</v>
      </c>
      <c r="G8" s="136">
        <f>IF($B8&gt;'Active Inputs'!$G$11,"",LOOKUP($B8,'Cash Flow'!$F$2:$AJ$2,'Cash Flow'!$F$50:$AJ$50)+LOOKUP($B8,'Cash Flow'!$F$2:$AJ$2,'Cash Flow'!$F$51:$AJ$51))</f>
        <v>-10500</v>
      </c>
      <c r="H8" s="136">
        <f>IF($B8&gt;'Active Inputs'!$G$11,"",SUM(D8:G8))</f>
        <v>244837.90724480816</v>
      </c>
      <c r="I8" s="136">
        <f>IF($B8&gt;'Active Inputs'!$G$11,"",LOOKUP($B8,'Cash Flow'!$F$2:$AJ$2,'Cash Flow'!$F$65:$AJ$65))</f>
        <v>-2777719.1317853872</v>
      </c>
      <c r="J8" s="136">
        <f>IF($B8&gt;'Active Inputs'!$G$11,"",LOOKUP($B8,'Cash Flow'!$F$2:$AJ$2,'Cash Flow'!$F$66:$AJ$66))</f>
        <v>-2777719.1317853872</v>
      </c>
      <c r="K8" s="136">
        <f>IF($B8&gt;'Active Inputs'!$G$11,"",LOOKUP($B8,'Cash Flow'!$F$2:$AJ$2,'Cash Flow'!$F$68:$AJ$68)+LOOKUP($B8,'Cash Flow'!$F$2:$AJ$2,'Cash Flow'!$F$70:$AJ$70))</f>
        <v>583321.01767493133</v>
      </c>
      <c r="L8" s="136">
        <f>IF($B8&gt;'Active Inputs'!$G$11,"",LOOKUP($B8,'Cash Flow'!$F$2:$AJ$2,'Cash Flow'!$F$69:$AJ$69)+LOOKUP($B8,'Cash Flow'!$F$2:$AJ$2,'Cash Flow'!$F$71:$AJ$71))</f>
        <v>249994.72186068483</v>
      </c>
      <c r="M8" s="136">
        <f>IF($B8&gt;'Active Inputs'!$G$11,"",H8+K8+L8)</f>
        <v>1078153.6467804243</v>
      </c>
      <c r="N8" s="136">
        <f>IF($B8&gt;'Active Inputs'!$G$11,N7,N7+M8)</f>
        <v>-1458491.4552248423</v>
      </c>
      <c r="O8" s="139">
        <f>IF($B8&gt;'Active Inputs'!$G$11,"",LOOKUP($B8,'Cash Flow'!$F$2:$AJ$2,'Cash Flow'!$F$73:$AJ$73))</f>
        <v>-0.17974390683569186</v>
      </c>
      <c r="P8" s="140">
        <f>IF($B8&gt;'Active Inputs'!$G$11,"",LOOKUP($B8,'Cash Flow'!$F$2:$AJ$2,'Cash Flow'!$F$44:$AJ$44))</f>
        <v>1.3847004603012361</v>
      </c>
      <c r="R8" s="309">
        <f>IF($B8&gt;'Active Inputs'!$G$11,"",D8+K8+L8)</f>
        <v>2060727.0710356168</v>
      </c>
      <c r="S8" s="310">
        <f>IF($B8&gt;'Active Inputs'!$G$11,"",-(E8+F8+G8))</f>
        <v>982573.4242551924</v>
      </c>
    </row>
    <row r="9" spans="2:19">
      <c r="B9" s="137">
        <v>3</v>
      </c>
      <c r="C9" s="138">
        <f>IF($B9&gt;'Active Inputs'!$G$11,"",IF($B9&lt;='Active Inputs'!$Q$7,LOOKUP($B9,'Cash Flow'!$F$2:$AJ$2,'Cash Flow'!$F$14:$AJ$14),LOOKUP($B9,'Cash Flow'!$F$2:$AJ$2,'Cash Flow'!$F$16:$AJ$16)))</f>
        <v>18.650000000000009</v>
      </c>
      <c r="D9" s="136">
        <f>IF($B9&gt;'Active Inputs'!$G$11,"",LOOKUP($B9,'Cash Flow'!$F$2:$AJ$2,'Cash Flow'!$F$23:$AJ$23))</f>
        <v>1221484.7998425006</v>
      </c>
      <c r="E9" s="136">
        <f>IF($B9&gt;'Active Inputs'!$G$11,"",LOOKUP($B9,'Cash Flow'!$F$2:$AJ$2,'Cash Flow'!$F$38:$AJ$38))</f>
        <v>-342449.85627670074</v>
      </c>
      <c r="F9" s="136">
        <f>IF($B9&gt;'Active Inputs'!$G$11,"",LOOKUP($B9,'Cash Flow'!$F$2:$AJ$2,'Cash Flow'!$F$91:$AJ$91))</f>
        <v>-636437.78084666224</v>
      </c>
      <c r="G9" s="136">
        <f>IF($B9&gt;'Active Inputs'!$G$11,"",LOOKUP($B9,'Cash Flow'!$F$2:$AJ$2,'Cash Flow'!$F$50:$AJ$50)+LOOKUP($B9,'Cash Flow'!$F$2:$AJ$2,'Cash Flow'!$F$51:$AJ$51))</f>
        <v>-10500</v>
      </c>
      <c r="H9" s="136">
        <f>IF($B9&gt;'Active Inputs'!$G$11,"",SUM(D9:G9))</f>
        <v>232097.16271913762</v>
      </c>
      <c r="I9" s="136">
        <f>IF($B9&gt;'Active Inputs'!$G$11,"",LOOKUP($B9,'Cash Flow'!$F$2:$AJ$2,'Cash Flow'!$F$65:$AJ$65))</f>
        <v>-1480474.0262486343</v>
      </c>
      <c r="J9" s="136">
        <f>IF($B9&gt;'Active Inputs'!$G$11,"",LOOKUP($B9,'Cash Flow'!$F$2:$AJ$2,'Cash Flow'!$F$66:$AJ$66))</f>
        <v>-1480474.0262486343</v>
      </c>
      <c r="K9" s="136">
        <f>IF($B9&gt;'Active Inputs'!$G$11,"",LOOKUP($B9,'Cash Flow'!$F$2:$AJ$2,'Cash Flow'!$F$68:$AJ$68)+LOOKUP($B9,'Cash Flow'!$F$2:$AJ$2,'Cash Flow'!$F$70:$AJ$70))</f>
        <v>310899.5455122132</v>
      </c>
      <c r="L9" s="136">
        <f>IF($B9&gt;'Active Inputs'!$G$11,"",LOOKUP($B9,'Cash Flow'!$F$2:$AJ$2,'Cash Flow'!$F$69:$AJ$69)+LOOKUP($B9,'Cash Flow'!$F$2:$AJ$2,'Cash Flow'!$F$71:$AJ$71))</f>
        <v>133242.66236237707</v>
      </c>
      <c r="M9" s="136">
        <f>IF($B9&gt;'Active Inputs'!$G$11,"",H9+K9+L9)</f>
        <v>676239.37059372792</v>
      </c>
      <c r="N9" s="136">
        <f>IF($B9&gt;'Active Inputs'!$G$11,N8,N8+M9)</f>
        <v>-782252.08463111438</v>
      </c>
      <c r="O9" s="139">
        <f>IF($B9&gt;'Active Inputs'!$G$11,"",LOOKUP($B9,'Cash Flow'!$F$2:$AJ$2,'Cash Flow'!$F$73:$AJ$73))</f>
        <v>-8.2218988130618897E-2</v>
      </c>
      <c r="P9" s="140">
        <f>IF($B9&gt;'Active Inputs'!$G$11,"",LOOKUP($B9,'Cash Flow'!$F$2:$AJ$2,'Cash Flow'!$F$44:$AJ$44))</f>
        <v>1.3646816227823173</v>
      </c>
      <c r="R9" s="309">
        <f>IF($B9&gt;'Active Inputs'!$G$11,"",D9+K9+L9)</f>
        <v>1665627.0077170909</v>
      </c>
      <c r="S9" s="310">
        <f>IF($B9&gt;'Active Inputs'!$G$11,"",-(E9+F9+G9))</f>
        <v>989387.63712336298</v>
      </c>
    </row>
    <row r="10" spans="2:19">
      <c r="B10" s="137">
        <v>4</v>
      </c>
      <c r="C10" s="138">
        <f>IF($B10&gt;'Active Inputs'!$G$11,"",IF($B10&lt;='Active Inputs'!$Q$7,LOOKUP($B10,'Cash Flow'!$F$2:$AJ$2,'Cash Flow'!$F$14:$AJ$14),LOOKUP($B10,'Cash Flow'!$F$2:$AJ$2,'Cash Flow'!$F$16:$AJ$16)))</f>
        <v>18.650000000000009</v>
      </c>
      <c r="D10" s="136">
        <f>IF($B10&gt;'Active Inputs'!$G$11,"",LOOKUP($B10,'Cash Flow'!$F$2:$AJ$2,'Cash Flow'!$F$23:$AJ$23))</f>
        <v>1215588.9508432881</v>
      </c>
      <c r="E10" s="136">
        <f>IF($B10&gt;'Active Inputs'!$G$11,"",LOOKUP($B10,'Cash Flow'!$F$2:$AJ$2,'Cash Flow'!$F$38:$AJ$38))</f>
        <v>-349417.34840223473</v>
      </c>
      <c r="F10" s="136">
        <f>IF($B10&gt;'Active Inputs'!$G$11,"",LOOKUP($B10,'Cash Flow'!$F$2:$AJ$2,'Cash Flow'!$F$91:$AJ$91))</f>
        <v>-636437.78084666235</v>
      </c>
      <c r="G10" s="136">
        <f>IF($B10&gt;'Active Inputs'!$G$11,"",LOOKUP($B10,'Cash Flow'!$F$2:$AJ$2,'Cash Flow'!$F$50:$AJ$50)+LOOKUP($B10,'Cash Flow'!$F$2:$AJ$2,'Cash Flow'!$F$51:$AJ$51))</f>
        <v>-10500</v>
      </c>
      <c r="H10" s="136">
        <f>IF($B10&gt;'Active Inputs'!$G$11,"",SUM(D10:G10))</f>
        <v>219233.82159439102</v>
      </c>
      <c r="I10" s="136">
        <f>IF($B10&gt;'Active Inputs'!$G$11,"",LOOKUP($B10,'Cash Flow'!$F$2:$AJ$2,'Cash Flow'!$F$65:$AJ$65))</f>
        <v>-698489.42293683719</v>
      </c>
      <c r="J10" s="136">
        <f>IF($B10&gt;'Active Inputs'!$G$11,"",LOOKUP($B10,'Cash Flow'!$F$2:$AJ$2,'Cash Flow'!$F$66:$AJ$66))</f>
        <v>-698489.42293683719</v>
      </c>
      <c r="K10" s="136">
        <f>IF($B10&gt;'Active Inputs'!$G$11,"",LOOKUP($B10,'Cash Flow'!$F$2:$AJ$2,'Cash Flow'!$F$68:$AJ$68)+LOOKUP($B10,'Cash Flow'!$F$2:$AJ$2,'Cash Flow'!$F$70:$AJ$70))</f>
        <v>146682.77881673581</v>
      </c>
      <c r="L10" s="136">
        <f>IF($B10&gt;'Active Inputs'!$G$11,"",LOOKUP($B10,'Cash Flow'!$F$2:$AJ$2,'Cash Flow'!$F$69:$AJ$69)+LOOKUP($B10,'Cash Flow'!$F$2:$AJ$2,'Cash Flow'!$F$71:$AJ$71))</f>
        <v>62864.048064315342</v>
      </c>
      <c r="M10" s="136">
        <f>IF($B10&gt;'Active Inputs'!$G$11,"",H10+K10+L10)</f>
        <v>428780.6484754422</v>
      </c>
      <c r="N10" s="136">
        <f>IF($B10&gt;'Active Inputs'!$G$11,N9,N9+M10)</f>
        <v>-353471.43615567219</v>
      </c>
      <c r="O10" s="139">
        <f>IF($B10&gt;'Active Inputs'!$G$11,"",LOOKUP($B10,'Cash Flow'!$F$2:$AJ$2,'Cash Flow'!$F$73:$AJ$73))</f>
        <v>-3.2993333506743716E-2</v>
      </c>
      <c r="P10" s="140">
        <f>IF($B10&gt;'Active Inputs'!$G$11,"",LOOKUP($B10,'Cash Flow'!$F$2:$AJ$2,'Cash Flow'!$F$44:$AJ$44))</f>
        <v>1.3444701559086281</v>
      </c>
      <c r="R10" s="309">
        <f>IF($B10&gt;'Active Inputs'!$G$11,"",D10+K10+L10)</f>
        <v>1425135.7777243392</v>
      </c>
      <c r="S10" s="310">
        <f>IF($B10&gt;'Active Inputs'!$G$11,"",-(E10+F10+G10))</f>
        <v>996355.12924889708</v>
      </c>
    </row>
    <row r="11" spans="2:19">
      <c r="B11" s="142">
        <v>5</v>
      </c>
      <c r="C11" s="138">
        <f>IF($B11&gt;'Active Inputs'!$G$11,"",IF($B11&lt;='Active Inputs'!$Q$7,LOOKUP($B11,'Cash Flow'!$F$2:$AJ$2,'Cash Flow'!$F$14:$AJ$14),LOOKUP($B11,'Cash Flow'!$F$2:$AJ$2,'Cash Flow'!$F$16:$AJ$16)))</f>
        <v>18.650000000000009</v>
      </c>
      <c r="D11" s="136">
        <f>IF($B11&gt;'Active Inputs'!$G$11,"",LOOKUP($B11,'Cash Flow'!$F$2:$AJ$2,'Cash Flow'!$F$23:$AJ$23))</f>
        <v>1209723.6310890717</v>
      </c>
      <c r="E11" s="136">
        <f>IF($B11&gt;'Active Inputs'!$G$11,"",LOOKUP($B11,'Cash Flow'!$F$2:$AJ$2,'Cash Flow'!$F$38:$AJ$38))</f>
        <v>-356541.69522027939</v>
      </c>
      <c r="F11" s="136">
        <f>IF($B11&gt;'Active Inputs'!$G$11,"",LOOKUP($B11,'Cash Flow'!$F$2:$AJ$2,'Cash Flow'!$F$91:$AJ$91))</f>
        <v>-636437.78084666235</v>
      </c>
      <c r="G11" s="136">
        <f>IF($B11&gt;'Active Inputs'!$G$11,"",LOOKUP($B11,'Cash Flow'!$F$2:$AJ$2,'Cash Flow'!$F$50:$AJ$50)+LOOKUP($B11,'Cash Flow'!$F$2:$AJ$2,'Cash Flow'!$F$51:$AJ$51))</f>
        <v>-10500</v>
      </c>
      <c r="H11" s="136">
        <f>IF($B11&gt;'Active Inputs'!$G$11,"",SUM(D11:G11))</f>
        <v>206244.15502213</v>
      </c>
      <c r="I11" s="136">
        <f>IF($B11&gt;'Active Inputs'!$G$11,"",LOOKUP($B11,'Cash Flow'!$F$2:$AJ$2,'Cash Flow'!$F$65:$AJ$65))</f>
        <v>-689753.79615581909</v>
      </c>
      <c r="J11" s="136">
        <f>IF($B11&gt;'Active Inputs'!$G$11,"",LOOKUP($B11,'Cash Flow'!$F$2:$AJ$2,'Cash Flow'!$F$66:$AJ$66))</f>
        <v>-689753.79615581909</v>
      </c>
      <c r="K11" s="136">
        <f>IF($B11&gt;'Active Inputs'!$G$11,"",LOOKUP($B11,'Cash Flow'!$F$2:$AJ$2,'Cash Flow'!$F$68:$AJ$68)+LOOKUP($B11,'Cash Flow'!$F$2:$AJ$2,'Cash Flow'!$F$70:$AJ$70))</f>
        <v>144848.29719272201</v>
      </c>
      <c r="L11" s="136">
        <f>IF($B11&gt;'Active Inputs'!$G$11,"",LOOKUP($B11,'Cash Flow'!$F$2:$AJ$2,'Cash Flow'!$F$69:$AJ$69)+LOOKUP($B11,'Cash Flow'!$F$2:$AJ$2,'Cash Flow'!$F$71:$AJ$71))</f>
        <v>62077.841654023716</v>
      </c>
      <c r="M11" s="136">
        <f>IF($B11&gt;'Active Inputs'!$G$11,"",H11+K11+L11)</f>
        <v>413170.29386887571</v>
      </c>
      <c r="N11" s="136">
        <f>IF($B11&gt;'Active Inputs'!$G$11,N10,N10+M11)</f>
        <v>59698.857713203528</v>
      </c>
      <c r="O11" s="139">
        <f>IF($B11&gt;'Active Inputs'!$G$11,"",LOOKUP($B11,'Cash Flow'!$F$2:$AJ$2,'Cash Flow'!$F$73:$AJ$73))</f>
        <v>4.9250013998469733E-3</v>
      </c>
      <c r="P11" s="140">
        <f>IF($B11&gt;'Active Inputs'!$G$11,"",LOOKUP($B11,'Cash Flow'!$F$2:$AJ$2,'Cash Flow'!$F$44:$AJ$44))</f>
        <v>1.3240602007438347</v>
      </c>
      <c r="R11" s="309">
        <f>IF($B11&gt;'Active Inputs'!$G$11,"",D11+K11+L11)</f>
        <v>1416649.7699358175</v>
      </c>
      <c r="S11" s="310">
        <f>IF($B11&gt;'Active Inputs'!$G$11,"",-(E11+F11+G11))</f>
        <v>1003479.4760669417</v>
      </c>
    </row>
    <row r="12" spans="2:19">
      <c r="B12" s="137">
        <v>6</v>
      </c>
      <c r="C12" s="138">
        <f>IF($B12&gt;'Active Inputs'!$G$11,"",IF($B12&lt;='Active Inputs'!$Q$7,LOOKUP($B12,'Cash Flow'!$F$2:$AJ$2,'Cash Flow'!$F$14:$AJ$14),LOOKUP($B12,'Cash Flow'!$F$2:$AJ$2,'Cash Flow'!$F$16:$AJ$16)))</f>
        <v>18.650000000000009</v>
      </c>
      <c r="D12" s="136">
        <f>IF($B12&gt;'Active Inputs'!$G$11,"",LOOKUP($B12,'Cash Flow'!$F$2:$AJ$2,'Cash Flow'!$F$23:$AJ$23))</f>
        <v>1203888.6879336266</v>
      </c>
      <c r="E12" s="136">
        <f>IF($B12&gt;'Active Inputs'!$G$11,"",LOOKUP($B12,'Cash Flow'!$F$2:$AJ$2,'Cash Flow'!$F$38:$AJ$38))</f>
        <v>-363826.55897018505</v>
      </c>
      <c r="F12" s="136">
        <f>IF($B12&gt;'Active Inputs'!$G$11,"",LOOKUP($B12,'Cash Flow'!$F$2:$AJ$2,'Cash Flow'!$F$91:$AJ$91))</f>
        <v>-636437.78084666224</v>
      </c>
      <c r="G12" s="136">
        <f>IF($B12&gt;'Active Inputs'!$G$11,"",LOOKUP($B12,'Cash Flow'!$F$2:$AJ$2,'Cash Flow'!$F$50:$AJ$50)+LOOKUP($B12,'Cash Flow'!$F$2:$AJ$2,'Cash Flow'!$F$51:$AJ$51))</f>
        <v>-10500</v>
      </c>
      <c r="H12" s="136">
        <f>IF($B12&gt;'Active Inputs'!$G$11,"",SUM(D12:G12))</f>
        <v>193124.34811677935</v>
      </c>
      <c r="I12" s="136">
        <f>IF($B12&gt;'Active Inputs'!$G$11,"",LOOKUP($B12,'Cash Flow'!$F$2:$AJ$2,'Cash Flow'!$F$65:$AJ$65))</f>
        <v>-98964.865706991986</v>
      </c>
      <c r="J12" s="136">
        <f>IF($B12&gt;'Active Inputs'!$G$11,"",LOOKUP($B12,'Cash Flow'!$F$2:$AJ$2,'Cash Flow'!$F$66:$AJ$66))</f>
        <v>-98964.865706991986</v>
      </c>
      <c r="K12" s="136">
        <f>IF($B12&gt;'Active Inputs'!$G$11,"",LOOKUP($B12,'Cash Flow'!$F$2:$AJ$2,'Cash Flow'!$F$68:$AJ$68)+LOOKUP($B12,'Cash Flow'!$F$2:$AJ$2,'Cash Flow'!$F$70:$AJ$70))</f>
        <v>20782.621798468317</v>
      </c>
      <c r="L12" s="136">
        <f>IF($B12&gt;'Active Inputs'!$G$11,"",LOOKUP($B12,'Cash Flow'!$F$2:$AJ$2,'Cash Flow'!$F$69:$AJ$69)+LOOKUP($B12,'Cash Flow'!$F$2:$AJ$2,'Cash Flow'!$F$71:$AJ$71))</f>
        <v>8906.8379136292788</v>
      </c>
      <c r="M12" s="136">
        <f>IF($B12&gt;'Active Inputs'!$G$11,"",H12+K12+L12)</f>
        <v>222813.80782887695</v>
      </c>
      <c r="N12" s="136">
        <f>IF($B12&gt;'Active Inputs'!$G$11,N11,N11+M12)</f>
        <v>282512.66554208047</v>
      </c>
      <c r="O12" s="139">
        <f>IF($B12&gt;'Active Inputs'!$G$11,"",LOOKUP($B12,'Cash Flow'!$F$2:$AJ$2,'Cash Flow'!$F$73:$AJ$73))</f>
        <v>2.1716854664827201E-2</v>
      </c>
      <c r="P12" s="140">
        <f>IF($B12&gt;'Active Inputs'!$G$11,"",LOOKUP($B12,'Cash Flow'!$F$2:$AJ$2,'Cash Flow'!$F$44:$AJ$44))</f>
        <v>1.3034457631661389</v>
      </c>
      <c r="R12" s="309">
        <f>IF($B12&gt;'Active Inputs'!$G$11,"",D12+K12+L12)</f>
        <v>1233578.1476457242</v>
      </c>
      <c r="S12" s="310">
        <f>IF($B12&gt;'Active Inputs'!$G$11,"",-(E12+F12+G12))</f>
        <v>1010764.3398168474</v>
      </c>
    </row>
    <row r="13" spans="2:19">
      <c r="B13" s="137">
        <v>7</v>
      </c>
      <c r="C13" s="138">
        <f>IF($B13&gt;'Active Inputs'!$G$11,"",IF($B13&lt;='Active Inputs'!$Q$7,LOOKUP($B13,'Cash Flow'!$F$2:$AJ$2,'Cash Flow'!$F$14:$AJ$14),LOOKUP($B13,'Cash Flow'!$F$2:$AJ$2,'Cash Flow'!$F$16:$AJ$16)))</f>
        <v>18.650000000000009</v>
      </c>
      <c r="D13" s="136">
        <f>IF($B13&gt;'Active Inputs'!$G$11,"",LOOKUP($B13,'Cash Flow'!$F$2:$AJ$2,'Cash Flow'!$F$23:$AJ$23))</f>
        <v>1198083.9694939582</v>
      </c>
      <c r="E13" s="136">
        <f>IF($B13&gt;'Active Inputs'!$G$11,"",LOOKUP($B13,'Cash Flow'!$F$2:$AJ$2,'Cash Flow'!$F$38:$AJ$38))</f>
        <v>-371275.69089045376</v>
      </c>
      <c r="F13" s="136">
        <f>IF($B13&gt;'Active Inputs'!$G$11,"",LOOKUP($B13,'Cash Flow'!$F$2:$AJ$2,'Cash Flow'!$F$91:$AJ$91))</f>
        <v>-636437.78084666224</v>
      </c>
      <c r="G13" s="136">
        <f>IF($B13&gt;'Active Inputs'!$G$11,"",LOOKUP($B13,'Cash Flow'!$F$2:$AJ$2,'Cash Flow'!$F$50:$AJ$50)+LOOKUP($B13,'Cash Flow'!$F$2:$AJ$2,'Cash Flow'!$F$51:$AJ$51))</f>
        <v>-10500</v>
      </c>
      <c r="H13" s="136">
        <f>IF($B13&gt;'Active Inputs'!$G$11,"",SUM(D13:G13))</f>
        <v>179870.49775684217</v>
      </c>
      <c r="I13" s="136">
        <f>IF($B13&gt;'Active Inputs'!$G$11,"",LOOKUP($B13,'Cash Flow'!$F$2:$AJ$2,'Cash Flow'!$F$65:$AJ$65))</f>
        <v>492571.91761624301</v>
      </c>
      <c r="J13" s="136">
        <f>IF($B13&gt;'Active Inputs'!$G$11,"",LOOKUP($B13,'Cash Flow'!$F$2:$AJ$2,'Cash Flow'!$F$66:$AJ$66))</f>
        <v>492571.91761624301</v>
      </c>
      <c r="K13" s="136">
        <f>IF($B13&gt;'Active Inputs'!$G$11,"",LOOKUP($B13,'Cash Flow'!$F$2:$AJ$2,'Cash Flow'!$F$68:$AJ$68)+LOOKUP($B13,'Cash Flow'!$F$2:$AJ$2,'Cash Flow'!$F$70:$AJ$70))</f>
        <v>-94130.493456464043</v>
      </c>
      <c r="L13" s="136">
        <f>IF($B13&gt;'Active Inputs'!$G$11,"",LOOKUP($B13,'Cash Flow'!$F$2:$AJ$2,'Cash Flow'!$F$69:$AJ$69)+LOOKUP($B13,'Cash Flow'!$F$2:$AJ$2,'Cash Flow'!$F$71:$AJ$71))</f>
        <v>-44331.472585461866</v>
      </c>
      <c r="M13" s="136">
        <f>IF($B13&gt;'Active Inputs'!$G$11,"",H13+K13+L13)</f>
        <v>41408.531714916266</v>
      </c>
      <c r="N13" s="136">
        <f>IF($B13&gt;'Active Inputs'!$G$11,N12,N12+M13)</f>
        <v>323921.19725699676</v>
      </c>
      <c r="O13" s="139">
        <f>IF($B13&gt;'Active Inputs'!$G$11,"",LOOKUP($B13,'Cash Flow'!$F$2:$AJ$2,'Cash Flow'!$F$73:$AJ$73))</f>
        <v>2.4533402967843898E-2</v>
      </c>
      <c r="P13" s="140">
        <f>IF($B13&gt;'Active Inputs'!$G$11,"",LOOKUP($B13,'Cash Flow'!$F$2:$AJ$2,'Cash Flow'!$F$44:$AJ$44))</f>
        <v>1.2826207104134482</v>
      </c>
      <c r="R13" s="309">
        <f>IF($B13&gt;'Active Inputs'!$G$11,"",D13+K13+L13)</f>
        <v>1059622.0034520323</v>
      </c>
      <c r="S13" s="310">
        <f>IF($B13&gt;'Active Inputs'!$G$11,"",-(E13+F13+G13))</f>
        <v>1018213.471737116</v>
      </c>
    </row>
    <row r="14" spans="2:19">
      <c r="B14" s="142">
        <v>8</v>
      </c>
      <c r="C14" s="138">
        <f>IF($B14&gt;'Active Inputs'!$G$11,"",IF($B14&lt;='Active Inputs'!$Q$7,LOOKUP($B14,'Cash Flow'!$F$2:$AJ$2,'Cash Flow'!$F$14:$AJ$14),LOOKUP($B14,'Cash Flow'!$F$2:$AJ$2,'Cash Flow'!$F$16:$AJ$16)))</f>
        <v>18.650000000000009</v>
      </c>
      <c r="D14" s="136">
        <f>IF($B14&gt;'Active Inputs'!$G$11,"",LOOKUP($B14,'Cash Flow'!$F$2:$AJ$2,'Cash Flow'!$F$23:$AJ$23))</f>
        <v>1192309.3246464885</v>
      </c>
      <c r="E14" s="136">
        <f>IF($B14&gt;'Active Inputs'!$G$11,"",LOOKUP($B14,'Cash Flow'!$F$2:$AJ$2,'Cash Flow'!$F$38:$AJ$38))</f>
        <v>-378892.93347135378</v>
      </c>
      <c r="F14" s="136">
        <f>IF($B14&gt;'Active Inputs'!$G$11,"",LOOKUP($B14,'Cash Flow'!$F$2:$AJ$2,'Cash Flow'!$F$91:$AJ$91))</f>
        <v>-636437.78084666235</v>
      </c>
      <c r="G14" s="136">
        <f>IF($B14&gt;'Active Inputs'!$G$11,"",LOOKUP($B14,'Cash Flow'!$F$2:$AJ$2,'Cash Flow'!$F$50:$AJ$50)+LOOKUP($B14,'Cash Flow'!$F$2:$AJ$2,'Cash Flow'!$F$51:$AJ$51))</f>
        <v>-10500</v>
      </c>
      <c r="H14" s="136">
        <f>IF($B14&gt;'Active Inputs'!$G$11,"",SUM(D14:G14))</f>
        <v>166478.61032847245</v>
      </c>
      <c r="I14" s="136">
        <f>IF($B14&gt;'Active Inputs'!$G$11,"",LOOKUP($B14,'Cash Flow'!$F$2:$AJ$2,'Cash Flow'!$F$65:$AJ$65))</f>
        <v>504274.28694618266</v>
      </c>
      <c r="J14" s="136">
        <f>IF($B14&gt;'Active Inputs'!$G$11,"",LOOKUP($B14,'Cash Flow'!$F$2:$AJ$2,'Cash Flow'!$F$66:$AJ$66))</f>
        <v>504274.28694618266</v>
      </c>
      <c r="K14" s="136">
        <f>IF($B14&gt;'Active Inputs'!$G$11,"",LOOKUP($B14,'Cash Flow'!$F$2:$AJ$2,'Cash Flow'!$F$68:$AJ$68)+LOOKUP($B14,'Cash Flow'!$F$2:$AJ$2,'Cash Flow'!$F$70:$AJ$70))</f>
        <v>-96366.816235415507</v>
      </c>
      <c r="L14" s="136">
        <f>IF($B14&gt;'Active Inputs'!$G$11,"",LOOKUP($B14,'Cash Flow'!$F$2:$AJ$2,'Cash Flow'!$F$69:$AJ$69)+LOOKUP($B14,'Cash Flow'!$F$2:$AJ$2,'Cash Flow'!$F$71:$AJ$71))</f>
        <v>-45384.685825156441</v>
      </c>
      <c r="M14" s="136">
        <f>IF($B14&gt;'Active Inputs'!$G$11,"",H14+K14+L14)</f>
        <v>24727.108267900505</v>
      </c>
      <c r="N14" s="136">
        <f>IF($B14&gt;'Active Inputs'!$G$11,N13,N13+M14)</f>
        <v>348648.3055248973</v>
      </c>
      <c r="O14" s="139">
        <f>IF($B14&gt;'Active Inputs'!$G$11,"",LOOKUP($B14,'Cash Flow'!$F$2:$AJ$2,'Cash Flow'!$F$73:$AJ$73))</f>
        <v>2.6137278770174577E-2</v>
      </c>
      <c r="P14" s="140">
        <f>IF($B14&gt;'Active Inputs'!$G$11,"",LOOKUP($B14,'Cash Flow'!$F$2:$AJ$2,'Cash Flow'!$F$44:$AJ$44))</f>
        <v>1.2615787675379728</v>
      </c>
      <c r="R14" s="309">
        <f>IF($B14&gt;'Active Inputs'!$G$11,"",D14+K14+L14)</f>
        <v>1050557.8225859166</v>
      </c>
      <c r="S14" s="310">
        <f>IF($B14&gt;'Active Inputs'!$G$11,"",-(E14+F14+G14))</f>
        <v>1025830.7143180161</v>
      </c>
    </row>
    <row r="15" spans="2:19">
      <c r="B15" s="137">
        <v>9</v>
      </c>
      <c r="C15" s="138">
        <f>IF($B15&gt;'Active Inputs'!$G$11,"",IF($B15&lt;='Active Inputs'!$Q$7,LOOKUP($B15,'Cash Flow'!$F$2:$AJ$2,'Cash Flow'!$F$14:$AJ$14),LOOKUP($B15,'Cash Flow'!$F$2:$AJ$2,'Cash Flow'!$F$16:$AJ$16)))</f>
        <v>18.650000000000009</v>
      </c>
      <c r="D15" s="136">
        <f>IF($B15&gt;'Active Inputs'!$G$11,"",LOOKUP($B15,'Cash Flow'!$F$2:$AJ$2,'Cash Flow'!$F$23:$AJ$23))</f>
        <v>1186564.6030232559</v>
      </c>
      <c r="E15" s="136">
        <f>IF($B15&gt;'Active Inputs'!$G$11,"",LOOKUP($B15,'Cash Flow'!$F$2:$AJ$2,'Cash Flow'!$F$38:$AJ$38))</f>
        <v>-386682.22276676458</v>
      </c>
      <c r="F15" s="136">
        <f>IF($B15&gt;'Active Inputs'!$G$11,"",LOOKUP($B15,'Cash Flow'!$F$2:$AJ$2,'Cash Flow'!$F$91:$AJ$91))</f>
        <v>-636437.78084666235</v>
      </c>
      <c r="G15" s="136">
        <f>IF($B15&gt;'Active Inputs'!$G$11,"",LOOKUP($B15,'Cash Flow'!$F$2:$AJ$2,'Cash Flow'!$F$50:$AJ$50)+LOOKUP($B15,'Cash Flow'!$F$2:$AJ$2,'Cash Flow'!$F$51:$AJ$51))</f>
        <v>-10500</v>
      </c>
      <c r="H15" s="136">
        <f>IF($B15&gt;'Active Inputs'!$G$11,"",SUM(D15:G15))</f>
        <v>152944.59940982901</v>
      </c>
      <c r="I15" s="136">
        <f>IF($B15&gt;'Active Inputs'!$G$11,"",LOOKUP($B15,'Cash Flow'!$F$2:$AJ$2,'Cash Flow'!$F$65:$AJ$65))</f>
        <v>517736.71909302211</v>
      </c>
      <c r="J15" s="136">
        <f>IF($B15&gt;'Active Inputs'!$G$11,"",LOOKUP($B15,'Cash Flow'!$F$2:$AJ$2,'Cash Flow'!$F$66:$AJ$66))</f>
        <v>517736.71909302211</v>
      </c>
      <c r="K15" s="136">
        <f>IF($B15&gt;'Active Inputs'!$G$11,"",LOOKUP($B15,'Cash Flow'!$F$2:$AJ$2,'Cash Flow'!$F$68:$AJ$68)+LOOKUP($B15,'Cash Flow'!$F$2:$AJ$2,'Cash Flow'!$F$70:$AJ$70))</f>
        <v>-98939.487018676518</v>
      </c>
      <c r="L15" s="136">
        <f>IF($B15&gt;'Active Inputs'!$G$11,"",LOOKUP($B15,'Cash Flow'!$F$2:$AJ$2,'Cash Flow'!$F$69:$AJ$69)+LOOKUP($B15,'Cash Flow'!$F$2:$AJ$2,'Cash Flow'!$F$71:$AJ$71))</f>
        <v>-46596.30471837199</v>
      </c>
      <c r="M15" s="136">
        <f>IF($B15&gt;'Active Inputs'!$G$11,"",H15+K15+L15)</f>
        <v>7408.8076727805019</v>
      </c>
      <c r="N15" s="136">
        <f>IF($B15&gt;'Active Inputs'!$G$11,N14,N14+M15)</f>
        <v>356057.11319767777</v>
      </c>
      <c r="O15" s="139">
        <f>IF($B15&gt;'Active Inputs'!$G$11,"",LOOKUP($B15,'Cash Flow'!$F$2:$AJ$2,'Cash Flow'!$F$73:$AJ$73))</f>
        <v>2.6599762256959592E-2</v>
      </c>
      <c r="P15" s="140">
        <f>IF($B15&gt;'Active Inputs'!$G$11,"",LOOKUP($B15,'Cash Flow'!$F$2:$AJ$2,'Cash Flow'!$F$44:$AJ$44))</f>
        <v>1.2403135137677788</v>
      </c>
      <c r="R15" s="309">
        <f>IF($B15&gt;'Active Inputs'!$G$11,"",D15+K15+L15)</f>
        <v>1041028.8112862075</v>
      </c>
      <c r="S15" s="310">
        <f>IF($B15&gt;'Active Inputs'!$G$11,"",-(E15+F15+G15))</f>
        <v>1033620.0036134269</v>
      </c>
    </row>
    <row r="16" spans="2:19">
      <c r="B16" s="137">
        <v>10</v>
      </c>
      <c r="C16" s="138">
        <f>IF($B16&gt;'Active Inputs'!$G$11,"",IF($B16&lt;='Active Inputs'!$Q$7,LOOKUP($B16,'Cash Flow'!$F$2:$AJ$2,'Cash Flow'!$F$14:$AJ$14),LOOKUP($B16,'Cash Flow'!$F$2:$AJ$2,'Cash Flow'!$F$16:$AJ$16)))</f>
        <v>18.650000000000009</v>
      </c>
      <c r="D16" s="136">
        <f>IF($B16&gt;'Active Inputs'!$G$11,"",LOOKUP($B16,'Cash Flow'!$F$2:$AJ$2,'Cash Flow'!$F$23:$AJ$23))</f>
        <v>1180849.6550081398</v>
      </c>
      <c r="E16" s="136">
        <f>IF($B16&gt;'Active Inputs'!$G$11,"",LOOKUP($B16,'Cash Flow'!$F$2:$AJ$2,'Cash Flow'!$F$38:$AJ$38))</f>
        <v>-394647.59076686308</v>
      </c>
      <c r="F16" s="136">
        <f>IF($B16&gt;'Active Inputs'!$G$11,"",LOOKUP($B16,'Cash Flow'!$F$2:$AJ$2,'Cash Flow'!$F$91:$AJ$91))</f>
        <v>-636437.78084666224</v>
      </c>
      <c r="G16" s="136">
        <f>IF($B16&gt;'Active Inputs'!$G$11,"",LOOKUP($B16,'Cash Flow'!$F$2:$AJ$2,'Cash Flow'!$F$50:$AJ$50)+LOOKUP($B16,'Cash Flow'!$F$2:$AJ$2,'Cash Flow'!$F$51:$AJ$51))</f>
        <v>-10500</v>
      </c>
      <c r="H16" s="136">
        <f>IF($B16&gt;'Active Inputs'!$G$11,"",SUM(D16:G16))</f>
        <v>139264.28339461447</v>
      </c>
      <c r="I16" s="136">
        <f>IF($B16&gt;'Active Inputs'!$G$11,"",LOOKUP($B16,'Cash Flow'!$F$2:$AJ$2,'Cash Flow'!$F$65:$AJ$65))</f>
        <v>533165.44326770806</v>
      </c>
      <c r="J16" s="136">
        <f>IF($B16&gt;'Active Inputs'!$G$11,"",LOOKUP($B16,'Cash Flow'!$F$2:$AJ$2,'Cash Flow'!$F$66:$AJ$66))</f>
        <v>533165.44326770806</v>
      </c>
      <c r="K16" s="136">
        <f>IF($B16&gt;'Active Inputs'!$G$11,"",LOOKUP($B16,'Cash Flow'!$F$2:$AJ$2,'Cash Flow'!$F$68:$AJ$68)+LOOKUP($B16,'Cash Flow'!$F$2:$AJ$2,'Cash Flow'!$F$70:$AJ$70))</f>
        <v>-101887.91620845901</v>
      </c>
      <c r="L16" s="136">
        <f>IF($B16&gt;'Active Inputs'!$G$11,"",LOOKUP($B16,'Cash Flow'!$F$2:$AJ$2,'Cash Flow'!$F$69:$AJ$69)+LOOKUP($B16,'Cash Flow'!$F$2:$AJ$2,'Cash Flow'!$F$71:$AJ$71))</f>
        <v>-47984.889894093722</v>
      </c>
      <c r="M16" s="136">
        <f>IF($B16&gt;'Active Inputs'!$G$11,"",H16+K16+L16)</f>
        <v>-10608.52270793826</v>
      </c>
      <c r="N16" s="136">
        <f>IF($B16&gt;'Active Inputs'!$G$11,N15,N15+M16)</f>
        <v>345448.59048973949</v>
      </c>
      <c r="O16" s="139">
        <f>IF($B16&gt;'Active Inputs'!$G$11,"",LOOKUP($B16,'Cash Flow'!$F$2:$AJ$2,'Cash Flow'!$F$73:$AJ$73))</f>
        <v>2.5953485317234959E-2</v>
      </c>
      <c r="P16" s="140">
        <f>IF($B16&gt;'Active Inputs'!$G$11,"",LOOKUP($B16,'Cash Flow'!$F$2:$AJ$2,'Cash Flow'!$F$44:$AJ$44))</f>
        <v>1.2188183787727831</v>
      </c>
      <c r="R16" s="309">
        <f>IF($B16&gt;'Active Inputs'!$G$11,"",D16+K16+L16)</f>
        <v>1030976.848905587</v>
      </c>
      <c r="S16" s="310">
        <f>IF($B16&gt;'Active Inputs'!$G$11,"",-(E16+F16+G16))</f>
        <v>1041585.3716135253</v>
      </c>
    </row>
    <row r="17" spans="2:19">
      <c r="B17" s="142">
        <v>11</v>
      </c>
      <c r="C17" s="138">
        <f>IF($B17&gt;'Active Inputs'!$G$11,"",IF($B17&lt;='Active Inputs'!$Q$7,LOOKUP($B17,'Cash Flow'!$F$2:$AJ$2,'Cash Flow'!$F$14:$AJ$14),LOOKUP($B17,'Cash Flow'!$F$2:$AJ$2,'Cash Flow'!$F$16:$AJ$16)))</f>
        <v>18.650000000000009</v>
      </c>
      <c r="D17" s="136">
        <f>IF($B17&gt;'Active Inputs'!$G$11,"",LOOKUP($B17,'Cash Flow'!$F$2:$AJ$2,'Cash Flow'!$F$23:$AJ$23))</f>
        <v>1175164.331733099</v>
      </c>
      <c r="E17" s="136">
        <f>IF($B17&gt;'Active Inputs'!$G$11,"",LOOKUP($B17,'Cash Flow'!$F$2:$AJ$2,'Cash Flow'!$F$38:$AJ$38))</f>
        <v>-402793.16783330636</v>
      </c>
      <c r="F17" s="136">
        <f>IF($B17&gt;'Active Inputs'!$G$11,"",LOOKUP($B17,'Cash Flow'!$F$2:$AJ$2,'Cash Flow'!$F$91:$AJ$91))</f>
        <v>-636437.78084666235</v>
      </c>
      <c r="G17" s="136">
        <f>IF($B17&gt;'Active Inputs'!$G$11,"",LOOKUP($B17,'Cash Flow'!$F$2:$AJ$2,'Cash Flow'!$F$50:$AJ$50)+LOOKUP($B17,'Cash Flow'!$F$2:$AJ$2,'Cash Flow'!$F$51:$AJ$51))</f>
        <v>-10500</v>
      </c>
      <c r="H17" s="136">
        <f>IF($B17&gt;'Active Inputs'!$G$11,"",SUM(D17:G17))</f>
        <v>125433.38305313024</v>
      </c>
      <c r="I17" s="136">
        <f>IF($B17&gt;'Active Inputs'!$G$11,"",LOOKUP($B17,'Cash Flow'!$F$2:$AJ$2,'Cash Flow'!$F$65:$AJ$65))</f>
        <v>550630.84099095</v>
      </c>
      <c r="J17" s="136">
        <f>IF($B17&gt;'Active Inputs'!$G$11,"",LOOKUP($B17,'Cash Flow'!$F$2:$AJ$2,'Cash Flow'!$F$66:$AJ$66))</f>
        <v>550630.84099095</v>
      </c>
      <c r="K17" s="136">
        <f>IF($B17&gt;'Active Inputs'!$G$11,"",LOOKUP($B17,'Cash Flow'!$F$2:$AJ$2,'Cash Flow'!$F$68:$AJ$68)+LOOKUP($B17,'Cash Flow'!$F$2:$AJ$2,'Cash Flow'!$F$70:$AJ$70))</f>
        <v>-105225.55371337055</v>
      </c>
      <c r="L17" s="136">
        <f>IF($B17&gt;'Active Inputs'!$G$11,"",LOOKUP($B17,'Cash Flow'!$F$2:$AJ$2,'Cash Flow'!$F$69:$AJ$69)+LOOKUP($B17,'Cash Flow'!$F$2:$AJ$2,'Cash Flow'!$F$71:$AJ$71))</f>
        <v>-49556.775689185495</v>
      </c>
      <c r="M17" s="136">
        <f>IF($B17&gt;'Active Inputs'!$G$11,"",H17+K17+L17)</f>
        <v>-29348.946349425809</v>
      </c>
      <c r="N17" s="136">
        <f>IF($B17&gt;'Active Inputs'!$G$11,N16,N16+M17)</f>
        <v>316099.64414031367</v>
      </c>
      <c r="O17" s="139">
        <f>IF($B17&gt;'Active Inputs'!$G$11,"",LOOKUP($B17,'Cash Flow'!$F$2:$AJ$2,'Cash Flow'!$F$73:$AJ$73))</f>
        <v>2.417435339078744E-2</v>
      </c>
      <c r="P17" s="140">
        <f>IF($B17&gt;'Active Inputs'!$G$11,"",LOOKUP($B17,'Cash Flow'!$F$2:$AJ$2,'Cash Flow'!$F$44:$AJ$44))</f>
        <v>1.1970866388325727</v>
      </c>
      <c r="R17" s="309">
        <f>IF($B17&gt;'Active Inputs'!$G$11,"",D17+K17+L17)</f>
        <v>1020382.0023305429</v>
      </c>
      <c r="S17" s="310">
        <f>IF($B17&gt;'Active Inputs'!$G$11,"",-(E17+F17+G17))</f>
        <v>1049730.9486799687</v>
      </c>
    </row>
    <row r="18" spans="2:19">
      <c r="B18" s="137">
        <v>12</v>
      </c>
      <c r="C18" s="138">
        <f>IF($B18&gt;'Active Inputs'!$G$11,"",IF($B18&lt;='Active Inputs'!$Q$7,LOOKUP($B18,'Cash Flow'!$F$2:$AJ$2,'Cash Flow'!$F$14:$AJ$14),LOOKUP($B18,'Cash Flow'!$F$2:$AJ$2,'Cash Flow'!$F$16:$AJ$16)))</f>
        <v>18.650000000000009</v>
      </c>
      <c r="D18" s="136">
        <f>IF($B18&gt;'Active Inputs'!$G$11,"",LOOKUP($B18,'Cash Flow'!$F$2:$AJ$2,'Cash Flow'!$F$23:$AJ$23))</f>
        <v>1168353.4850744335</v>
      </c>
      <c r="E18" s="136">
        <f>IF($B18&gt;'Active Inputs'!$G$11,"",LOOKUP($B18,'Cash Flow'!$F$2:$AJ$2,'Cash Flow'!$F$38:$AJ$38))</f>
        <v>-411123.18519861181</v>
      </c>
      <c r="F18" s="136">
        <f>IF($B18&gt;'Active Inputs'!$G$11,"",LOOKUP($B18,'Cash Flow'!$F$2:$AJ$2,'Cash Flow'!$F$91:$AJ$91))</f>
        <v>-636437.78084666224</v>
      </c>
      <c r="G18" s="136">
        <f>IF($B18&gt;'Active Inputs'!$G$11,"",LOOKUP($B18,'Cash Flow'!$F$2:$AJ$2,'Cash Flow'!$F$50:$AJ$50)+LOOKUP($B18,'Cash Flow'!$F$2:$AJ$2,'Cash Flow'!$F$51:$AJ$51))</f>
        <v>0</v>
      </c>
      <c r="H18" s="136">
        <f>IF($B18&gt;'Active Inputs'!$G$11,"",SUM(D18:G18))</f>
        <v>120792.51902915945</v>
      </c>
      <c r="I18" s="136">
        <f>IF($B18&gt;'Active Inputs'!$G$11,"",LOOKUP($B18,'Cash Flow'!$F$2:$AJ$2,'Cash Flow'!$F$65:$AJ$65))</f>
        <v>548228.40773699223</v>
      </c>
      <c r="J18" s="136">
        <f>IF($B18&gt;'Active Inputs'!$G$11,"",LOOKUP($B18,'Cash Flow'!$F$2:$AJ$2,'Cash Flow'!$F$66:$AJ$66))</f>
        <v>548228.40773699223</v>
      </c>
      <c r="K18" s="136">
        <f>IF($B18&gt;'Active Inputs'!$G$11,"",LOOKUP($B18,'Cash Flow'!$F$2:$AJ$2,'Cash Flow'!$F$68:$AJ$68)+LOOKUP($B18,'Cash Flow'!$F$2:$AJ$2,'Cash Flow'!$F$70:$AJ$70))</f>
        <v>-104766.44871853921</v>
      </c>
      <c r="L18" s="136">
        <f>IF($B18&gt;'Active Inputs'!$G$11,"",LOOKUP($B18,'Cash Flow'!$F$2:$AJ$2,'Cash Flow'!$F$69:$AJ$69)+LOOKUP($B18,'Cash Flow'!$F$2:$AJ$2,'Cash Flow'!$F$71:$AJ$71))</f>
        <v>-49340.556696329302</v>
      </c>
      <c r="M18" s="136">
        <f>IF($B18&gt;'Active Inputs'!$G$11,"",H18+K18+L18)</f>
        <v>-33314.48638570906</v>
      </c>
      <c r="N18" s="136">
        <f>IF($B18&gt;'Active Inputs'!$G$11,N17,N17+M18)</f>
        <v>282785.15775460459</v>
      </c>
      <c r="O18" s="139">
        <f>IF($B18&gt;'Active Inputs'!$G$11,"",LOOKUP($B18,'Cash Flow'!$F$2:$AJ$2,'Cash Flow'!$F$73:$AJ$73))</f>
        <v>2.2130406992382445E-2</v>
      </c>
      <c r="P18" s="140">
        <f>IF($B18&gt;'Active Inputs'!$G$11,"",LOOKUP($B18,'Cash Flow'!$F$2:$AJ$2,'Cash Flow'!$F$44:$AJ$44))</f>
        <v>1.1897947021128561</v>
      </c>
      <c r="R18" s="309">
        <f>IF($B18&gt;'Active Inputs'!$G$11,"",D18+K18+L18)</f>
        <v>1014246.479659565</v>
      </c>
      <c r="S18" s="310">
        <f>IF($B18&gt;'Active Inputs'!$G$11,"",-(E18+F18+G18))</f>
        <v>1047560.966045274</v>
      </c>
    </row>
    <row r="19" spans="2:19">
      <c r="B19" s="137">
        <v>13</v>
      </c>
      <c r="C19" s="138">
        <f>IF($B19&gt;'Active Inputs'!$G$11,"",IF($B19&lt;='Active Inputs'!$Q$7,LOOKUP($B19,'Cash Flow'!$F$2:$AJ$2,'Cash Flow'!$F$14:$AJ$14),LOOKUP($B19,'Cash Flow'!$F$2:$AJ$2,'Cash Flow'!$F$16:$AJ$16)))</f>
        <v>18.650000000000009</v>
      </c>
      <c r="D19" s="136">
        <f>IF($B19&gt;'Active Inputs'!$G$11,"",LOOKUP($B19,'Cash Flow'!$F$2:$AJ$2,'Cash Flow'!$F$23:$AJ$23))</f>
        <v>1161466.9676490612</v>
      </c>
      <c r="E19" s="136">
        <f>IF($B19&gt;'Active Inputs'!$G$11,"",LOOKUP($B19,'Cash Flow'!$F$2:$AJ$2,'Cash Flow'!$F$38:$AJ$38))</f>
        <v>-419641.97753148247</v>
      </c>
      <c r="F19" s="136">
        <f>IF($B19&gt;'Active Inputs'!$G$11,"",LOOKUP($B19,'Cash Flow'!$F$2:$AJ$2,'Cash Flow'!$F$91:$AJ$91))</f>
        <v>-636437.78084666235</v>
      </c>
      <c r="G19" s="136">
        <f>IF($B19&gt;'Active Inputs'!$G$11,"",LOOKUP($B19,'Cash Flow'!$F$2:$AJ$2,'Cash Flow'!$F$50:$AJ$50)+LOOKUP($B19,'Cash Flow'!$F$2:$AJ$2,'Cash Flow'!$F$51:$AJ$51))</f>
        <v>0</v>
      </c>
      <c r="H19" s="136">
        <f>IF($B19&gt;'Active Inputs'!$G$11,"",SUM(D19:G19))</f>
        <v>105387.20927091641</v>
      </c>
      <c r="I19" s="136">
        <f>IF($B19&gt;'Active Inputs'!$G$11,"",LOOKUP($B19,'Cash Flow'!$F$2:$AJ$2,'Cash Flow'!$F$65:$AJ$65))</f>
        <v>556503.57740470895</v>
      </c>
      <c r="J19" s="136">
        <f>IF($B19&gt;'Active Inputs'!$G$11,"",LOOKUP($B19,'Cash Flow'!$F$2:$AJ$2,'Cash Flow'!$F$66:$AJ$66))</f>
        <v>556503.57740470895</v>
      </c>
      <c r="K19" s="136">
        <f>IF($B19&gt;'Active Inputs'!$G$11,"",LOOKUP($B19,'Cash Flow'!$F$2:$AJ$2,'Cash Flow'!$F$68:$AJ$68)+LOOKUP($B19,'Cash Flow'!$F$2:$AJ$2,'Cash Flow'!$F$70:$AJ$70))</f>
        <v>-106347.83364203987</v>
      </c>
      <c r="L19" s="136">
        <f>IF($B19&gt;'Active Inputs'!$G$11,"",LOOKUP($B19,'Cash Flow'!$F$2:$AJ$2,'Cash Flow'!$F$69:$AJ$69)+LOOKUP($B19,'Cash Flow'!$F$2:$AJ$2,'Cash Flow'!$F$71:$AJ$71))</f>
        <v>-50085.321966423806</v>
      </c>
      <c r="M19" s="136">
        <f>IF($B19&gt;'Active Inputs'!$G$11,"",H19+K19+L19)</f>
        <v>-51045.946337547262</v>
      </c>
      <c r="N19" s="136">
        <f>IF($B19&gt;'Active Inputs'!$G$11,N18,N18+M19)</f>
        <v>231739.21141705732</v>
      </c>
      <c r="O19" s="139">
        <f>IF($B19&gt;'Active Inputs'!$G$11,"",LOOKUP($B19,'Cash Flow'!$F$2:$AJ$2,'Cash Flow'!$F$73:$AJ$73))</f>
        <v>1.8890228710267021E-2</v>
      </c>
      <c r="P19" s="140">
        <f>IF($B19&gt;'Active Inputs'!$G$11,"",LOOKUP($B19,'Cash Flow'!$F$2:$AJ$2,'Cash Flow'!$F$44:$AJ$44))</f>
        <v>1.1655891784593904</v>
      </c>
      <c r="R19" s="309">
        <f>IF($B19&gt;'Active Inputs'!$G$11,"",D19+K19+L19)</f>
        <v>1005033.8120405975</v>
      </c>
      <c r="S19" s="310">
        <f>IF($B19&gt;'Active Inputs'!$G$11,"",-(E19+F19+G19))</f>
        <v>1056079.7583781448</v>
      </c>
    </row>
    <row r="20" spans="2:19">
      <c r="B20" s="142">
        <v>14</v>
      </c>
      <c r="C20" s="138">
        <f>IF($B20&gt;'Active Inputs'!$G$11,"",IF($B20&lt;='Active Inputs'!$Q$7,LOOKUP($B20,'Cash Flow'!$F$2:$AJ$2,'Cash Flow'!$F$14:$AJ$14),LOOKUP($B20,'Cash Flow'!$F$2:$AJ$2,'Cash Flow'!$F$16:$AJ$16)))</f>
        <v>18.650000000000009</v>
      </c>
      <c r="D20" s="136">
        <f>IF($B20&gt;'Active Inputs'!$G$11,"",LOOKUP($B20,'Cash Flow'!$F$2:$AJ$2,'Cash Flow'!$F$23:$AJ$23))</f>
        <v>1155659.6328108159</v>
      </c>
      <c r="E20" s="136">
        <f>IF($B20&gt;'Active Inputs'!$G$11,"",LOOKUP($B20,'Cash Flow'!$F$2:$AJ$2,'Cash Flow'!$F$38:$AJ$38))</f>
        <v>-428353.98556987755</v>
      </c>
      <c r="F20" s="136">
        <f>IF($B20&gt;'Active Inputs'!$G$11,"",LOOKUP($B20,'Cash Flow'!$F$2:$AJ$2,'Cash Flow'!$F$91:$AJ$91))</f>
        <v>-636437.78084666212</v>
      </c>
      <c r="G20" s="136">
        <f>IF($B20&gt;'Active Inputs'!$G$11,"",LOOKUP($B20,'Cash Flow'!$F$2:$AJ$2,'Cash Flow'!$F$50:$AJ$50)+LOOKUP($B20,'Cash Flow'!$F$2:$AJ$2,'Cash Flow'!$F$51:$AJ$51))</f>
        <v>0</v>
      </c>
      <c r="H20" s="136">
        <f>IF($B20&gt;'Active Inputs'!$G$11,"",SUM(D20:G20))</f>
        <v>90867.866394276265</v>
      </c>
      <c r="I20" s="136">
        <f>IF($B20&gt;'Active Inputs'!$G$11,"",LOOKUP($B20,'Cash Flow'!$F$2:$AJ$2,'Cash Flow'!$F$65:$AJ$65))</f>
        <v>594528.82816806878</v>
      </c>
      <c r="J20" s="136">
        <f>IF($B20&gt;'Active Inputs'!$G$11,"",LOOKUP($B20,'Cash Flow'!$F$2:$AJ$2,'Cash Flow'!$F$66:$AJ$66))</f>
        <v>594528.82816806878</v>
      </c>
      <c r="K20" s="136">
        <f>IF($B20&gt;'Active Inputs'!$G$11,"",LOOKUP($B20,'Cash Flow'!$F$2:$AJ$2,'Cash Flow'!$F$68:$AJ$68)+LOOKUP($B20,'Cash Flow'!$F$2:$AJ$2,'Cash Flow'!$F$70:$AJ$70))</f>
        <v>-113614.45906291793</v>
      </c>
      <c r="L20" s="136">
        <f>IF($B20&gt;'Active Inputs'!$G$11,"",LOOKUP($B20,'Cash Flow'!$F$2:$AJ$2,'Cash Flow'!$F$69:$AJ$69)+LOOKUP($B20,'Cash Flow'!$F$2:$AJ$2,'Cash Flow'!$F$71:$AJ$71))</f>
        <v>-53507.594535126191</v>
      </c>
      <c r="M20" s="136">
        <f>IF($B20&gt;'Active Inputs'!$G$11,"",H20+K20+L20)</f>
        <v>-76254.187203767855</v>
      </c>
      <c r="N20" s="136">
        <f>IF($B20&gt;'Active Inputs'!$G$11,N19,N19+M20)</f>
        <v>155485.02421328946</v>
      </c>
      <c r="O20" s="139">
        <f>IF($B20&gt;'Active Inputs'!$G$11,"",LOOKUP($B20,'Cash Flow'!$F$2:$AJ$2,'Cash Flow'!$F$73:$AJ$73))</f>
        <v>1.3637814380841107E-2</v>
      </c>
      <c r="P20" s="140">
        <f>IF($B20&gt;'Active Inputs'!$G$11,"",LOOKUP($B20,'Cash Flow'!$F$2:$AJ$2,'Cash Flow'!$F$44:$AJ$44))</f>
        <v>1.1427757262829266</v>
      </c>
      <c r="R20" s="309">
        <f>IF($B20&gt;'Active Inputs'!$G$11,"",D20+K20+L20)</f>
        <v>988537.57921277173</v>
      </c>
      <c r="S20" s="310">
        <f>IF($B20&gt;'Active Inputs'!$G$11,"",-(E20+F20+G20))</f>
        <v>1064791.7664165397</v>
      </c>
    </row>
    <row r="21" spans="2:19">
      <c r="B21" s="137">
        <v>15</v>
      </c>
      <c r="C21" s="138">
        <f>IF($B21&gt;'Active Inputs'!$G$11,"",IF($B21&lt;='Active Inputs'!$Q$7,LOOKUP($B21,'Cash Flow'!$F$2:$AJ$2,'Cash Flow'!$F$14:$AJ$14),LOOKUP($B21,'Cash Flow'!$F$2:$AJ$2,'Cash Flow'!$F$16:$AJ$16)))</f>
        <v>18.650000000000009</v>
      </c>
      <c r="D21" s="136">
        <f>IF($B21&gt;'Active Inputs'!$G$11,"",LOOKUP($B21,'Cash Flow'!$F$2:$AJ$2,'Cash Flow'!$F$23:$AJ$23))</f>
        <v>1149881.3346467619</v>
      </c>
      <c r="E21" s="136">
        <f>IF($B21&gt;'Active Inputs'!$G$11,"",LOOKUP($B21,'Cash Flow'!$F$2:$AJ$2,'Cash Flow'!$F$38:$AJ$38))</f>
        <v>-437263.75882367347</v>
      </c>
      <c r="F21" s="136">
        <f>IF($B21&gt;'Active Inputs'!$G$11,"",LOOKUP($B21,'Cash Flow'!$F$2:$AJ$2,'Cash Flow'!$F$91:$AJ$91))</f>
        <v>-636437.78084666224</v>
      </c>
      <c r="G21" s="136">
        <f>IF($B21&gt;'Active Inputs'!$G$11,"",LOOKUP($B21,'Cash Flow'!$F$2:$AJ$2,'Cash Flow'!$F$50:$AJ$50)+LOOKUP($B21,'Cash Flow'!$F$2:$AJ$2,'Cash Flow'!$F$51:$AJ$51))</f>
        <v>0</v>
      </c>
      <c r="H21" s="136">
        <f>IF($B21&gt;'Active Inputs'!$G$11,"",SUM(D21:G21))</f>
        <v>76179.794976426172</v>
      </c>
      <c r="I21" s="136">
        <f>IF($B21&gt;'Active Inputs'!$G$11,"",LOOKUP($B21,'Cash Flow'!$F$2:$AJ$2,'Cash Flow'!$F$65:$AJ$65))</f>
        <v>629962.65514636226</v>
      </c>
      <c r="J21" s="136">
        <f>IF($B21&gt;'Active Inputs'!$G$11,"",LOOKUP($B21,'Cash Flow'!$F$2:$AJ$2,'Cash Flow'!$F$66:$AJ$66))</f>
        <v>629962.65514636226</v>
      </c>
      <c r="K21" s="136">
        <f>IF($B21&gt;'Active Inputs'!$G$11,"",LOOKUP($B21,'Cash Flow'!$F$2:$AJ$2,'Cash Flow'!$F$68:$AJ$68)+LOOKUP($B21,'Cash Flow'!$F$2:$AJ$2,'Cash Flow'!$F$70:$AJ$70))</f>
        <v>-120385.86339846984</v>
      </c>
      <c r="L21" s="136">
        <f>IF($B21&gt;'Active Inputs'!$G$11,"",LOOKUP($B21,'Cash Flow'!$F$2:$AJ$2,'Cash Flow'!$F$69:$AJ$69)+LOOKUP($B21,'Cash Flow'!$F$2:$AJ$2,'Cash Flow'!$F$71:$AJ$71))</f>
        <v>-56696.638963172598</v>
      </c>
      <c r="M21" s="136">
        <f>IF($B21&gt;'Active Inputs'!$G$11,"",H21+K21+L21)</f>
        <v>-100902.70738521626</v>
      </c>
      <c r="N21" s="136">
        <f>IF($B21&gt;'Active Inputs'!$G$11,N20,N20+M21)</f>
        <v>54582.316828073206</v>
      </c>
      <c r="O21" s="139">
        <f>IF($B21&gt;'Active Inputs'!$G$11,"",LOOKUP($B21,'Cash Flow'!$F$2:$AJ$2,'Cash Flow'!$F$73:$AJ$73))</f>
        <v>5.4319135556550879E-3</v>
      </c>
      <c r="P21" s="140">
        <f>IF($B21&gt;'Active Inputs'!$G$11,"",LOOKUP($B21,'Cash Flow'!$F$2:$AJ$2,'Cash Flow'!$F$44:$AJ$44))</f>
        <v>1.1196971601451491</v>
      </c>
      <c r="R21" s="309">
        <f>IF($B21&gt;'Active Inputs'!$G$11,"",D21+K21+L21)</f>
        <v>972798.83228511945</v>
      </c>
      <c r="S21" s="310">
        <f>IF($B21&gt;'Active Inputs'!$G$11,"",-(E21+F21+G21))</f>
        <v>1073701.5396703356</v>
      </c>
    </row>
    <row r="22" spans="2:19">
      <c r="B22" s="137">
        <v>16</v>
      </c>
      <c r="C22" s="138">
        <f>IF($B22&gt;'Active Inputs'!$G$11,"",IF($B22&lt;='Active Inputs'!$Q$7,LOOKUP($B22,'Cash Flow'!$F$2:$AJ$2,'Cash Flow'!$F$14:$AJ$14),LOOKUP($B22,'Cash Flow'!$F$2:$AJ$2,'Cash Flow'!$F$16:$AJ$16)))</f>
        <v>18.650000000000009</v>
      </c>
      <c r="D22" s="136">
        <f>IF($B22&gt;'Active Inputs'!$G$11,"",LOOKUP($B22,'Cash Flow'!$F$2:$AJ$2,'Cash Flow'!$F$23:$AJ$23))</f>
        <v>1144131.9279735282</v>
      </c>
      <c r="E22" s="136">
        <f>IF($B22&gt;'Active Inputs'!$G$11,"",LOOKUP($B22,'Cash Flow'!$F$2:$AJ$2,'Cash Flow'!$F$38:$AJ$38))</f>
        <v>-446375.95834881731</v>
      </c>
      <c r="F22" s="136">
        <f>IF($B22&gt;'Active Inputs'!$G$11,"",LOOKUP($B22,'Cash Flow'!$F$2:$AJ$2,'Cash Flow'!$F$91:$AJ$91))</f>
        <v>0</v>
      </c>
      <c r="G22" s="136">
        <f>IF($B22&gt;'Active Inputs'!$G$11,"",LOOKUP($B22,'Cash Flow'!$F$2:$AJ$2,'Cash Flow'!$F$50:$AJ$50)+LOOKUP($B22,'Cash Flow'!$F$2:$AJ$2,'Cash Flow'!$F$51:$AJ$51))</f>
        <v>0</v>
      </c>
      <c r="H22" s="136">
        <f>IF($B22&gt;'Active Inputs'!$G$11,"",SUM(D22:G22))</f>
        <v>697755.96962471085</v>
      </c>
      <c r="I22" s="136">
        <f>IF($B22&gt;'Active Inputs'!$G$11,"",LOOKUP($B22,'Cash Flow'!$F$2:$AJ$2,'Cash Flow'!$F$65:$AJ$65))</f>
        <v>666622.7719040066</v>
      </c>
      <c r="J22" s="136">
        <f>IF($B22&gt;'Active Inputs'!$G$11,"",LOOKUP($B22,'Cash Flow'!$F$2:$AJ$2,'Cash Flow'!$F$66:$AJ$66))</f>
        <v>666622.7719040066</v>
      </c>
      <c r="K22" s="136">
        <f>IF($B22&gt;'Active Inputs'!$G$11,"",LOOKUP($B22,'Cash Flow'!$F$2:$AJ$2,'Cash Flow'!$F$68:$AJ$68)+LOOKUP($B22,'Cash Flow'!$F$2:$AJ$2,'Cash Flow'!$F$70:$AJ$70))</f>
        <v>-127391.61171085565</v>
      </c>
      <c r="L22" s="136">
        <f>IF($B22&gt;'Active Inputs'!$G$11,"",LOOKUP($B22,'Cash Flow'!$F$2:$AJ$2,'Cash Flow'!$F$69:$AJ$69)+LOOKUP($B22,'Cash Flow'!$F$2:$AJ$2,'Cash Flow'!$F$71:$AJ$71))</f>
        <v>-59996.049471360595</v>
      </c>
      <c r="M22" s="136">
        <f>IF($B22&gt;'Active Inputs'!$G$11,"",H22+K22+L22)</f>
        <v>510368.30844249466</v>
      </c>
      <c r="N22" s="136">
        <f>IF($B22&gt;'Active Inputs'!$G$11,N21,N21+M22)</f>
        <v>564950.62527056783</v>
      </c>
      <c r="O22" s="139">
        <f>IF($B22&gt;'Active Inputs'!$G$11,"",LOOKUP($B22,'Cash Flow'!$F$2:$AJ$2,'Cash Flow'!$F$73:$AJ$73))</f>
        <v>3.4988045714384075E-2</v>
      </c>
      <c r="P22" s="140" t="str">
        <f>IF($B22&gt;'Active Inputs'!$G$11,"",LOOKUP($B22,'Cash Flow'!$F$2:$AJ$2,'Cash Flow'!$F$44:$AJ$44))</f>
        <v>N/A</v>
      </c>
      <c r="R22" s="309">
        <f>IF($B22&gt;'Active Inputs'!$G$11,"",D22+K22+L22)</f>
        <v>956744.26679131191</v>
      </c>
      <c r="S22" s="310">
        <f>IF($B22&gt;'Active Inputs'!$G$11,"",-(E22+F22+G22))</f>
        <v>446375.95834881731</v>
      </c>
    </row>
    <row r="23" spans="2:19">
      <c r="B23" s="142">
        <v>17</v>
      </c>
      <c r="C23" s="138">
        <f>IF($B23&gt;'Active Inputs'!$G$11,"",IF($B23&lt;='Active Inputs'!$Q$7,LOOKUP($B23,'Cash Flow'!$F$2:$AJ$2,'Cash Flow'!$F$14:$AJ$14),LOOKUP($B23,'Cash Flow'!$F$2:$AJ$2,'Cash Flow'!$F$16:$AJ$16)))</f>
        <v>18.650000000000009</v>
      </c>
      <c r="D23" s="136">
        <f>IF($B23&gt;'Active Inputs'!$G$11,"",LOOKUP($B23,'Cash Flow'!$F$2:$AJ$2,'Cash Flow'!$F$23:$AJ$23))</f>
        <v>1138411.2683336604</v>
      </c>
      <c r="E23" s="136">
        <f>IF($B23&gt;'Active Inputs'!$G$11,"",LOOKUP($B23,'Cash Flow'!$F$2:$AJ$2,'Cash Flow'!$F$38:$AJ$38))</f>
        <v>-455695.35959492403</v>
      </c>
      <c r="F23" s="136">
        <f>IF($B23&gt;'Active Inputs'!$G$11,"",LOOKUP($B23,'Cash Flow'!$F$2:$AJ$2,'Cash Flow'!$F$91:$AJ$91))</f>
        <v>0</v>
      </c>
      <c r="G23" s="136">
        <f>IF($B23&gt;'Active Inputs'!$G$11,"",LOOKUP($B23,'Cash Flow'!$F$2:$AJ$2,'Cash Flow'!$F$50:$AJ$50)+LOOKUP($B23,'Cash Flow'!$F$2:$AJ$2,'Cash Flow'!$F$51:$AJ$51))</f>
        <v>0</v>
      </c>
      <c r="H23" s="136">
        <f>IF($B23&gt;'Active Inputs'!$G$11,"",SUM(D23:G23))</f>
        <v>682715.90873873641</v>
      </c>
      <c r="I23" s="136">
        <f>IF($B23&gt;'Active Inputs'!$G$11,"",LOOKUP($B23,'Cash Flow'!$F$2:$AJ$2,'Cash Flow'!$F$65:$AJ$65))</f>
        <v>663827.64710366831</v>
      </c>
      <c r="J23" s="136">
        <f>IF($B23&gt;'Active Inputs'!$G$11,"",LOOKUP($B23,'Cash Flow'!$F$2:$AJ$2,'Cash Flow'!$F$66:$AJ$66))</f>
        <v>663827.64710366831</v>
      </c>
      <c r="K23" s="136">
        <f>IF($B23&gt;'Active Inputs'!$G$11,"",LOOKUP($B23,'Cash Flow'!$F$2:$AJ$2,'Cash Flow'!$F$68:$AJ$68)+LOOKUP($B23,'Cash Flow'!$F$2:$AJ$2,'Cash Flow'!$F$70:$AJ$70))</f>
        <v>-126857.46336151101</v>
      </c>
      <c r="L23" s="136">
        <f>IF($B23&gt;'Active Inputs'!$G$11,"",LOOKUP($B23,'Cash Flow'!$F$2:$AJ$2,'Cash Flow'!$F$69:$AJ$69)+LOOKUP($B23,'Cash Flow'!$F$2:$AJ$2,'Cash Flow'!$F$71:$AJ$71))</f>
        <v>-59744.488239330145</v>
      </c>
      <c r="M23" s="136">
        <f>IF($B23&gt;'Active Inputs'!$G$11,"",H23+K23+L23)</f>
        <v>496113.95713789528</v>
      </c>
      <c r="N23" s="136">
        <f>IF($B23&gt;'Active Inputs'!$G$11,N22,N22+M23)</f>
        <v>1061064.5824084631</v>
      </c>
      <c r="O23" s="139">
        <f>IF($B23&gt;'Active Inputs'!$G$11,"",LOOKUP($B23,'Cash Flow'!$F$2:$AJ$2,'Cash Flow'!$F$73:$AJ$73))</f>
        <v>5.0603354828809399E-2</v>
      </c>
      <c r="P23" s="140" t="str">
        <f>IF($B23&gt;'Active Inputs'!$G$11,"",LOOKUP($B23,'Cash Flow'!$F$2:$AJ$2,'Cash Flow'!$F$44:$AJ$44))</f>
        <v>N/A</v>
      </c>
      <c r="R23" s="309">
        <f>IF($B23&gt;'Active Inputs'!$G$11,"",D23+K23+L23)</f>
        <v>951809.31673281931</v>
      </c>
      <c r="S23" s="310">
        <f>IF($B23&gt;'Active Inputs'!$G$11,"",-(E23+F23+G23))</f>
        <v>455695.35959492403</v>
      </c>
    </row>
    <row r="24" spans="2:19">
      <c r="B24" s="137">
        <v>18</v>
      </c>
      <c r="C24" s="138">
        <f>IF($B24&gt;'Active Inputs'!$G$11,"",IF($B24&lt;='Active Inputs'!$Q$7,LOOKUP($B24,'Cash Flow'!$F$2:$AJ$2,'Cash Flow'!$F$14:$AJ$14),LOOKUP($B24,'Cash Flow'!$F$2:$AJ$2,'Cash Flow'!$F$16:$AJ$16)))</f>
        <v>18.650000000000009</v>
      </c>
      <c r="D24" s="136">
        <f>IF($B24&gt;'Active Inputs'!$G$11,"",LOOKUP($B24,'Cash Flow'!$F$2:$AJ$2,'Cash Flow'!$F$23:$AJ$23))</f>
        <v>1132719.2119919921</v>
      </c>
      <c r="E24" s="136">
        <f>IF($B24&gt;'Active Inputs'!$G$11,"",LOOKUP($B24,'Cash Flow'!$F$2:$AJ$2,'Cash Flow'!$F$38:$AJ$38))</f>
        <v>-465226.85532832693</v>
      </c>
      <c r="F24" s="136">
        <f>IF($B24&gt;'Active Inputs'!$G$11,"",LOOKUP($B24,'Cash Flow'!$F$2:$AJ$2,'Cash Flow'!$F$91:$AJ$91))</f>
        <v>0</v>
      </c>
      <c r="G24" s="136">
        <f>IF($B24&gt;'Active Inputs'!$G$11,"",LOOKUP($B24,'Cash Flow'!$F$2:$AJ$2,'Cash Flow'!$F$50:$AJ$50)+LOOKUP($B24,'Cash Flow'!$F$2:$AJ$2,'Cash Flow'!$F$51:$AJ$51))</f>
        <v>0</v>
      </c>
      <c r="H24" s="136">
        <f>IF($B24&gt;'Active Inputs'!$G$11,"",SUM(D24:G24))</f>
        <v>667492.35666366515</v>
      </c>
      <c r="I24" s="136">
        <f>IF($B24&gt;'Active Inputs'!$G$11,"",LOOKUP($B24,'Cash Flow'!$F$2:$AJ$2,'Cash Flow'!$F$65:$AJ$65))</f>
        <v>654652.09502859705</v>
      </c>
      <c r="J24" s="136">
        <f>IF($B24&gt;'Active Inputs'!$G$11,"",LOOKUP($B24,'Cash Flow'!$F$2:$AJ$2,'Cash Flow'!$F$66:$AJ$66))</f>
        <v>654652.09502859705</v>
      </c>
      <c r="K24" s="136">
        <f>IF($B24&gt;'Active Inputs'!$G$11,"",LOOKUP($B24,'Cash Flow'!$F$2:$AJ$2,'Cash Flow'!$F$68:$AJ$68)+LOOKUP($B24,'Cash Flow'!$F$2:$AJ$2,'Cash Flow'!$F$70:$AJ$70))</f>
        <v>-125104.01535996491</v>
      </c>
      <c r="L24" s="136">
        <f>IF($B24&gt;'Active Inputs'!$G$11,"",LOOKUP($B24,'Cash Flow'!$F$2:$AJ$2,'Cash Flow'!$F$69:$AJ$69)+LOOKUP($B24,'Cash Flow'!$F$2:$AJ$2,'Cash Flow'!$F$71:$AJ$71))</f>
        <v>-58918.688552573731</v>
      </c>
      <c r="M24" s="136">
        <f>IF($B24&gt;'Active Inputs'!$G$11,"",H24+K24+L24)</f>
        <v>483469.6527511265</v>
      </c>
      <c r="N24" s="136">
        <f>IF($B24&gt;'Active Inputs'!$G$11,N23,N23+M24)</f>
        <v>1544534.2351595897</v>
      </c>
      <c r="O24" s="139">
        <f>IF($B24&gt;'Active Inputs'!$G$11,"",LOOKUP($B24,'Cash Flow'!$F$2:$AJ$2,'Cash Flow'!$F$73:$AJ$73))</f>
        <v>6.1048209530242481E-2</v>
      </c>
      <c r="P24" s="140" t="str">
        <f>IF($B24&gt;'Active Inputs'!$G$11,"",LOOKUP($B24,'Cash Flow'!$F$2:$AJ$2,'Cash Flow'!$F$44:$AJ$44))</f>
        <v>N/A</v>
      </c>
      <c r="R24" s="309">
        <f>IF($B24&gt;'Active Inputs'!$G$11,"",D24+K24+L24)</f>
        <v>948696.50807945337</v>
      </c>
      <c r="S24" s="310">
        <f>IF($B24&gt;'Active Inputs'!$G$11,"",-(E24+F24+G24))</f>
        <v>465226.85532832693</v>
      </c>
    </row>
    <row r="25" spans="2:19">
      <c r="B25" s="137">
        <v>19</v>
      </c>
      <c r="C25" s="138">
        <f>IF($B25&gt;'Active Inputs'!$G$11,"",IF($B25&lt;='Active Inputs'!$Q$7,LOOKUP($B25,'Cash Flow'!$F$2:$AJ$2,'Cash Flow'!$F$14:$AJ$14),LOOKUP($B25,'Cash Flow'!$F$2:$AJ$2,'Cash Flow'!$F$16:$AJ$16)))</f>
        <v>18.650000000000009</v>
      </c>
      <c r="D25" s="136">
        <f>IF($B25&gt;'Active Inputs'!$G$11,"",LOOKUP($B25,'Cash Flow'!$F$2:$AJ$2,'Cash Flow'!$F$23:$AJ$23))</f>
        <v>1127055.615932032</v>
      </c>
      <c r="E25" s="136">
        <f>IF($B25&gt;'Active Inputs'!$G$11,"",LOOKUP($B25,'Cash Flow'!$F$2:$AJ$2,'Cash Flow'!$F$38:$AJ$38))</f>
        <v>-474975.45863264287</v>
      </c>
      <c r="F25" s="136">
        <f>IF($B25&gt;'Active Inputs'!$G$11,"",LOOKUP($B25,'Cash Flow'!$F$2:$AJ$2,'Cash Flow'!$F$91:$AJ$91))</f>
        <v>0</v>
      </c>
      <c r="G25" s="136">
        <f>IF($B25&gt;'Active Inputs'!$G$11,"",LOOKUP($B25,'Cash Flow'!$F$2:$AJ$2,'Cash Flow'!$F$50:$AJ$50)+LOOKUP($B25,'Cash Flow'!$F$2:$AJ$2,'Cash Flow'!$F$51:$AJ$51))</f>
        <v>0</v>
      </c>
      <c r="H25" s="136">
        <f>IF($B25&gt;'Active Inputs'!$G$11,"",SUM(D25:G25))</f>
        <v>652080.15729938913</v>
      </c>
      <c r="I25" s="136">
        <f>IF($B25&gt;'Active Inputs'!$G$11,"",LOOKUP($B25,'Cash Flow'!$F$2:$AJ$2,'Cash Flow'!$F$65:$AJ$65))</f>
        <v>639239.89566432103</v>
      </c>
      <c r="J25" s="136">
        <f>IF($B25&gt;'Active Inputs'!$G$11,"",LOOKUP($B25,'Cash Flow'!$F$2:$AJ$2,'Cash Flow'!$F$66:$AJ$66))</f>
        <v>639239.89566432103</v>
      </c>
      <c r="K25" s="136">
        <f>IF($B25&gt;'Active Inputs'!$G$11,"",LOOKUP($B25,'Cash Flow'!$F$2:$AJ$2,'Cash Flow'!$F$68:$AJ$68)+LOOKUP($B25,'Cash Flow'!$F$2:$AJ$2,'Cash Flow'!$F$70:$AJ$70))</f>
        <v>-122158.74406145174</v>
      </c>
      <c r="L25" s="136">
        <f>IF($B25&gt;'Active Inputs'!$G$11,"",LOOKUP($B25,'Cash Flow'!$F$2:$AJ$2,'Cash Flow'!$F$69:$AJ$69)+LOOKUP($B25,'Cash Flow'!$F$2:$AJ$2,'Cash Flow'!$F$71:$AJ$71))</f>
        <v>-57531.590609788887</v>
      </c>
      <c r="M25" s="136">
        <f>IF($B25&gt;'Active Inputs'!$G$11,"",H25+K25+L25)</f>
        <v>472389.82262814848</v>
      </c>
      <c r="N25" s="136">
        <f>IF($B25&gt;'Active Inputs'!$G$11,N24,N24+M25)</f>
        <v>2016924.0577877383</v>
      </c>
      <c r="O25" s="139">
        <f>IF($B25&gt;'Active Inputs'!$G$11,"",LOOKUP($B25,'Cash Flow'!$F$2:$AJ$2,'Cash Flow'!$F$73:$AJ$73))</f>
        <v>6.8680779785373458E-2</v>
      </c>
      <c r="P25" s="140" t="str">
        <f>IF($B25&gt;'Active Inputs'!$G$11,"",LOOKUP($B25,'Cash Flow'!$F$2:$AJ$2,'Cash Flow'!$F$44:$AJ$44))</f>
        <v>N/A</v>
      </c>
      <c r="R25" s="309">
        <f>IF($B25&gt;'Active Inputs'!$G$11,"",D25+K25+L25)</f>
        <v>947365.28126079135</v>
      </c>
      <c r="S25" s="310">
        <f>IF($B25&gt;'Active Inputs'!$G$11,"",-(E25+F25+G25))</f>
        <v>474975.45863264287</v>
      </c>
    </row>
    <row r="26" spans="2:19">
      <c r="B26" s="142">
        <v>20</v>
      </c>
      <c r="C26" s="138">
        <f>IF($B26&gt;'Active Inputs'!$G$11,"",IF($B26&lt;='Active Inputs'!$Q$7,LOOKUP($B26,'Cash Flow'!$F$2:$AJ$2,'Cash Flow'!$F$14:$AJ$14),LOOKUP($B26,'Cash Flow'!$F$2:$AJ$2,'Cash Flow'!$F$16:$AJ$16)))</f>
        <v>18.650000000000009</v>
      </c>
      <c r="D26" s="136">
        <f>IF($B26&gt;'Active Inputs'!$G$11,"",LOOKUP($B26,'Cash Flow'!$F$2:$AJ$2,'Cash Flow'!$F$23:$AJ$23))</f>
        <v>1121420.3378523719</v>
      </c>
      <c r="E26" s="136">
        <f>IF($B26&gt;'Active Inputs'!$G$11,"",LOOKUP($B26,'Cash Flow'!$F$2:$AJ$2,'Cash Flow'!$F$38:$AJ$38))</f>
        <v>-484946.30598897772</v>
      </c>
      <c r="F26" s="136">
        <f>IF($B26&gt;'Active Inputs'!$G$11,"",LOOKUP($B26,'Cash Flow'!$F$2:$AJ$2,'Cash Flow'!$F$91:$AJ$91))</f>
        <v>0</v>
      </c>
      <c r="G26" s="136">
        <f>IF($B26&gt;'Active Inputs'!$G$11,"",LOOKUP($B26,'Cash Flow'!$F$2:$AJ$2,'Cash Flow'!$F$50:$AJ$50)+LOOKUP($B26,'Cash Flow'!$F$2:$AJ$2,'Cash Flow'!$F$51:$AJ$51))</f>
        <v>0</v>
      </c>
      <c r="H26" s="136">
        <f>IF($B26&gt;'Active Inputs'!$G$11,"",SUM(D26:G26))</f>
        <v>636474.03186339419</v>
      </c>
      <c r="I26" s="136">
        <f>IF($B26&gt;'Active Inputs'!$G$11,"",LOOKUP($B26,'Cash Flow'!$F$2:$AJ$2,'Cash Flow'!$F$65:$AJ$65))</f>
        <v>623633.77022832609</v>
      </c>
      <c r="J26" s="136">
        <f>IF($B26&gt;'Active Inputs'!$G$11,"",LOOKUP($B26,'Cash Flow'!$F$2:$AJ$2,'Cash Flow'!$F$66:$AJ$66))</f>
        <v>623633.77022832609</v>
      </c>
      <c r="K26" s="136">
        <f>IF($B26&gt;'Active Inputs'!$G$11,"",LOOKUP($B26,'Cash Flow'!$F$2:$AJ$2,'Cash Flow'!$F$68:$AJ$68)+LOOKUP($B26,'Cash Flow'!$F$2:$AJ$2,'Cash Flow'!$F$70:$AJ$70))</f>
        <v>-119176.41349063312</v>
      </c>
      <c r="L26" s="136">
        <f>IF($B26&gt;'Active Inputs'!$G$11,"",LOOKUP($B26,'Cash Flow'!$F$2:$AJ$2,'Cash Flow'!$F$69:$AJ$69)+LOOKUP($B26,'Cash Flow'!$F$2:$AJ$2,'Cash Flow'!$F$71:$AJ$71))</f>
        <v>-56127.039320549346</v>
      </c>
      <c r="M26" s="136">
        <f>IF($B26&gt;'Active Inputs'!$G$11,"",H26+K26+L26)</f>
        <v>461170.57905221172</v>
      </c>
      <c r="N26" s="136">
        <f>IF($B26&gt;'Active Inputs'!$G$11,N25,N25+M26)</f>
        <v>2478094.63683995</v>
      </c>
      <c r="O26" s="139">
        <f>IF($B26&gt;'Active Inputs'!$G$11,"",LOOKUP($B26,'Cash Flow'!$F$2:$AJ$2,'Cash Flow'!$F$73:$AJ$73))</f>
        <v>7.4516644441706248E-2</v>
      </c>
      <c r="P26" s="140" t="str">
        <f>IF($B26&gt;'Active Inputs'!$G$11,"",LOOKUP($B26,'Cash Flow'!$F$2:$AJ$2,'Cash Flow'!$F$44:$AJ$44))</f>
        <v>N/A</v>
      </c>
      <c r="R26" s="309">
        <f>IF($B26&gt;'Active Inputs'!$G$11,"",D26+K26+L26)</f>
        <v>946116.88504118938</v>
      </c>
      <c r="S26" s="310">
        <f>IF($B26&gt;'Active Inputs'!$G$11,"",-(E26+F26+G26))</f>
        <v>484946.30598897772</v>
      </c>
    </row>
    <row r="27" spans="2:19">
      <c r="B27" s="137">
        <v>21</v>
      </c>
      <c r="C27" s="138">
        <f>IF($B27&gt;'Active Inputs'!$G$11,"",IF($B27&lt;='Active Inputs'!$Q$7,LOOKUP($B27,'Cash Flow'!$F$2:$AJ$2,'Cash Flow'!$F$14:$AJ$14),LOOKUP($B27,'Cash Flow'!$F$2:$AJ$2,'Cash Flow'!$F$16:$AJ$16)))</f>
        <v>19.239186388780748</v>
      </c>
      <c r="D27" s="136">
        <f>IF($B27&gt;'Active Inputs'!$G$11,"",LOOKUP($B27,'Cash Flow'!$F$2:$AJ$2,'Cash Flow'!$F$23:$AJ$23))</f>
        <v>1151063.7440005734</v>
      </c>
      <c r="E27" s="136">
        <f>IF($B27&gt;'Active Inputs'!$G$11,"",LOOKUP($B27,'Cash Flow'!$F$2:$AJ$2,'Cash Flow'!$F$38:$AJ$38))</f>
        <v>-495144.6604379497</v>
      </c>
      <c r="F27" s="136">
        <f>IF($B27&gt;'Active Inputs'!$G$11,"",LOOKUP($B27,'Cash Flow'!$F$2:$AJ$2,'Cash Flow'!$F$91:$AJ$91))</f>
        <v>0</v>
      </c>
      <c r="G27" s="136">
        <f>IF($B27&gt;'Active Inputs'!$G$11,"",LOOKUP($B27,'Cash Flow'!$F$2:$AJ$2,'Cash Flow'!$F$50:$AJ$50)+LOOKUP($B27,'Cash Flow'!$F$2:$AJ$2,'Cash Flow'!$F$51:$AJ$51))</f>
        <v>0</v>
      </c>
      <c r="H27" s="136">
        <f>IF($B27&gt;'Active Inputs'!$G$11,"",SUM(D27:G27))</f>
        <v>655919.08356262371</v>
      </c>
      <c r="I27" s="136">
        <f>IF($B27&gt;'Active Inputs'!$G$11,"",LOOKUP($B27,'Cash Flow'!$F$2:$AJ$2,'Cash Flow'!$F$65:$AJ$65))</f>
        <v>649498.95274508966</v>
      </c>
      <c r="J27" s="136">
        <f>IF($B27&gt;'Active Inputs'!$G$11,"",LOOKUP($B27,'Cash Flow'!$F$2:$AJ$2,'Cash Flow'!$F$66:$AJ$66))</f>
        <v>649498.95274508966</v>
      </c>
      <c r="K27" s="136">
        <f>IF($B27&gt;'Active Inputs'!$G$11,"",LOOKUP($B27,'Cash Flow'!$F$2:$AJ$2,'Cash Flow'!$F$68:$AJ$68)+LOOKUP($B27,'Cash Flow'!$F$2:$AJ$2,'Cash Flow'!$F$70:$AJ$70))</f>
        <v>-124119.24986958662</v>
      </c>
      <c r="L27" s="136">
        <f>IF($B27&gt;'Active Inputs'!$G$11,"",LOOKUP($B27,'Cash Flow'!$F$2:$AJ$2,'Cash Flow'!$F$69:$AJ$69)+LOOKUP($B27,'Cash Flow'!$F$2:$AJ$2,'Cash Flow'!$F$71:$AJ$71))</f>
        <v>-58454.905747058066</v>
      </c>
      <c r="M27" s="136">
        <f>IF($B27&gt;'Active Inputs'!$G$11,"",H27+K27+L27)</f>
        <v>473344.927945979</v>
      </c>
      <c r="N27" s="136">
        <f>IF($B27&gt;'Active Inputs'!$G$11,N26,N26+M27)</f>
        <v>2951439.5647859289</v>
      </c>
      <c r="O27" s="139">
        <f>IF($B27&gt;'Active Inputs'!$G$11,"",LOOKUP($B27,'Cash Flow'!$F$2:$AJ$2,'Cash Flow'!$F$73:$AJ$73))</f>
        <v>7.9332274267978287E-2</v>
      </c>
      <c r="P27" s="140" t="str">
        <f>IF($B27&gt;'Active Inputs'!$G$11,"",LOOKUP($B27,'Cash Flow'!$F$2:$AJ$2,'Cash Flow'!$F$44:$AJ$44))</f>
        <v>N/A</v>
      </c>
      <c r="R27" s="309">
        <f>IF($B27&gt;'Active Inputs'!$G$11,"",D27+K27+L27)</f>
        <v>968489.58838392864</v>
      </c>
      <c r="S27" s="310">
        <f>IF($B27&gt;'Active Inputs'!$G$11,"",-(E27+F27+G27))</f>
        <v>495144.6604379497</v>
      </c>
    </row>
    <row r="28" spans="2:19">
      <c r="B28" s="137">
        <v>22</v>
      </c>
      <c r="C28" s="138">
        <f>IF($B28&gt;'Active Inputs'!$G$11,"",IF($B28&lt;='Active Inputs'!$Q$7,LOOKUP($B28,'Cash Flow'!$F$2:$AJ$2,'Cash Flow'!$F$14:$AJ$14),LOOKUP($B28,'Cash Flow'!$F$2:$AJ$2,'Cash Flow'!$F$16:$AJ$16)))</f>
        <v>19.677168746197321</v>
      </c>
      <c r="D28" s="136">
        <f>IF($B28&gt;'Active Inputs'!$G$11,"",LOOKUP($B28,'Cash Flow'!$F$2:$AJ$2,'Cash Flow'!$F$23:$AJ$23))</f>
        <v>1171381.5072673417</v>
      </c>
      <c r="E28" s="136">
        <f>IF($B28&gt;'Active Inputs'!$G$11,"",LOOKUP($B28,'Cash Flow'!$F$2:$AJ$2,'Cash Flow'!$F$38:$AJ$38))</f>
        <v>-505575.91482577688</v>
      </c>
      <c r="F28" s="136">
        <f>IF($B28&gt;'Active Inputs'!$G$11,"",LOOKUP($B28,'Cash Flow'!$F$2:$AJ$2,'Cash Flow'!$F$91:$AJ$91))</f>
        <v>0</v>
      </c>
      <c r="G28" s="136">
        <f>IF($B28&gt;'Active Inputs'!$G$11,"",LOOKUP($B28,'Cash Flow'!$F$2:$AJ$2,'Cash Flow'!$F$50:$AJ$50)+LOOKUP($B28,'Cash Flow'!$F$2:$AJ$2,'Cash Flow'!$F$51:$AJ$51))</f>
        <v>0</v>
      </c>
      <c r="H28" s="136">
        <f>IF($B28&gt;'Active Inputs'!$G$11,"",SUM(D28:G28))</f>
        <v>665805.59244156489</v>
      </c>
      <c r="I28" s="136">
        <f>IF($B28&gt;'Active Inputs'!$G$11,"",LOOKUP($B28,'Cash Flow'!$F$2:$AJ$2,'Cash Flow'!$F$65:$AJ$65))</f>
        <v>665805.59244156489</v>
      </c>
      <c r="J28" s="136">
        <f>IF($B28&gt;'Active Inputs'!$G$11,"",LOOKUP($B28,'Cash Flow'!$F$2:$AJ$2,'Cash Flow'!$F$66:$AJ$66))</f>
        <v>665805.59244156489</v>
      </c>
      <c r="K28" s="136">
        <f>IF($B28&gt;'Active Inputs'!$G$11,"",LOOKUP($B28,'Cash Flow'!$F$2:$AJ$2,'Cash Flow'!$F$68:$AJ$68)+LOOKUP($B28,'Cash Flow'!$F$2:$AJ$2,'Cash Flow'!$F$70:$AJ$70))</f>
        <v>-127235.44871558304</v>
      </c>
      <c r="L28" s="136">
        <f>IF($B28&gt;'Active Inputs'!$G$11,"",LOOKUP($B28,'Cash Flow'!$F$2:$AJ$2,'Cash Flow'!$F$69:$AJ$69)+LOOKUP($B28,'Cash Flow'!$F$2:$AJ$2,'Cash Flow'!$F$71:$AJ$71))</f>
        <v>-59922.503319740841</v>
      </c>
      <c r="M28" s="136">
        <f>IF($B28&gt;'Active Inputs'!$G$11,"",H28+K28+L28)</f>
        <v>478647.640406241</v>
      </c>
      <c r="N28" s="136">
        <f>IF($B28&gt;'Active Inputs'!$G$11,N27,N27+M28)</f>
        <v>3430087.2051921701</v>
      </c>
      <c r="O28" s="139">
        <f>IF($B28&gt;'Active Inputs'!$G$11,"",LOOKUP($B28,'Cash Flow'!$F$2:$AJ$2,'Cash Flow'!$F$73:$AJ$73))</f>
        <v>8.3311056520452675E-2</v>
      </c>
      <c r="P28" s="140" t="str">
        <f>IF($B28&gt;'Active Inputs'!$G$11,"",LOOKUP($B28,'Cash Flow'!$F$2:$AJ$2,'Cash Flow'!$F$44:$AJ$44))</f>
        <v>N/A</v>
      </c>
      <c r="R28" s="309">
        <f>IF($B28&gt;'Active Inputs'!$G$11,"",D28+K28+L28)</f>
        <v>984223.55523201777</v>
      </c>
      <c r="S28" s="310">
        <f>IF($B28&gt;'Active Inputs'!$G$11,"",-(E28+F28+G28))</f>
        <v>505575.91482577688</v>
      </c>
    </row>
    <row r="29" spans="2:19">
      <c r="B29" s="142">
        <v>23</v>
      </c>
      <c r="C29" s="138">
        <f>IF($B29&gt;'Active Inputs'!$G$11,"",IF($B29&lt;='Active Inputs'!$Q$7,LOOKUP($B29,'Cash Flow'!$F$2:$AJ$2,'Cash Flow'!$F$14:$AJ$14),LOOKUP($B29,'Cash Flow'!$F$2:$AJ$2,'Cash Flow'!$F$16:$AJ$16)))</f>
        <v>20.111908263727106</v>
      </c>
      <c r="D29" s="136">
        <f>IF($B29&gt;'Active Inputs'!$G$11,"",LOOKUP($B29,'Cash Flow'!$F$2:$AJ$2,'Cash Flow'!$F$23:$AJ$23))</f>
        <v>1191275.2353377698</v>
      </c>
      <c r="E29" s="136">
        <f>IF($B29&gt;'Active Inputs'!$G$11,"",LOOKUP($B29,'Cash Flow'!$F$2:$AJ$2,'Cash Flow'!$F$38:$AJ$38))</f>
        <v>-516245.59513673274</v>
      </c>
      <c r="F29" s="136">
        <f>IF($B29&gt;'Active Inputs'!$G$11,"",LOOKUP($B29,'Cash Flow'!$F$2:$AJ$2,'Cash Flow'!$F$91:$AJ$91))</f>
        <v>0</v>
      </c>
      <c r="G29" s="136">
        <f>IF($B29&gt;'Active Inputs'!$G$11,"",LOOKUP($B29,'Cash Flow'!$F$2:$AJ$2,'Cash Flow'!$F$50:$AJ$50)+LOOKUP($B29,'Cash Flow'!$F$2:$AJ$2,'Cash Flow'!$F$51:$AJ$51))</f>
        <v>0</v>
      </c>
      <c r="H29" s="136">
        <f>IF($B29&gt;'Active Inputs'!$G$11,"",SUM(D29:G29))</f>
        <v>675029.64020103705</v>
      </c>
      <c r="I29" s="136">
        <f>IF($B29&gt;'Active Inputs'!$G$11,"",LOOKUP($B29,'Cash Flow'!$F$2:$AJ$2,'Cash Flow'!$F$65:$AJ$65))</f>
        <v>675029.64020103705</v>
      </c>
      <c r="J29" s="136">
        <f>IF($B29&gt;'Active Inputs'!$G$11,"",LOOKUP($B29,'Cash Flow'!$F$2:$AJ$2,'Cash Flow'!$F$66:$AJ$66))</f>
        <v>675029.64020103705</v>
      </c>
      <c r="K29" s="136">
        <f>IF($B29&gt;'Active Inputs'!$G$11,"",LOOKUP($B29,'Cash Flow'!$F$2:$AJ$2,'Cash Flow'!$F$68:$AJ$68)+LOOKUP($B29,'Cash Flow'!$F$2:$AJ$2,'Cash Flow'!$F$70:$AJ$70))</f>
        <v>-128998.16424241818</v>
      </c>
      <c r="L29" s="136">
        <f>IF($B29&gt;'Active Inputs'!$G$11,"",LOOKUP($B29,'Cash Flow'!$F$2:$AJ$2,'Cash Flow'!$F$69:$AJ$69)+LOOKUP($B29,'Cash Flow'!$F$2:$AJ$2,'Cash Flow'!$F$71:$AJ$71))</f>
        <v>-60752.667618093335</v>
      </c>
      <c r="M29" s="136">
        <f>IF($B29&gt;'Active Inputs'!$G$11,"",H29+K29+L29)</f>
        <v>485278.8083405256</v>
      </c>
      <c r="N29" s="136">
        <f>IF($B29&gt;'Active Inputs'!$G$11,N28,N28+M29)</f>
        <v>3915366.0135326958</v>
      </c>
      <c r="O29" s="139">
        <f>IF($B29&gt;'Active Inputs'!$G$11,"",LOOKUP($B29,'Cash Flow'!$F$2:$AJ$2,'Cash Flow'!$F$73:$AJ$73))</f>
        <v>8.6650401040867076E-2</v>
      </c>
      <c r="P29" s="140" t="str">
        <f>IF($B29&gt;'Active Inputs'!$G$11,"",LOOKUP($B29,'Cash Flow'!$F$2:$AJ$2,'Cash Flow'!$F$44:$AJ$44))</f>
        <v>N/A</v>
      </c>
      <c r="R29" s="309">
        <f>IF($B29&gt;'Active Inputs'!$G$11,"",D29+K29+L29)</f>
        <v>1001524.4034772583</v>
      </c>
      <c r="S29" s="310">
        <f>IF($B29&gt;'Active Inputs'!$G$11,"",-(E29+F29+G29))</f>
        <v>516245.59513673274</v>
      </c>
    </row>
    <row r="30" spans="2:19">
      <c r="B30" s="137">
        <v>24</v>
      </c>
      <c r="C30" s="138">
        <f>IF($B30&gt;'Active Inputs'!$G$11,"",IF($B30&lt;='Active Inputs'!$Q$7,LOOKUP($B30,'Cash Flow'!$F$2:$AJ$2,'Cash Flow'!$F$14:$AJ$14),LOOKUP($B30,'Cash Flow'!$F$2:$AJ$2,'Cash Flow'!$F$16:$AJ$16)))</f>
        <v>20.553967509645897</v>
      </c>
      <c r="D30" s="136">
        <f>IF($B30&gt;'Active Inputs'!$G$11,"",LOOKUP($B30,'Cash Flow'!$F$2:$AJ$2,'Cash Flow'!$F$23:$AJ$23))</f>
        <v>1211372.1383518525</v>
      </c>
      <c r="E30" s="136">
        <f>IF($B30&gt;'Active Inputs'!$G$11,"",LOOKUP($B30,'Cash Flow'!$F$2:$AJ$2,'Cash Flow'!$F$38:$AJ$38))</f>
        <v>-527159.36391434073</v>
      </c>
      <c r="F30" s="136">
        <f>IF($B30&gt;'Active Inputs'!$G$11,"",LOOKUP($B30,'Cash Flow'!$F$2:$AJ$2,'Cash Flow'!$F$91:$AJ$91))</f>
        <v>0</v>
      </c>
      <c r="G30" s="136">
        <f>IF($B30&gt;'Active Inputs'!$G$11,"",LOOKUP($B30,'Cash Flow'!$F$2:$AJ$2,'Cash Flow'!$F$50:$AJ$50)+LOOKUP($B30,'Cash Flow'!$F$2:$AJ$2,'Cash Flow'!$F$51:$AJ$51))</f>
        <v>0</v>
      </c>
      <c r="H30" s="136">
        <f>IF($B30&gt;'Active Inputs'!$G$11,"",SUM(D30:G30))</f>
        <v>684212.77443751181</v>
      </c>
      <c r="I30" s="136">
        <f>IF($B30&gt;'Active Inputs'!$G$11,"",LOOKUP($B30,'Cash Flow'!$F$2:$AJ$2,'Cash Flow'!$F$65:$AJ$65))</f>
        <v>684212.77443751181</v>
      </c>
      <c r="J30" s="136">
        <f>IF($B30&gt;'Active Inputs'!$G$11,"",LOOKUP($B30,'Cash Flow'!$F$2:$AJ$2,'Cash Flow'!$F$66:$AJ$66))</f>
        <v>684212.77443751181</v>
      </c>
      <c r="K30" s="136">
        <f>IF($B30&gt;'Active Inputs'!$G$11,"",LOOKUP($B30,'Cash Flow'!$F$2:$AJ$2,'Cash Flow'!$F$68:$AJ$68)+LOOKUP($B30,'Cash Flow'!$F$2:$AJ$2,'Cash Flow'!$F$70:$AJ$70))</f>
        <v>-130753.0611950085</v>
      </c>
      <c r="L30" s="136">
        <f>IF($B30&gt;'Active Inputs'!$G$11,"",LOOKUP($B30,'Cash Flow'!$F$2:$AJ$2,'Cash Flow'!$F$69:$AJ$69)+LOOKUP($B30,'Cash Flow'!$F$2:$AJ$2,'Cash Flow'!$F$71:$AJ$71))</f>
        <v>-61579.149699376059</v>
      </c>
      <c r="M30" s="136">
        <f>IF($B30&gt;'Active Inputs'!$G$11,"",H30+K30+L30)</f>
        <v>491880.56354312727</v>
      </c>
      <c r="N30" s="136">
        <f>IF($B30&gt;'Active Inputs'!$G$11,N29,N29+M30)</f>
        <v>4407246.5770758232</v>
      </c>
      <c r="O30" s="139">
        <f>IF($B30&gt;'Active Inputs'!$G$11,"",LOOKUP($B30,'Cash Flow'!$F$2:$AJ$2,'Cash Flow'!$F$73:$AJ$73))</f>
        <v>8.9481074747114642E-2</v>
      </c>
      <c r="P30" s="140" t="str">
        <f>IF($B30&gt;'Active Inputs'!$G$11,"",LOOKUP($B30,'Cash Flow'!$F$2:$AJ$2,'Cash Flow'!$F$44:$AJ$44))</f>
        <v>N/A</v>
      </c>
      <c r="R30" s="309">
        <f>IF($B30&gt;'Active Inputs'!$G$11,"",D30+K30+L30)</f>
        <v>1019039.927457468</v>
      </c>
      <c r="S30" s="310">
        <f>IF($B30&gt;'Active Inputs'!$G$11,"",-(E30+F30+G30))</f>
        <v>527159.36391434073</v>
      </c>
    </row>
    <row r="31" spans="2:19">
      <c r="B31" s="137">
        <v>25</v>
      </c>
      <c r="C31" s="138">
        <f>IF($B31&gt;'Active Inputs'!$G$11,"",IF($B31&lt;='Active Inputs'!$Q$7,LOOKUP($B31,'Cash Flow'!$F$2:$AJ$2,'Cash Flow'!$F$14:$AJ$14),LOOKUP($B31,'Cash Flow'!$F$2:$AJ$2,'Cash Flow'!$F$16:$AJ$16)))</f>
        <v>21.008868430112049</v>
      </c>
      <c r="D31" s="136">
        <f>IF($B31&gt;'Active Inputs'!$G$11,"",LOOKUP($B31,'Cash Flow'!$F$2:$AJ$2,'Cash Flow'!$F$23:$AJ$23))</f>
        <v>1231991.3453828907</v>
      </c>
      <c r="E31" s="136">
        <f>IF($B31&gt;'Active Inputs'!$G$11,"",LOOKUP($B31,'Cash Flow'!$F$2:$AJ$2,'Cash Flow'!$F$38:$AJ$38))</f>
        <v>-538323.02377374726</v>
      </c>
      <c r="F31" s="136">
        <f>IF($B31&gt;'Active Inputs'!$G$11,"",LOOKUP($B31,'Cash Flow'!$F$2:$AJ$2,'Cash Flow'!$F$91:$AJ$91))</f>
        <v>0</v>
      </c>
      <c r="G31" s="136">
        <f>IF($B31&gt;'Active Inputs'!$G$11,"",LOOKUP($B31,'Cash Flow'!$F$2:$AJ$2,'Cash Flow'!$F$50:$AJ$50)+LOOKUP($B31,'Cash Flow'!$F$2:$AJ$2,'Cash Flow'!$F$51:$AJ$51))</f>
        <v>0</v>
      </c>
      <c r="H31" s="136">
        <f>IF($B31&gt;'Active Inputs'!$G$11,"",SUM(D31:G31))</f>
        <v>693668.3216091434</v>
      </c>
      <c r="I31" s="136">
        <f>IF($B31&gt;'Active Inputs'!$G$11,"",LOOKUP($B31,'Cash Flow'!$F$2:$AJ$2,'Cash Flow'!$F$65:$AJ$65))</f>
        <v>693668.3216091434</v>
      </c>
      <c r="J31" s="136">
        <f>IF($B31&gt;'Active Inputs'!$G$11,"",LOOKUP($B31,'Cash Flow'!$F$2:$AJ$2,'Cash Flow'!$F$66:$AJ$66))</f>
        <v>693668.3216091434</v>
      </c>
      <c r="K31" s="136">
        <f>IF($B31&gt;'Active Inputs'!$G$11,"",LOOKUP($B31,'Cash Flow'!$F$2:$AJ$2,'Cash Flow'!$F$68:$AJ$68)+LOOKUP($B31,'Cash Flow'!$F$2:$AJ$2,'Cash Flow'!$F$70:$AJ$70))</f>
        <v>-132560.01625950728</v>
      </c>
      <c r="L31" s="136">
        <f>IF($B31&gt;'Active Inputs'!$G$11,"",LOOKUP($B31,'Cash Flow'!$F$2:$AJ$2,'Cash Flow'!$F$69:$AJ$69)+LOOKUP($B31,'Cash Flow'!$F$2:$AJ$2,'Cash Flow'!$F$71:$AJ$71))</f>
        <v>-62430.148944822904</v>
      </c>
      <c r="M31" s="136">
        <f>IF($B31&gt;'Active Inputs'!$G$11,"",H31+K31+L31)</f>
        <v>498678.15640481323</v>
      </c>
      <c r="N31" s="136">
        <f>IF($B31&gt;'Active Inputs'!$G$11,N30,N30+M31)</f>
        <v>4905924.733480636</v>
      </c>
      <c r="O31" s="139">
        <f>IF($B31&gt;'Active Inputs'!$G$11,"",LOOKUP($B31,'Cash Flow'!$F$2:$AJ$2,'Cash Flow'!$F$73:$AJ$73))</f>
        <v>9.190104506562502E-2</v>
      </c>
      <c r="P31" s="140" t="str">
        <f>IF($B31&gt;'Active Inputs'!$G$11,"",LOOKUP($B31,'Cash Flow'!$F$2:$AJ$2,'Cash Flow'!$F$44:$AJ$44))</f>
        <v>N/A</v>
      </c>
      <c r="R31" s="309">
        <f>IF($B31&gt;'Active Inputs'!$G$11,"",D31+K31+L31)</f>
        <v>1037001.1801785604</v>
      </c>
      <c r="S31" s="310">
        <f>IF($B31&gt;'Active Inputs'!$G$11,"",-(E31+F31+G31))</f>
        <v>538323.02377374726</v>
      </c>
    </row>
    <row r="32" spans="2:19">
      <c r="B32" s="142">
        <v>26</v>
      </c>
      <c r="C32" s="138">
        <f>IF($B32&gt;'Active Inputs'!$G$11,"",IF($B32&lt;='Active Inputs'!$Q$7,LOOKUP($B32,'Cash Flow'!$F$2:$AJ$2,'Cash Flow'!$F$14:$AJ$14),LOOKUP($B32,'Cash Flow'!$F$2:$AJ$2,'Cash Flow'!$F$16:$AJ$16)))</f>
        <v>21.472998943823626</v>
      </c>
      <c r="D32" s="136">
        <f>IF($B32&gt;'Active Inputs'!$G$11,"",LOOKUP($B32,'Cash Flow'!$F$2:$AJ$2,'Cash Flow'!$F$23:$AJ$23))</f>
        <v>1252912.6069535408</v>
      </c>
      <c r="E32" s="136">
        <f>IF($B32&gt;'Active Inputs'!$G$11,"",LOOKUP($B32,'Cash Flow'!$F$2:$AJ$2,'Cash Flow'!$F$38:$AJ$38))</f>
        <v>-549742.52100777533</v>
      </c>
      <c r="F32" s="136">
        <f>IF($B32&gt;'Active Inputs'!$G$11,"",LOOKUP($B32,'Cash Flow'!$F$2:$AJ$2,'Cash Flow'!$F$91:$AJ$91))</f>
        <v>0</v>
      </c>
      <c r="G32" s="136">
        <f>IF($B32&gt;'Active Inputs'!$G$11,"",LOOKUP($B32,'Cash Flow'!$F$2:$AJ$2,'Cash Flow'!$F$50:$AJ$50)+LOOKUP($B32,'Cash Flow'!$F$2:$AJ$2,'Cash Flow'!$F$51:$AJ$51))</f>
        <v>0</v>
      </c>
      <c r="H32" s="136">
        <f>IF($B32&gt;'Active Inputs'!$G$11,"",SUM(D32:G32))</f>
        <v>703170.08594576549</v>
      </c>
      <c r="I32" s="136">
        <f>IF($B32&gt;'Active Inputs'!$G$11,"",LOOKUP($B32,'Cash Flow'!$F$2:$AJ$2,'Cash Flow'!$F$65:$AJ$65))</f>
        <v>703170.08594576549</v>
      </c>
      <c r="J32" s="136">
        <f>IF($B32&gt;'Active Inputs'!$G$11,"",LOOKUP($B32,'Cash Flow'!$F$2:$AJ$2,'Cash Flow'!$F$66:$AJ$66))</f>
        <v>703170.08594576549</v>
      </c>
      <c r="K32" s="136">
        <f>IF($B32&gt;'Active Inputs'!$G$11,"",LOOKUP($B32,'Cash Flow'!$F$2:$AJ$2,'Cash Flow'!$F$68:$AJ$68)+LOOKUP($B32,'Cash Flow'!$F$2:$AJ$2,'Cash Flow'!$F$70:$AJ$70))</f>
        <v>-134375.80342423578</v>
      </c>
      <c r="L32" s="136">
        <f>IF($B32&gt;'Active Inputs'!$G$11,"",LOOKUP($B32,'Cash Flow'!$F$2:$AJ$2,'Cash Flow'!$F$69:$AJ$69)+LOOKUP($B32,'Cash Flow'!$F$2:$AJ$2,'Cash Flow'!$F$71:$AJ$71))</f>
        <v>-63285.307735118891</v>
      </c>
      <c r="M32" s="136">
        <f>IF($B32&gt;'Active Inputs'!$G$11,"",H32+K32+L32)</f>
        <v>505508.97478641081</v>
      </c>
      <c r="N32" s="136">
        <f>IF($B32&gt;'Active Inputs'!$G$11,N31,N31+M32)</f>
        <v>5411433.7082670471</v>
      </c>
      <c r="O32" s="139">
        <f>IF($B32&gt;'Active Inputs'!$G$11,"",LOOKUP($B32,'Cash Flow'!$F$2:$AJ$2,'Cash Flow'!$F$73:$AJ$73))</f>
        <v>9.398395618573363E-2</v>
      </c>
      <c r="P32" s="140" t="str">
        <f>IF($B32&gt;'Active Inputs'!$G$11,"",LOOKUP($B32,'Cash Flow'!$F$2:$AJ$2,'Cash Flow'!$F$44:$AJ$44))</f>
        <v>N/A</v>
      </c>
      <c r="R32" s="309">
        <f>IF($B32&gt;'Active Inputs'!$G$11,"",D32+K32+L32)</f>
        <v>1055251.4957941861</v>
      </c>
      <c r="S32" s="310">
        <f>IF($B32&gt;'Active Inputs'!$G$11,"",-(E32+F32+G32))</f>
        <v>549742.52100777533</v>
      </c>
    </row>
    <row r="33" spans="2:19">
      <c r="B33" s="137">
        <v>27</v>
      </c>
      <c r="C33" s="138">
        <f>IF($B33&gt;'Active Inputs'!$G$11,"",IF($B33&lt;='Active Inputs'!$Q$7,LOOKUP($B33,'Cash Flow'!$F$2:$AJ$2,'Cash Flow'!$F$14:$AJ$14),LOOKUP($B33,'Cash Flow'!$F$2:$AJ$2,'Cash Flow'!$F$16:$AJ$16)))</f>
        <v>21.872433239210707</v>
      </c>
      <c r="D33" s="136">
        <f>IF($B33&gt;'Active Inputs'!$G$11,"",LOOKUP($B33,'Cash Flow'!$F$2:$AJ$2,'Cash Flow'!$F$23:$AJ$23))</f>
        <v>1269837.8174721131</v>
      </c>
      <c r="E33" s="136">
        <f>IF($B33&gt;'Active Inputs'!$G$11,"",LOOKUP($B33,'Cash Flow'!$F$2:$AJ$2,'Cash Flow'!$F$38:$AJ$38))</f>
        <v>-561423.94928924064</v>
      </c>
      <c r="F33" s="136">
        <f>IF($B33&gt;'Active Inputs'!$G$11,"",LOOKUP($B33,'Cash Flow'!$F$2:$AJ$2,'Cash Flow'!$F$91:$AJ$91))</f>
        <v>0</v>
      </c>
      <c r="G33" s="136">
        <f>IF($B33&gt;'Active Inputs'!$G$11,"",LOOKUP($B33,'Cash Flow'!$F$2:$AJ$2,'Cash Flow'!$F$50:$AJ$50)+LOOKUP($B33,'Cash Flow'!$F$2:$AJ$2,'Cash Flow'!$F$51:$AJ$51))</f>
        <v>0</v>
      </c>
      <c r="H33" s="136">
        <f>IF($B33&gt;'Active Inputs'!$G$11,"",SUM(D33:G33))</f>
        <v>708413.86818287242</v>
      </c>
      <c r="I33" s="136">
        <f>IF($B33&gt;'Active Inputs'!$G$11,"",LOOKUP($B33,'Cash Flow'!$F$2:$AJ$2,'Cash Flow'!$F$65:$AJ$65))</f>
        <v>708413.86818287242</v>
      </c>
      <c r="J33" s="136">
        <f>IF($B33&gt;'Active Inputs'!$G$11,"",LOOKUP($B33,'Cash Flow'!$F$2:$AJ$2,'Cash Flow'!$F$66:$AJ$66))</f>
        <v>708413.86818287242</v>
      </c>
      <c r="K33" s="136">
        <f>IF($B33&gt;'Active Inputs'!$G$11,"",LOOKUP($B33,'Cash Flow'!$F$2:$AJ$2,'Cash Flow'!$F$68:$AJ$68)+LOOKUP($B33,'Cash Flow'!$F$2:$AJ$2,'Cash Flow'!$F$70:$AJ$70))</f>
        <v>-135377.8902097469</v>
      </c>
      <c r="L33" s="136">
        <f>IF($B33&gt;'Active Inputs'!$G$11,"",LOOKUP($B33,'Cash Flow'!$F$2:$AJ$2,'Cash Flow'!$F$69:$AJ$69)+LOOKUP($B33,'Cash Flow'!$F$2:$AJ$2,'Cash Flow'!$F$71:$AJ$71))</f>
        <v>-63757.248136458518</v>
      </c>
      <c r="M33" s="136">
        <f>IF($B33&gt;'Active Inputs'!$G$11,"",H33+K33+L33)</f>
        <v>509278.72983666701</v>
      </c>
      <c r="N33" s="136">
        <f>IF($B33&gt;'Active Inputs'!$G$11,N32,N32+M33)</f>
        <v>5920712.438103714</v>
      </c>
      <c r="O33" s="139">
        <f>IF($B33&gt;'Active Inputs'!$G$11,"",LOOKUP($B33,'Cash Flow'!$F$2:$AJ$2,'Cash Flow'!$F$73:$AJ$73))</f>
        <v>9.5776503752062592E-2</v>
      </c>
      <c r="P33" s="140" t="str">
        <f>IF($B33&gt;'Active Inputs'!$G$11,"",LOOKUP($B33,'Cash Flow'!$F$2:$AJ$2,'Cash Flow'!$F$44:$AJ$44))</f>
        <v>N/A</v>
      </c>
      <c r="R33" s="309">
        <f>IF($B33&gt;'Active Inputs'!$G$11,"",D33+K33+L33)</f>
        <v>1070702.6791259078</v>
      </c>
      <c r="S33" s="310">
        <f>IF($B33&gt;'Active Inputs'!$G$11,"",-(E33+F33+G33))</f>
        <v>561423.94928924064</v>
      </c>
    </row>
    <row r="34" spans="2:19">
      <c r="B34" s="137">
        <v>28</v>
      </c>
      <c r="C34" s="138">
        <f>IF($B34&gt;'Active Inputs'!$G$11,"",IF($B34&lt;='Active Inputs'!$Q$7,LOOKUP($B34,'Cash Flow'!$F$2:$AJ$2,'Cash Flow'!$F$14:$AJ$14),LOOKUP($B34,'Cash Flow'!$F$2:$AJ$2,'Cash Flow'!$F$16:$AJ$16)))</f>
        <v>21.872433239210707</v>
      </c>
      <c r="D34" s="136">
        <f>IF($B34&gt;'Active Inputs'!$G$11,"",LOOKUP($B34,'Cash Flow'!$F$2:$AJ$2,'Cash Flow'!$F$23:$AJ$23))</f>
        <v>1263488.6283847527</v>
      </c>
      <c r="E34" s="136">
        <f>IF($B34&gt;'Active Inputs'!$G$11,"",LOOKUP($B34,'Cash Flow'!$F$2:$AJ$2,'Cash Flow'!$F$38:$AJ$38))</f>
        <v>-573373.55347217468</v>
      </c>
      <c r="F34" s="136">
        <f>IF($B34&gt;'Active Inputs'!$G$11,"",LOOKUP($B34,'Cash Flow'!$F$2:$AJ$2,'Cash Flow'!$F$91:$AJ$91))</f>
        <v>0</v>
      </c>
      <c r="G34" s="136">
        <f>IF($B34&gt;'Active Inputs'!$G$11,"",LOOKUP($B34,'Cash Flow'!$F$2:$AJ$2,'Cash Flow'!$F$50:$AJ$50)+LOOKUP($B34,'Cash Flow'!$F$2:$AJ$2,'Cash Flow'!$F$51:$AJ$51))</f>
        <v>0</v>
      </c>
      <c r="H34" s="136">
        <f>IF($B34&gt;'Active Inputs'!$G$11,"",SUM(D34:G34))</f>
        <v>690115.07491257798</v>
      </c>
      <c r="I34" s="136">
        <f>IF($B34&gt;'Active Inputs'!$G$11,"",LOOKUP($B34,'Cash Flow'!$F$2:$AJ$2,'Cash Flow'!$F$65:$AJ$65))</f>
        <v>690115.07491257798</v>
      </c>
      <c r="J34" s="136">
        <f>IF($B34&gt;'Active Inputs'!$G$11,"",LOOKUP($B34,'Cash Flow'!$F$2:$AJ$2,'Cash Flow'!$F$66:$AJ$66))</f>
        <v>690115.07491257798</v>
      </c>
      <c r="K34" s="136">
        <f>IF($B34&gt;'Active Inputs'!$G$11,"",LOOKUP($B34,'Cash Flow'!$F$2:$AJ$2,'Cash Flow'!$F$68:$AJ$68)+LOOKUP($B34,'Cash Flow'!$F$2:$AJ$2,'Cash Flow'!$F$70:$AJ$70))</f>
        <v>-131880.99081579366</v>
      </c>
      <c r="L34" s="136">
        <f>IF($B34&gt;'Active Inputs'!$G$11,"",LOOKUP($B34,'Cash Flow'!$F$2:$AJ$2,'Cash Flow'!$F$69:$AJ$69)+LOOKUP($B34,'Cash Flow'!$F$2:$AJ$2,'Cash Flow'!$F$71:$AJ$71))</f>
        <v>-62110.356742132019</v>
      </c>
      <c r="M34" s="136">
        <f>IF($B34&gt;'Active Inputs'!$G$11,"",H34+K34+L34)</f>
        <v>496123.72735465236</v>
      </c>
      <c r="N34" s="136">
        <f>IF($B34&gt;'Active Inputs'!$G$11,N33,N33+M34)</f>
        <v>6416836.1654583663</v>
      </c>
      <c r="O34" s="139">
        <f>IF($B34&gt;'Active Inputs'!$G$11,"",LOOKUP($B34,'Cash Flow'!$F$2:$AJ$2,'Cash Flow'!$F$73:$AJ$73))</f>
        <v>9.7277610450476004E-2</v>
      </c>
      <c r="P34" s="140" t="str">
        <f>IF($B34&gt;'Active Inputs'!$G$11,"",LOOKUP($B34,'Cash Flow'!$F$2:$AJ$2,'Cash Flow'!$F$44:$AJ$44))</f>
        <v>N/A</v>
      </c>
      <c r="R34" s="309">
        <f>IF($B34&gt;'Active Inputs'!$G$11,"",D34+K34+L34)</f>
        <v>1069497.280826827</v>
      </c>
      <c r="S34" s="310">
        <f>IF($B34&gt;'Active Inputs'!$G$11,"",-(E34+F34+G34))</f>
        <v>573373.55347217468</v>
      </c>
    </row>
    <row r="35" spans="2:19">
      <c r="B35" s="142">
        <v>29</v>
      </c>
      <c r="C35" s="138">
        <f>IF($B35&gt;'Active Inputs'!$G$11,"",IF($B35&lt;='Active Inputs'!$Q$7,LOOKUP($B35,'Cash Flow'!$F$2:$AJ$2,'Cash Flow'!$F$14:$AJ$14),LOOKUP($B35,'Cash Flow'!$F$2:$AJ$2,'Cash Flow'!$F$16:$AJ$16)))</f>
        <v>21.872433239210707</v>
      </c>
      <c r="D35" s="136">
        <f>IF($B35&gt;'Active Inputs'!$G$11,"",LOOKUP($B35,'Cash Flow'!$F$2:$AJ$2,'Cash Flow'!$F$23:$AJ$23))</f>
        <v>1257171.1852428289</v>
      </c>
      <c r="E35" s="136">
        <f>IF($B35&gt;'Active Inputs'!$G$11,"",LOOKUP($B35,'Cash Flow'!$F$2:$AJ$2,'Cash Flow'!$F$38:$AJ$38))</f>
        <v>-585597.73349468177</v>
      </c>
      <c r="F35" s="136">
        <f>IF($B35&gt;'Active Inputs'!$G$11,"",LOOKUP($B35,'Cash Flow'!$F$2:$AJ$2,'Cash Flow'!$F$91:$AJ$91))</f>
        <v>0</v>
      </c>
      <c r="G35" s="136">
        <f>IF($B35&gt;'Active Inputs'!$G$11,"",LOOKUP($B35,'Cash Flow'!$F$2:$AJ$2,'Cash Flow'!$F$50:$AJ$50)+LOOKUP($B35,'Cash Flow'!$F$2:$AJ$2,'Cash Flow'!$F$51:$AJ$51))</f>
        <v>0</v>
      </c>
      <c r="H35" s="136">
        <f>IF($B35&gt;'Active Inputs'!$G$11,"",SUM(D35:G35))</f>
        <v>671573.45174814714</v>
      </c>
      <c r="I35" s="136">
        <f>IF($B35&gt;'Active Inputs'!$G$11,"",LOOKUP($B35,'Cash Flow'!$F$2:$AJ$2,'Cash Flow'!$F$65:$AJ$65))</f>
        <v>671573.45174814714</v>
      </c>
      <c r="J35" s="136">
        <f>IF($B35&gt;'Active Inputs'!$G$11,"",LOOKUP($B35,'Cash Flow'!$F$2:$AJ$2,'Cash Flow'!$F$66:$AJ$66))</f>
        <v>671573.45174814714</v>
      </c>
      <c r="K35" s="136">
        <f>IF($B35&gt;'Active Inputs'!$G$11,"",LOOKUP($B35,'Cash Flow'!$F$2:$AJ$2,'Cash Flow'!$F$68:$AJ$68)+LOOKUP($B35,'Cash Flow'!$F$2:$AJ$2,'Cash Flow'!$F$70:$AJ$70))</f>
        <v>-128337.6866290709</v>
      </c>
      <c r="L35" s="136">
        <f>IF($B35&gt;'Active Inputs'!$G$11,"",LOOKUP($B35,'Cash Flow'!$F$2:$AJ$2,'Cash Flow'!$F$69:$AJ$69)+LOOKUP($B35,'Cash Flow'!$F$2:$AJ$2,'Cash Flow'!$F$71:$AJ$71))</f>
        <v>-60441.610657333244</v>
      </c>
      <c r="M35" s="136">
        <f>IF($B35&gt;'Active Inputs'!$G$11,"",H35+K35+L35)</f>
        <v>482794.15446174302</v>
      </c>
      <c r="N35" s="136">
        <f>IF($B35&gt;'Active Inputs'!$G$11,N34,N34+M35)</f>
        <v>6899630.3199201096</v>
      </c>
      <c r="O35" s="139">
        <f>IF($B35&gt;'Active Inputs'!$G$11,"",LOOKUP($B35,'Cash Flow'!$F$2:$AJ$2,'Cash Flow'!$F$73:$AJ$73))</f>
        <v>9.8541233509908732E-2</v>
      </c>
      <c r="P35" s="140" t="str">
        <f>IF($B35&gt;'Active Inputs'!$G$11,"",LOOKUP($B35,'Cash Flow'!$F$2:$AJ$2,'Cash Flow'!$F$44:$AJ$44))</f>
        <v>N/A</v>
      </c>
      <c r="R35" s="309">
        <f>IF($B35&gt;'Active Inputs'!$G$11,"",D35+K35+L35)</f>
        <v>1068391.8879564248</v>
      </c>
      <c r="S35" s="310">
        <f>IF($B35&gt;'Active Inputs'!$G$11,"",-(E35+F35+G35))</f>
        <v>585597.73349468177</v>
      </c>
    </row>
    <row r="36" spans="2:19">
      <c r="B36" s="137">
        <v>30</v>
      </c>
      <c r="C36" s="138">
        <f>IF($B36&gt;'Active Inputs'!$G$11,"",IF($B36&lt;='Active Inputs'!$Q$7,LOOKUP($B36,'Cash Flow'!$F$2:$AJ$2,'Cash Flow'!$F$14:$AJ$14),LOOKUP($B36,'Cash Flow'!$F$2:$AJ$2,'Cash Flow'!$F$16:$AJ$16)))</f>
        <v>21.872433239210707</v>
      </c>
      <c r="D36" s="136">
        <f>IF($B36&gt;'Active Inputs'!$G$11,"",LOOKUP($B36,'Cash Flow'!$F$2:$AJ$2,'Cash Flow'!$F$23:$AJ$23))</f>
        <v>1250885.3293166147</v>
      </c>
      <c r="E36" s="136">
        <f>IF($B36&gt;'Active Inputs'!$G$11,"",LOOKUP($B36,'Cash Flow'!$F$2:$AJ$2,'Cash Flow'!$F$38:$AJ$38))</f>
        <v>-598103.04838623083</v>
      </c>
      <c r="F36" s="136">
        <f>IF($B36&gt;'Active Inputs'!$G$11,"",LOOKUP($B36,'Cash Flow'!$F$2:$AJ$2,'Cash Flow'!$F$91:$AJ$91))</f>
        <v>0</v>
      </c>
      <c r="G36" s="136">
        <f>IF($B36&gt;'Active Inputs'!$G$11,"",LOOKUP($B36,'Cash Flow'!$F$2:$AJ$2,'Cash Flow'!$F$50:$AJ$50)+LOOKUP($B36,'Cash Flow'!$F$2:$AJ$2,'Cash Flow'!$F$51:$AJ$51))</f>
        <v>0</v>
      </c>
      <c r="H36" s="136">
        <f>IF($B36&gt;'Active Inputs'!$G$11,"",SUM(D36:G36))</f>
        <v>652782.28093038383</v>
      </c>
      <c r="I36" s="136">
        <f>IF($B36&gt;'Active Inputs'!$G$11,"",LOOKUP($B36,'Cash Flow'!$F$2:$AJ$2,'Cash Flow'!$F$65:$AJ$65))</f>
        <v>652782.28093038383</v>
      </c>
      <c r="J36" s="136">
        <f>IF($B36&gt;'Active Inputs'!$G$11,"",LOOKUP($B36,'Cash Flow'!$F$2:$AJ$2,'Cash Flow'!$F$66:$AJ$66))</f>
        <v>652782.28093038383</v>
      </c>
      <c r="K36" s="136">
        <f>IF($B36&gt;'Active Inputs'!$G$11,"",LOOKUP($B36,'Cash Flow'!$F$2:$AJ$2,'Cash Flow'!$F$68:$AJ$68)+LOOKUP($B36,'Cash Flow'!$F$2:$AJ$2,'Cash Flow'!$F$70:$AJ$70))</f>
        <v>-124746.69388579634</v>
      </c>
      <c r="L36" s="136">
        <f>IF($B36&gt;'Active Inputs'!$G$11,"",LOOKUP($B36,'Cash Flow'!$F$2:$AJ$2,'Cash Flow'!$F$69:$AJ$69)+LOOKUP($B36,'Cash Flow'!$F$2:$AJ$2,'Cash Flow'!$F$71:$AJ$71))</f>
        <v>-58750.405283734544</v>
      </c>
      <c r="M36" s="136">
        <f>IF($B36&gt;'Active Inputs'!$G$11,"",H36+K36+L36)</f>
        <v>469285.18176085292</v>
      </c>
      <c r="N36" s="136">
        <f>IF($B36&gt;'Active Inputs'!$G$11,N35,N35+M36)</f>
        <v>7368915.5016809627</v>
      </c>
      <c r="O36" s="139">
        <f>IF($B36&gt;'Active Inputs'!$G$11,"",LOOKUP($B36,'Cash Flow'!$F$2:$AJ$2,'Cash Flow'!$F$73:$AJ$73))</f>
        <v>9.9609404872547103E-2</v>
      </c>
      <c r="P36" s="140" t="str">
        <f>IF($B36&gt;'Active Inputs'!$G$11,"",LOOKUP($B36,'Cash Flow'!$F$2:$AJ$2,'Cash Flow'!$F$44:$AJ$44))</f>
        <v>N/A</v>
      </c>
      <c r="R36" s="309">
        <f>IF($B36&gt;'Active Inputs'!$G$11,"",D36+K36+L36)</f>
        <v>1067388.230147084</v>
      </c>
      <c r="S36" s="310">
        <f>IF($B36&gt;'Active Inputs'!$G$11,"",-(E36+F36+G36))</f>
        <v>598103.04838623083</v>
      </c>
    </row>
    <row r="37" spans="2:19">
      <c r="B37" s="143"/>
      <c r="C37" s="144"/>
      <c r="D37" s="144"/>
      <c r="E37" s="144"/>
      <c r="F37" s="144"/>
      <c r="G37" s="155"/>
      <c r="H37" s="144"/>
      <c r="I37" s="144"/>
      <c r="J37" s="144"/>
      <c r="K37" s="144"/>
      <c r="L37" s="144"/>
      <c r="M37" s="155"/>
      <c r="N37" s="155"/>
      <c r="O37" s="155"/>
      <c r="P37" s="156"/>
      <c r="R37" s="311"/>
      <c r="S37" s="312"/>
    </row>
    <row r="38" spans="2:19">
      <c r="G38" s="157"/>
      <c r="M38" s="157"/>
      <c r="N38" s="157"/>
      <c r="O38" s="157"/>
      <c r="P38" s="157"/>
    </row>
  </sheetData>
  <sheetProtection password="CA95" sheet="1" objects="1" scenarios="1"/>
  <mergeCells count="3">
    <mergeCell ref="R4:R5"/>
    <mergeCell ref="S4:S5"/>
    <mergeCell ref="R3:S3"/>
  </mergeCells>
  <conditionalFormatting sqref="N7:N36">
    <cfRule type="expression" dxfId="3" priority="1">
      <formula>$N7=$N6</formula>
    </cfRule>
  </conditionalFormatting>
  <pageMargins left="0.7" right="0.7" top="0.75" bottom="0.75" header="0.3" footer="0.3"/>
  <pageSetup orientation="portrait" horizontalDpi="4294967293" verticalDpi="1200"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7" tint="0.39997558519241921"/>
  </sheetPr>
  <dimension ref="B1:AJ293"/>
  <sheetViews>
    <sheetView topLeftCell="A40" zoomScale="55" zoomScaleNormal="55" workbookViewId="0">
      <selection activeCell="D79" sqref="D79"/>
    </sheetView>
  </sheetViews>
  <sheetFormatPr defaultRowHeight="15"/>
  <cols>
    <col min="1" max="1" width="5.42578125" customWidth="1"/>
    <col min="2" max="2" width="56.5703125" customWidth="1"/>
    <col min="3" max="5" width="15.28515625" customWidth="1"/>
    <col min="6" max="6" width="15.7109375" customWidth="1"/>
    <col min="7" max="8" width="15.7109375" bestFit="1" customWidth="1"/>
    <col min="9" max="13" width="14.7109375" bestFit="1" customWidth="1"/>
    <col min="14" max="36" width="13.7109375" customWidth="1"/>
    <col min="229" max="229" width="5.42578125" customWidth="1"/>
    <col min="230" max="230" width="56.5703125" customWidth="1"/>
    <col min="231" max="231" width="15.28515625" customWidth="1"/>
    <col min="232" max="232" width="15.7109375" customWidth="1"/>
    <col min="233" max="233" width="15.28515625" customWidth="1"/>
    <col min="234" max="292" width="13.7109375" customWidth="1"/>
    <col min="485" max="485" width="5.42578125" customWidth="1"/>
    <col min="486" max="486" width="56.5703125" customWidth="1"/>
    <col min="487" max="487" width="15.28515625" customWidth="1"/>
    <col min="488" max="488" width="15.7109375" customWidth="1"/>
    <col min="489" max="489" width="15.28515625" customWidth="1"/>
    <col min="490" max="548" width="13.7109375" customWidth="1"/>
    <col min="741" max="741" width="5.42578125" customWidth="1"/>
    <col min="742" max="742" width="56.5703125" customWidth="1"/>
    <col min="743" max="743" width="15.28515625" customWidth="1"/>
    <col min="744" max="744" width="15.7109375" customWidth="1"/>
    <col min="745" max="745" width="15.28515625" customWidth="1"/>
    <col min="746" max="804" width="13.7109375" customWidth="1"/>
    <col min="997" max="997" width="5.42578125" customWidth="1"/>
    <col min="998" max="998" width="56.5703125" customWidth="1"/>
    <col min="999" max="999" width="15.28515625" customWidth="1"/>
    <col min="1000" max="1000" width="15.7109375" customWidth="1"/>
    <col min="1001" max="1001" width="15.28515625" customWidth="1"/>
    <col min="1002" max="1060" width="13.7109375" customWidth="1"/>
    <col min="1253" max="1253" width="5.42578125" customWidth="1"/>
    <col min="1254" max="1254" width="56.5703125" customWidth="1"/>
    <col min="1255" max="1255" width="15.28515625" customWidth="1"/>
    <col min="1256" max="1256" width="15.7109375" customWidth="1"/>
    <col min="1257" max="1257" width="15.28515625" customWidth="1"/>
    <col min="1258" max="1316" width="13.7109375" customWidth="1"/>
    <col min="1509" max="1509" width="5.42578125" customWidth="1"/>
    <col min="1510" max="1510" width="56.5703125" customWidth="1"/>
    <col min="1511" max="1511" width="15.28515625" customWidth="1"/>
    <col min="1512" max="1512" width="15.7109375" customWidth="1"/>
    <col min="1513" max="1513" width="15.28515625" customWidth="1"/>
    <col min="1514" max="1572" width="13.7109375" customWidth="1"/>
    <col min="1765" max="1765" width="5.42578125" customWidth="1"/>
    <col min="1766" max="1766" width="56.5703125" customWidth="1"/>
    <col min="1767" max="1767" width="15.28515625" customWidth="1"/>
    <col min="1768" max="1768" width="15.7109375" customWidth="1"/>
    <col min="1769" max="1769" width="15.28515625" customWidth="1"/>
    <col min="1770" max="1828" width="13.7109375" customWidth="1"/>
    <col min="2021" max="2021" width="5.42578125" customWidth="1"/>
    <col min="2022" max="2022" width="56.5703125" customWidth="1"/>
    <col min="2023" max="2023" width="15.28515625" customWidth="1"/>
    <col min="2024" max="2024" width="15.7109375" customWidth="1"/>
    <col min="2025" max="2025" width="15.28515625" customWidth="1"/>
    <col min="2026" max="2084" width="13.7109375" customWidth="1"/>
    <col min="2277" max="2277" width="5.42578125" customWidth="1"/>
    <col min="2278" max="2278" width="56.5703125" customWidth="1"/>
    <col min="2279" max="2279" width="15.28515625" customWidth="1"/>
    <col min="2280" max="2280" width="15.7109375" customWidth="1"/>
    <col min="2281" max="2281" width="15.28515625" customWidth="1"/>
    <col min="2282" max="2340" width="13.7109375" customWidth="1"/>
    <col min="2533" max="2533" width="5.42578125" customWidth="1"/>
    <col min="2534" max="2534" width="56.5703125" customWidth="1"/>
    <col min="2535" max="2535" width="15.28515625" customWidth="1"/>
    <col min="2536" max="2536" width="15.7109375" customWidth="1"/>
    <col min="2537" max="2537" width="15.28515625" customWidth="1"/>
    <col min="2538" max="2596" width="13.7109375" customWidth="1"/>
    <col min="2789" max="2789" width="5.42578125" customWidth="1"/>
    <col min="2790" max="2790" width="56.5703125" customWidth="1"/>
    <col min="2791" max="2791" width="15.28515625" customWidth="1"/>
    <col min="2792" max="2792" width="15.7109375" customWidth="1"/>
    <col min="2793" max="2793" width="15.28515625" customWidth="1"/>
    <col min="2794" max="2852" width="13.7109375" customWidth="1"/>
    <col min="3045" max="3045" width="5.42578125" customWidth="1"/>
    <col min="3046" max="3046" width="56.5703125" customWidth="1"/>
    <col min="3047" max="3047" width="15.28515625" customWidth="1"/>
    <col min="3048" max="3048" width="15.7109375" customWidth="1"/>
    <col min="3049" max="3049" width="15.28515625" customWidth="1"/>
    <col min="3050" max="3108" width="13.7109375" customWidth="1"/>
    <col min="3301" max="3301" width="5.42578125" customWidth="1"/>
    <col min="3302" max="3302" width="56.5703125" customWidth="1"/>
    <col min="3303" max="3303" width="15.28515625" customWidth="1"/>
    <col min="3304" max="3304" width="15.7109375" customWidth="1"/>
    <col min="3305" max="3305" width="15.28515625" customWidth="1"/>
    <col min="3306" max="3364" width="13.7109375" customWidth="1"/>
    <col min="3557" max="3557" width="5.42578125" customWidth="1"/>
    <col min="3558" max="3558" width="56.5703125" customWidth="1"/>
    <col min="3559" max="3559" width="15.28515625" customWidth="1"/>
    <col min="3560" max="3560" width="15.7109375" customWidth="1"/>
    <col min="3561" max="3561" width="15.28515625" customWidth="1"/>
    <col min="3562" max="3620" width="13.7109375" customWidth="1"/>
    <col min="3813" max="3813" width="5.42578125" customWidth="1"/>
    <col min="3814" max="3814" width="56.5703125" customWidth="1"/>
    <col min="3815" max="3815" width="15.28515625" customWidth="1"/>
    <col min="3816" max="3816" width="15.7109375" customWidth="1"/>
    <col min="3817" max="3817" width="15.28515625" customWidth="1"/>
    <col min="3818" max="3876" width="13.7109375" customWidth="1"/>
    <col min="4069" max="4069" width="5.42578125" customWidth="1"/>
    <col min="4070" max="4070" width="56.5703125" customWidth="1"/>
    <col min="4071" max="4071" width="15.28515625" customWidth="1"/>
    <col min="4072" max="4072" width="15.7109375" customWidth="1"/>
    <col min="4073" max="4073" width="15.28515625" customWidth="1"/>
    <col min="4074" max="4132" width="13.7109375" customWidth="1"/>
    <col min="4325" max="4325" width="5.42578125" customWidth="1"/>
    <col min="4326" max="4326" width="56.5703125" customWidth="1"/>
    <col min="4327" max="4327" width="15.28515625" customWidth="1"/>
    <col min="4328" max="4328" width="15.7109375" customWidth="1"/>
    <col min="4329" max="4329" width="15.28515625" customWidth="1"/>
    <col min="4330" max="4388" width="13.7109375" customWidth="1"/>
    <col min="4581" max="4581" width="5.42578125" customWidth="1"/>
    <col min="4582" max="4582" width="56.5703125" customWidth="1"/>
    <col min="4583" max="4583" width="15.28515625" customWidth="1"/>
    <col min="4584" max="4584" width="15.7109375" customWidth="1"/>
    <col min="4585" max="4585" width="15.28515625" customWidth="1"/>
    <col min="4586" max="4644" width="13.7109375" customWidth="1"/>
    <col min="4837" max="4837" width="5.42578125" customWidth="1"/>
    <col min="4838" max="4838" width="56.5703125" customWidth="1"/>
    <col min="4839" max="4839" width="15.28515625" customWidth="1"/>
    <col min="4840" max="4840" width="15.7109375" customWidth="1"/>
    <col min="4841" max="4841" width="15.28515625" customWidth="1"/>
    <col min="4842" max="4900" width="13.7109375" customWidth="1"/>
    <col min="5093" max="5093" width="5.42578125" customWidth="1"/>
    <col min="5094" max="5094" width="56.5703125" customWidth="1"/>
    <col min="5095" max="5095" width="15.28515625" customWidth="1"/>
    <col min="5096" max="5096" width="15.7109375" customWidth="1"/>
    <col min="5097" max="5097" width="15.28515625" customWidth="1"/>
    <col min="5098" max="5156" width="13.7109375" customWidth="1"/>
    <col min="5349" max="5349" width="5.42578125" customWidth="1"/>
    <col min="5350" max="5350" width="56.5703125" customWidth="1"/>
    <col min="5351" max="5351" width="15.28515625" customWidth="1"/>
    <col min="5352" max="5352" width="15.7109375" customWidth="1"/>
    <col min="5353" max="5353" width="15.28515625" customWidth="1"/>
    <col min="5354" max="5412" width="13.7109375" customWidth="1"/>
    <col min="5605" max="5605" width="5.42578125" customWidth="1"/>
    <col min="5606" max="5606" width="56.5703125" customWidth="1"/>
    <col min="5607" max="5607" width="15.28515625" customWidth="1"/>
    <col min="5608" max="5608" width="15.7109375" customWidth="1"/>
    <col min="5609" max="5609" width="15.28515625" customWidth="1"/>
    <col min="5610" max="5668" width="13.7109375" customWidth="1"/>
    <col min="5861" max="5861" width="5.42578125" customWidth="1"/>
    <col min="5862" max="5862" width="56.5703125" customWidth="1"/>
    <col min="5863" max="5863" width="15.28515625" customWidth="1"/>
    <col min="5864" max="5864" width="15.7109375" customWidth="1"/>
    <col min="5865" max="5865" width="15.28515625" customWidth="1"/>
    <col min="5866" max="5924" width="13.7109375" customWidth="1"/>
    <col min="6117" max="6117" width="5.42578125" customWidth="1"/>
    <col min="6118" max="6118" width="56.5703125" customWidth="1"/>
    <col min="6119" max="6119" width="15.28515625" customWidth="1"/>
    <col min="6120" max="6120" width="15.7109375" customWidth="1"/>
    <col min="6121" max="6121" width="15.28515625" customWidth="1"/>
    <col min="6122" max="6180" width="13.7109375" customWidth="1"/>
    <col min="6373" max="6373" width="5.42578125" customWidth="1"/>
    <col min="6374" max="6374" width="56.5703125" customWidth="1"/>
    <col min="6375" max="6375" width="15.28515625" customWidth="1"/>
    <col min="6376" max="6376" width="15.7109375" customWidth="1"/>
    <col min="6377" max="6377" width="15.28515625" customWidth="1"/>
    <col min="6378" max="6436" width="13.7109375" customWidth="1"/>
    <col min="6629" max="6629" width="5.42578125" customWidth="1"/>
    <col min="6630" max="6630" width="56.5703125" customWidth="1"/>
    <col min="6631" max="6631" width="15.28515625" customWidth="1"/>
    <col min="6632" max="6632" width="15.7109375" customWidth="1"/>
    <col min="6633" max="6633" width="15.28515625" customWidth="1"/>
    <col min="6634" max="6692" width="13.7109375" customWidth="1"/>
    <col min="6885" max="6885" width="5.42578125" customWidth="1"/>
    <col min="6886" max="6886" width="56.5703125" customWidth="1"/>
    <col min="6887" max="6887" width="15.28515625" customWidth="1"/>
    <col min="6888" max="6888" width="15.7109375" customWidth="1"/>
    <col min="6889" max="6889" width="15.28515625" customWidth="1"/>
    <col min="6890" max="6948" width="13.7109375" customWidth="1"/>
    <col min="7141" max="7141" width="5.42578125" customWidth="1"/>
    <col min="7142" max="7142" width="56.5703125" customWidth="1"/>
    <col min="7143" max="7143" width="15.28515625" customWidth="1"/>
    <col min="7144" max="7144" width="15.7109375" customWidth="1"/>
    <col min="7145" max="7145" width="15.28515625" customWidth="1"/>
    <col min="7146" max="7204" width="13.7109375" customWidth="1"/>
    <col min="7397" max="7397" width="5.42578125" customWidth="1"/>
    <col min="7398" max="7398" width="56.5703125" customWidth="1"/>
    <col min="7399" max="7399" width="15.28515625" customWidth="1"/>
    <col min="7400" max="7400" width="15.7109375" customWidth="1"/>
    <col min="7401" max="7401" width="15.28515625" customWidth="1"/>
    <col min="7402" max="7460" width="13.7109375" customWidth="1"/>
    <col min="7653" max="7653" width="5.42578125" customWidth="1"/>
    <col min="7654" max="7654" width="56.5703125" customWidth="1"/>
    <col min="7655" max="7655" width="15.28515625" customWidth="1"/>
    <col min="7656" max="7656" width="15.7109375" customWidth="1"/>
    <col min="7657" max="7657" width="15.28515625" customWidth="1"/>
    <col min="7658" max="7716" width="13.7109375" customWidth="1"/>
    <col min="7909" max="7909" width="5.42578125" customWidth="1"/>
    <col min="7910" max="7910" width="56.5703125" customWidth="1"/>
    <col min="7911" max="7911" width="15.28515625" customWidth="1"/>
    <col min="7912" max="7912" width="15.7109375" customWidth="1"/>
    <col min="7913" max="7913" width="15.28515625" customWidth="1"/>
    <col min="7914" max="7972" width="13.7109375" customWidth="1"/>
    <col min="8165" max="8165" width="5.42578125" customWidth="1"/>
    <col min="8166" max="8166" width="56.5703125" customWidth="1"/>
    <col min="8167" max="8167" width="15.28515625" customWidth="1"/>
    <col min="8168" max="8168" width="15.7109375" customWidth="1"/>
    <col min="8169" max="8169" width="15.28515625" customWidth="1"/>
    <col min="8170" max="8228" width="13.7109375" customWidth="1"/>
    <col min="8421" max="8421" width="5.42578125" customWidth="1"/>
    <col min="8422" max="8422" width="56.5703125" customWidth="1"/>
    <col min="8423" max="8423" width="15.28515625" customWidth="1"/>
    <col min="8424" max="8424" width="15.7109375" customWidth="1"/>
    <col min="8425" max="8425" width="15.28515625" customWidth="1"/>
    <col min="8426" max="8484" width="13.7109375" customWidth="1"/>
    <col min="8677" max="8677" width="5.42578125" customWidth="1"/>
    <col min="8678" max="8678" width="56.5703125" customWidth="1"/>
    <col min="8679" max="8679" width="15.28515625" customWidth="1"/>
    <col min="8680" max="8680" width="15.7109375" customWidth="1"/>
    <col min="8681" max="8681" width="15.28515625" customWidth="1"/>
    <col min="8682" max="8740" width="13.7109375" customWidth="1"/>
    <col min="8933" max="8933" width="5.42578125" customWidth="1"/>
    <col min="8934" max="8934" width="56.5703125" customWidth="1"/>
    <col min="8935" max="8935" width="15.28515625" customWidth="1"/>
    <col min="8936" max="8936" width="15.7109375" customWidth="1"/>
    <col min="8937" max="8937" width="15.28515625" customWidth="1"/>
    <col min="8938" max="8996" width="13.7109375" customWidth="1"/>
    <col min="9189" max="9189" width="5.42578125" customWidth="1"/>
    <col min="9190" max="9190" width="56.5703125" customWidth="1"/>
    <col min="9191" max="9191" width="15.28515625" customWidth="1"/>
    <col min="9192" max="9192" width="15.7109375" customWidth="1"/>
    <col min="9193" max="9193" width="15.28515625" customWidth="1"/>
    <col min="9194" max="9252" width="13.7109375" customWidth="1"/>
    <col min="9445" max="9445" width="5.42578125" customWidth="1"/>
    <col min="9446" max="9446" width="56.5703125" customWidth="1"/>
    <col min="9447" max="9447" width="15.28515625" customWidth="1"/>
    <col min="9448" max="9448" width="15.7109375" customWidth="1"/>
    <col min="9449" max="9449" width="15.28515625" customWidth="1"/>
    <col min="9450" max="9508" width="13.7109375" customWidth="1"/>
    <col min="9701" max="9701" width="5.42578125" customWidth="1"/>
    <col min="9702" max="9702" width="56.5703125" customWidth="1"/>
    <col min="9703" max="9703" width="15.28515625" customWidth="1"/>
    <col min="9704" max="9704" width="15.7109375" customWidth="1"/>
    <col min="9705" max="9705" width="15.28515625" customWidth="1"/>
    <col min="9706" max="9764" width="13.7109375" customWidth="1"/>
    <col min="9957" max="9957" width="5.42578125" customWidth="1"/>
    <col min="9958" max="9958" width="56.5703125" customWidth="1"/>
    <col min="9959" max="9959" width="15.28515625" customWidth="1"/>
    <col min="9960" max="9960" width="15.7109375" customWidth="1"/>
    <col min="9961" max="9961" width="15.28515625" customWidth="1"/>
    <col min="9962" max="10020" width="13.7109375" customWidth="1"/>
    <col min="10213" max="10213" width="5.42578125" customWidth="1"/>
    <col min="10214" max="10214" width="56.5703125" customWidth="1"/>
    <col min="10215" max="10215" width="15.28515625" customWidth="1"/>
    <col min="10216" max="10216" width="15.7109375" customWidth="1"/>
    <col min="10217" max="10217" width="15.28515625" customWidth="1"/>
    <col min="10218" max="10276" width="13.7109375" customWidth="1"/>
    <col min="10469" max="10469" width="5.42578125" customWidth="1"/>
    <col min="10470" max="10470" width="56.5703125" customWidth="1"/>
    <col min="10471" max="10471" width="15.28515625" customWidth="1"/>
    <col min="10472" max="10472" width="15.7109375" customWidth="1"/>
    <col min="10473" max="10473" width="15.28515625" customWidth="1"/>
    <col min="10474" max="10532" width="13.7109375" customWidth="1"/>
    <col min="10725" max="10725" width="5.42578125" customWidth="1"/>
    <col min="10726" max="10726" width="56.5703125" customWidth="1"/>
    <col min="10727" max="10727" width="15.28515625" customWidth="1"/>
    <col min="10728" max="10728" width="15.7109375" customWidth="1"/>
    <col min="10729" max="10729" width="15.28515625" customWidth="1"/>
    <col min="10730" max="10788" width="13.7109375" customWidth="1"/>
    <col min="10981" max="10981" width="5.42578125" customWidth="1"/>
    <col min="10982" max="10982" width="56.5703125" customWidth="1"/>
    <col min="10983" max="10983" width="15.28515625" customWidth="1"/>
    <col min="10984" max="10984" width="15.7109375" customWidth="1"/>
    <col min="10985" max="10985" width="15.28515625" customWidth="1"/>
    <col min="10986" max="11044" width="13.7109375" customWidth="1"/>
    <col min="11237" max="11237" width="5.42578125" customWidth="1"/>
    <col min="11238" max="11238" width="56.5703125" customWidth="1"/>
    <col min="11239" max="11239" width="15.28515625" customWidth="1"/>
    <col min="11240" max="11240" width="15.7109375" customWidth="1"/>
    <col min="11241" max="11241" width="15.28515625" customWidth="1"/>
    <col min="11242" max="11300" width="13.7109375" customWidth="1"/>
    <col min="11493" max="11493" width="5.42578125" customWidth="1"/>
    <col min="11494" max="11494" width="56.5703125" customWidth="1"/>
    <col min="11495" max="11495" width="15.28515625" customWidth="1"/>
    <col min="11496" max="11496" width="15.7109375" customWidth="1"/>
    <col min="11497" max="11497" width="15.28515625" customWidth="1"/>
    <col min="11498" max="11556" width="13.7109375" customWidth="1"/>
    <col min="11749" max="11749" width="5.42578125" customWidth="1"/>
    <col min="11750" max="11750" width="56.5703125" customWidth="1"/>
    <col min="11751" max="11751" width="15.28515625" customWidth="1"/>
    <col min="11752" max="11752" width="15.7109375" customWidth="1"/>
    <col min="11753" max="11753" width="15.28515625" customWidth="1"/>
    <col min="11754" max="11812" width="13.7109375" customWidth="1"/>
    <col min="12005" max="12005" width="5.42578125" customWidth="1"/>
    <col min="12006" max="12006" width="56.5703125" customWidth="1"/>
    <col min="12007" max="12007" width="15.28515625" customWidth="1"/>
    <col min="12008" max="12008" width="15.7109375" customWidth="1"/>
    <col min="12009" max="12009" width="15.28515625" customWidth="1"/>
    <col min="12010" max="12068" width="13.7109375" customWidth="1"/>
    <col min="12261" max="12261" width="5.42578125" customWidth="1"/>
    <col min="12262" max="12262" width="56.5703125" customWidth="1"/>
    <col min="12263" max="12263" width="15.28515625" customWidth="1"/>
    <col min="12264" max="12264" width="15.7109375" customWidth="1"/>
    <col min="12265" max="12265" width="15.28515625" customWidth="1"/>
    <col min="12266" max="12324" width="13.7109375" customWidth="1"/>
    <col min="12517" max="12517" width="5.42578125" customWidth="1"/>
    <col min="12518" max="12518" width="56.5703125" customWidth="1"/>
    <col min="12519" max="12519" width="15.28515625" customWidth="1"/>
    <col min="12520" max="12520" width="15.7109375" customWidth="1"/>
    <col min="12521" max="12521" width="15.28515625" customWidth="1"/>
    <col min="12522" max="12580" width="13.7109375" customWidth="1"/>
    <col min="12773" max="12773" width="5.42578125" customWidth="1"/>
    <col min="12774" max="12774" width="56.5703125" customWidth="1"/>
    <col min="12775" max="12775" width="15.28515625" customWidth="1"/>
    <col min="12776" max="12776" width="15.7109375" customWidth="1"/>
    <col min="12777" max="12777" width="15.28515625" customWidth="1"/>
    <col min="12778" max="12836" width="13.7109375" customWidth="1"/>
    <col min="13029" max="13029" width="5.42578125" customWidth="1"/>
    <col min="13030" max="13030" width="56.5703125" customWidth="1"/>
    <col min="13031" max="13031" width="15.28515625" customWidth="1"/>
    <col min="13032" max="13032" width="15.7109375" customWidth="1"/>
    <col min="13033" max="13033" width="15.28515625" customWidth="1"/>
    <col min="13034" max="13092" width="13.7109375" customWidth="1"/>
    <col min="13285" max="13285" width="5.42578125" customWidth="1"/>
    <col min="13286" max="13286" width="56.5703125" customWidth="1"/>
    <col min="13287" max="13287" width="15.28515625" customWidth="1"/>
    <col min="13288" max="13288" width="15.7109375" customWidth="1"/>
    <col min="13289" max="13289" width="15.28515625" customWidth="1"/>
    <col min="13290" max="13348" width="13.7109375" customWidth="1"/>
    <col min="13541" max="13541" width="5.42578125" customWidth="1"/>
    <col min="13542" max="13542" width="56.5703125" customWidth="1"/>
    <col min="13543" max="13543" width="15.28515625" customWidth="1"/>
    <col min="13544" max="13544" width="15.7109375" customWidth="1"/>
    <col min="13545" max="13545" width="15.28515625" customWidth="1"/>
    <col min="13546" max="13604" width="13.7109375" customWidth="1"/>
    <col min="13797" max="13797" width="5.42578125" customWidth="1"/>
    <col min="13798" max="13798" width="56.5703125" customWidth="1"/>
    <col min="13799" max="13799" width="15.28515625" customWidth="1"/>
    <col min="13800" max="13800" width="15.7109375" customWidth="1"/>
    <col min="13801" max="13801" width="15.28515625" customWidth="1"/>
    <col min="13802" max="13860" width="13.7109375" customWidth="1"/>
    <col min="14053" max="14053" width="5.42578125" customWidth="1"/>
    <col min="14054" max="14054" width="56.5703125" customWidth="1"/>
    <col min="14055" max="14055" width="15.28515625" customWidth="1"/>
    <col min="14056" max="14056" width="15.7109375" customWidth="1"/>
    <col min="14057" max="14057" width="15.28515625" customWidth="1"/>
    <col min="14058" max="14116" width="13.7109375" customWidth="1"/>
    <col min="14309" max="14309" width="5.42578125" customWidth="1"/>
    <col min="14310" max="14310" width="56.5703125" customWidth="1"/>
    <col min="14311" max="14311" width="15.28515625" customWidth="1"/>
    <col min="14312" max="14312" width="15.7109375" customWidth="1"/>
    <col min="14313" max="14313" width="15.28515625" customWidth="1"/>
    <col min="14314" max="14372" width="13.7109375" customWidth="1"/>
    <col min="14565" max="14565" width="5.42578125" customWidth="1"/>
    <col min="14566" max="14566" width="56.5703125" customWidth="1"/>
    <col min="14567" max="14567" width="15.28515625" customWidth="1"/>
    <col min="14568" max="14568" width="15.7109375" customWidth="1"/>
    <col min="14569" max="14569" width="15.28515625" customWidth="1"/>
    <col min="14570" max="14628" width="13.7109375" customWidth="1"/>
    <col min="14821" max="14821" width="5.42578125" customWidth="1"/>
    <col min="14822" max="14822" width="56.5703125" customWidth="1"/>
    <col min="14823" max="14823" width="15.28515625" customWidth="1"/>
    <col min="14824" max="14824" width="15.7109375" customWidth="1"/>
    <col min="14825" max="14825" width="15.28515625" customWidth="1"/>
    <col min="14826" max="14884" width="13.7109375" customWidth="1"/>
    <col min="15077" max="15077" width="5.42578125" customWidth="1"/>
    <col min="15078" max="15078" width="56.5703125" customWidth="1"/>
    <col min="15079" max="15079" width="15.28515625" customWidth="1"/>
    <col min="15080" max="15080" width="15.7109375" customWidth="1"/>
    <col min="15081" max="15081" width="15.28515625" customWidth="1"/>
    <col min="15082" max="15140" width="13.7109375" customWidth="1"/>
    <col min="15333" max="15333" width="5.42578125" customWidth="1"/>
    <col min="15334" max="15334" width="56.5703125" customWidth="1"/>
    <col min="15335" max="15335" width="15.28515625" customWidth="1"/>
    <col min="15336" max="15336" width="15.7109375" customWidth="1"/>
    <col min="15337" max="15337" width="15.28515625" customWidth="1"/>
    <col min="15338" max="15396" width="13.7109375" customWidth="1"/>
    <col min="15589" max="15589" width="5.42578125" customWidth="1"/>
    <col min="15590" max="15590" width="56.5703125" customWidth="1"/>
    <col min="15591" max="15591" width="15.28515625" customWidth="1"/>
    <col min="15592" max="15592" width="15.7109375" customWidth="1"/>
    <col min="15593" max="15593" width="15.28515625" customWidth="1"/>
    <col min="15594" max="15652" width="13.7109375" customWidth="1"/>
    <col min="15845" max="15845" width="5.42578125" customWidth="1"/>
    <col min="15846" max="15846" width="56.5703125" customWidth="1"/>
    <col min="15847" max="15847" width="15.28515625" customWidth="1"/>
    <col min="15848" max="15848" width="15.7109375" customWidth="1"/>
    <col min="15849" max="15849" width="15.28515625" customWidth="1"/>
    <col min="15850" max="15908" width="13.7109375" customWidth="1"/>
    <col min="16101" max="16101" width="5.42578125" customWidth="1"/>
    <col min="16102" max="16102" width="56.5703125" customWidth="1"/>
    <col min="16103" max="16103" width="15.28515625" customWidth="1"/>
    <col min="16104" max="16104" width="15.7109375" customWidth="1"/>
    <col min="16105" max="16105" width="15.28515625" customWidth="1"/>
    <col min="16106" max="16164" width="13.7109375" customWidth="1"/>
  </cols>
  <sheetData>
    <row r="1" spans="2:36" ht="15.75">
      <c r="F1" s="15" t="s">
        <v>282</v>
      </c>
    </row>
    <row r="2" spans="2:36" s="1" customFormat="1">
      <c r="B2" s="1" t="s">
        <v>283</v>
      </c>
      <c r="E2" s="183" t="s">
        <v>247</v>
      </c>
      <c r="F2" s="17">
        <v>0</v>
      </c>
      <c r="G2" s="17">
        <v>1</v>
      </c>
      <c r="H2" s="17">
        <v>2</v>
      </c>
      <c r="I2" s="17">
        <v>3</v>
      </c>
      <c r="J2" s="17">
        <v>4</v>
      </c>
      <c r="K2" s="17">
        <v>5</v>
      </c>
      <c r="L2" s="17">
        <v>6</v>
      </c>
      <c r="M2" s="17">
        <v>7</v>
      </c>
      <c r="N2" s="17">
        <v>8</v>
      </c>
      <c r="O2" s="17">
        <v>9</v>
      </c>
      <c r="P2" s="17">
        <v>10</v>
      </c>
      <c r="Q2" s="17">
        <v>11</v>
      </c>
      <c r="R2" s="17">
        <v>12</v>
      </c>
      <c r="S2" s="17">
        <v>13</v>
      </c>
      <c r="T2" s="17">
        <v>14</v>
      </c>
      <c r="U2" s="17">
        <v>15</v>
      </c>
      <c r="V2" s="17">
        <v>16</v>
      </c>
      <c r="W2" s="17">
        <v>17</v>
      </c>
      <c r="X2" s="17">
        <v>18</v>
      </c>
      <c r="Y2" s="17">
        <v>19</v>
      </c>
      <c r="Z2" s="17">
        <v>20</v>
      </c>
      <c r="AA2" s="17">
        <v>21</v>
      </c>
      <c r="AB2" s="17">
        <v>22</v>
      </c>
      <c r="AC2" s="17">
        <v>23</v>
      </c>
      <c r="AD2" s="17">
        <v>24</v>
      </c>
      <c r="AE2" s="17">
        <v>25</v>
      </c>
      <c r="AF2" s="17">
        <v>26</v>
      </c>
      <c r="AG2" s="17">
        <v>27</v>
      </c>
      <c r="AH2" s="17">
        <v>28</v>
      </c>
      <c r="AI2" s="17">
        <v>29</v>
      </c>
      <c r="AJ2" s="17">
        <v>30</v>
      </c>
    </row>
    <row r="3" spans="2:36" s="1" customFormat="1"/>
    <row r="4" spans="2:36" s="1" customFormat="1">
      <c r="B4" s="1" t="s">
        <v>284</v>
      </c>
      <c r="E4" s="55"/>
      <c r="G4" s="235">
        <v>1</v>
      </c>
      <c r="H4" s="25">
        <f>G4*(1-'Active Inputs'!$G$10)</f>
        <v>0.995</v>
      </c>
      <c r="I4" s="25">
        <f>H4*(1-'Active Inputs'!$G$10)</f>
        <v>0.99002500000000004</v>
      </c>
      <c r="J4" s="25">
        <f>I4*(1-'Active Inputs'!$G$10)</f>
        <v>0.98507487500000002</v>
      </c>
      <c r="K4" s="25">
        <f>J4*(1-'Active Inputs'!$G$10)</f>
        <v>0.98014950062500006</v>
      </c>
      <c r="L4" s="25">
        <f>K4*(1-'Active Inputs'!$G$10)</f>
        <v>0.97524875312187509</v>
      </c>
      <c r="M4" s="25">
        <f>L4*(1-'Active Inputs'!$G$10)</f>
        <v>0.97037250935626573</v>
      </c>
      <c r="N4" s="25">
        <f>M4*(1-'Active Inputs'!$G$10)</f>
        <v>0.96552064680948435</v>
      </c>
      <c r="O4" s="25">
        <f>N4*(1-'Active Inputs'!$G$10)</f>
        <v>0.96069304357543694</v>
      </c>
      <c r="P4" s="25">
        <f>O4*(1-'Active Inputs'!$G$10)</f>
        <v>0.95588957835755972</v>
      </c>
      <c r="Q4" s="25">
        <f>P4*(1-'Active Inputs'!$G$10)</f>
        <v>0.95111013046577186</v>
      </c>
      <c r="R4" s="25">
        <f>Q4*(1-'Active Inputs'!$G$10)</f>
        <v>0.94635457981344295</v>
      </c>
      <c r="S4" s="25">
        <f>R4*(1-'Active Inputs'!$G$10)</f>
        <v>0.94162280691437572</v>
      </c>
      <c r="T4" s="25">
        <f>S4*(1-'Active Inputs'!$G$10)</f>
        <v>0.93691469287980389</v>
      </c>
      <c r="U4" s="25">
        <f>T4*(1-'Active Inputs'!$G$10)</f>
        <v>0.9322301194154049</v>
      </c>
      <c r="V4" s="25">
        <f>U4*(1-'Active Inputs'!$G$10)</f>
        <v>0.92756896881832784</v>
      </c>
      <c r="W4" s="25">
        <f>V4*(1-'Active Inputs'!$G$10)</f>
        <v>0.92293112397423616</v>
      </c>
      <c r="X4" s="25">
        <f>W4*(1-'Active Inputs'!$G$10)</f>
        <v>0.91831646835436498</v>
      </c>
      <c r="Y4" s="25">
        <f>X4*(1-'Active Inputs'!$G$10)</f>
        <v>0.91372488601259316</v>
      </c>
      <c r="Z4" s="25">
        <f>Y4*(1-'Active Inputs'!$G$10)</f>
        <v>0.90915626158253016</v>
      </c>
      <c r="AA4" s="25">
        <f>Z4*(1-'Active Inputs'!$G$10)</f>
        <v>0.90461048027461755</v>
      </c>
      <c r="AB4" s="25">
        <f>AA4*(1-'Active Inputs'!$G$10)</f>
        <v>0.90008742787324447</v>
      </c>
      <c r="AC4" s="25">
        <f>AB4*(1-'Active Inputs'!$G$10)</f>
        <v>0.89558699073387826</v>
      </c>
      <c r="AD4" s="25">
        <f>AC4*(1-'Active Inputs'!$G$10)</f>
        <v>0.89110905578020883</v>
      </c>
      <c r="AE4" s="25">
        <f>AD4*(1-'Active Inputs'!$G$10)</f>
        <v>0.88665351050130781</v>
      </c>
      <c r="AF4" s="25">
        <f>AE4*(1-'Active Inputs'!$G$10)</f>
        <v>0.8822202429488013</v>
      </c>
      <c r="AG4" s="25">
        <f>AF4*(1-'Active Inputs'!$G$10)</f>
        <v>0.87780914173405733</v>
      </c>
      <c r="AH4" s="25">
        <f>AG4*(1-'Active Inputs'!$G$10)</f>
        <v>0.87342009602538706</v>
      </c>
      <c r="AI4" s="25">
        <f>AH4*(1-'Active Inputs'!$G$10)</f>
        <v>0.86905299554526017</v>
      </c>
      <c r="AJ4" s="25">
        <f>AI4*(1-'Active Inputs'!$G$10)</f>
        <v>0.86470773056753381</v>
      </c>
    </row>
    <row r="5" spans="2:36" s="1" customFormat="1" ht="15.75">
      <c r="B5" s="26" t="s">
        <v>285</v>
      </c>
      <c r="C5" s="26"/>
      <c r="D5" s="26"/>
      <c r="E5" s="55" t="s">
        <v>25</v>
      </c>
      <c r="G5" s="27">
        <f>'Active Inputs'!$G$9</f>
        <v>6613800</v>
      </c>
      <c r="H5" s="27">
        <f>IF(H$2&gt;'Active Inputs'!$G$11,0,'Active Inputs'!$G$9*H$4)</f>
        <v>6580731</v>
      </c>
      <c r="I5" s="27">
        <f>IF(I$2&gt;'Active Inputs'!$G$11,0,'Active Inputs'!$G$9*I$4)</f>
        <v>6547827.3450000007</v>
      </c>
      <c r="J5" s="27">
        <f>IF(J$2&gt;'Active Inputs'!$G$11,0,'Active Inputs'!$G$9*J$4)</f>
        <v>6515088.2082750006</v>
      </c>
      <c r="K5" s="27">
        <f>IF(K$2&gt;'Active Inputs'!$G$11,0,'Active Inputs'!$G$9*K$4)</f>
        <v>6482512.7672336251</v>
      </c>
      <c r="L5" s="27">
        <f>IF(L$2&gt;'Active Inputs'!$G$11,0,'Active Inputs'!$G$9*L$4)</f>
        <v>6450100.2033974575</v>
      </c>
      <c r="M5" s="27">
        <f>IF(M$2&gt;'Active Inputs'!$G$11,0,'Active Inputs'!$G$9*M$4)</f>
        <v>6417849.70238047</v>
      </c>
      <c r="N5" s="27">
        <f>IF(N$2&gt;'Active Inputs'!$G$11,0,'Active Inputs'!$G$9*N$4)</f>
        <v>6385760.4538685679</v>
      </c>
      <c r="O5" s="27">
        <f>IF(O$2&gt;'Active Inputs'!$G$11,0,'Active Inputs'!$G$9*O$4)</f>
        <v>6353831.6515992247</v>
      </c>
      <c r="P5" s="27">
        <f>IF(P$2&gt;'Active Inputs'!$G$11,0,'Active Inputs'!$G$9*P$4)</f>
        <v>6322062.4933412289</v>
      </c>
      <c r="Q5" s="27">
        <f>IF(Q$2&gt;'Active Inputs'!$G$11,0,'Active Inputs'!$G$9*Q$4)</f>
        <v>6290452.1808745218</v>
      </c>
      <c r="R5" s="27">
        <f>IF(R$2&gt;'Active Inputs'!$G$11,0,'Active Inputs'!$G$9*R$4)</f>
        <v>6258999.9199701492</v>
      </c>
      <c r="S5" s="27">
        <f>IF(S$2&gt;'Active Inputs'!$G$11,0,'Active Inputs'!$G$9*S$4)</f>
        <v>6227704.9203702984</v>
      </c>
      <c r="T5" s="27">
        <f>IF(T$2&gt;'Active Inputs'!$G$11,0,'Active Inputs'!$G$9*T$4)</f>
        <v>6196566.3957684468</v>
      </c>
      <c r="U5" s="27">
        <f>IF(U$2&gt;'Active Inputs'!$G$11,0,'Active Inputs'!$G$9*U$4)</f>
        <v>6165583.5637896052</v>
      </c>
      <c r="V5" s="27">
        <f>IF(V$2&gt;'Active Inputs'!$G$11,0,'Active Inputs'!$G$9*V$4)</f>
        <v>6134755.6459706565</v>
      </c>
      <c r="W5" s="27">
        <f>IF(W$2&gt;'Active Inputs'!$G$11,0,'Active Inputs'!$G$9*W$4)</f>
        <v>6104081.8677408034</v>
      </c>
      <c r="X5" s="27">
        <f>IF(X$2&gt;'Active Inputs'!$G$11,0,'Active Inputs'!$G$9*X$4)</f>
        <v>6073561.4584020991</v>
      </c>
      <c r="Y5" s="27">
        <f>IF(Y$2&gt;'Active Inputs'!$G$11,0,'Active Inputs'!$G$9*Y$4)</f>
        <v>6043193.6511100885</v>
      </c>
      <c r="Z5" s="27">
        <f>IF(Z$2&gt;'Active Inputs'!$G$11,0,'Active Inputs'!$G$9*Z$4)</f>
        <v>6012977.6828545379</v>
      </c>
      <c r="AA5" s="27">
        <f>IF(AA$2&gt;'Active Inputs'!$G$11,0,'Active Inputs'!$G$9*AA$4)</f>
        <v>5982912.7944402657</v>
      </c>
      <c r="AB5" s="27">
        <f>IF(AB$2&gt;'Active Inputs'!$G$11,0,'Active Inputs'!$G$9*AB$4)</f>
        <v>5952998.2304680645</v>
      </c>
      <c r="AC5" s="27">
        <f>IF(AC$2&gt;'Active Inputs'!$G$11,0,'Active Inputs'!$G$9*AC$4)</f>
        <v>5923233.239315724</v>
      </c>
      <c r="AD5" s="27">
        <f>IF(AD$2&gt;'Active Inputs'!$G$11,0,'Active Inputs'!$G$9*AD$4)</f>
        <v>5893617.0731191449</v>
      </c>
      <c r="AE5" s="27">
        <f>IF(AE$2&gt;'Active Inputs'!$G$11,0,'Active Inputs'!$G$9*AE$4)</f>
        <v>5864148.9877535496</v>
      </c>
      <c r="AF5" s="27">
        <f>IF(AF$2&gt;'Active Inputs'!$G$11,0,'Active Inputs'!$G$9*AF$4)</f>
        <v>5834828.2428147821</v>
      </c>
      <c r="AG5" s="27">
        <f>IF(AG$2&gt;'Active Inputs'!$G$11,0,'Active Inputs'!$G$9*AG$4)</f>
        <v>5805654.1016007084</v>
      </c>
      <c r="AH5" s="27">
        <f>IF(AH$2&gt;'Active Inputs'!$G$11,0,'Active Inputs'!$G$9*AH$4)</f>
        <v>5776625.831092705</v>
      </c>
      <c r="AI5" s="27">
        <f>IF(AI$2&gt;'Active Inputs'!$G$11,0,'Active Inputs'!$G$9*AI$4)</f>
        <v>5747742.7019372415</v>
      </c>
      <c r="AJ5" s="27">
        <f>IF(AJ$2&gt;'Active Inputs'!$G$11,0,'Active Inputs'!$G$9*AJ$4)</f>
        <v>5719003.9884275552</v>
      </c>
    </row>
    <row r="6" spans="2:36" s="1" customFormat="1" ht="15.75">
      <c r="B6" s="26"/>
      <c r="C6" s="26"/>
      <c r="D6" s="26"/>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row>
    <row r="7" spans="2:36" s="1" customFormat="1" ht="15.75">
      <c r="B7" s="26" t="s">
        <v>286</v>
      </c>
      <c r="C7" s="26"/>
      <c r="D7" s="26"/>
      <c r="E7" s="55"/>
    </row>
    <row r="8" spans="2:36" s="1" customFormat="1">
      <c r="B8" s="1" t="s">
        <v>287</v>
      </c>
      <c r="E8" s="55"/>
      <c r="G8" s="235">
        <v>1</v>
      </c>
      <c r="H8" s="25">
        <f>G8*(1+('Active Inputs'!$Q$9*'Active Inputs'!$Q$8))</f>
        <v>1</v>
      </c>
      <c r="I8" s="25">
        <f>H8*(1+('Active Inputs'!$Q$9*'Active Inputs'!$Q$8))</f>
        <v>1</v>
      </c>
      <c r="J8" s="25">
        <f>I8*(1+('Active Inputs'!$Q$9*'Active Inputs'!$Q$8))</f>
        <v>1</v>
      </c>
      <c r="K8" s="25">
        <f>J8*(1+('Active Inputs'!$Q$9*'Active Inputs'!$Q$8))</f>
        <v>1</v>
      </c>
      <c r="L8" s="25">
        <f>K8*(1+('Active Inputs'!$Q$9*'Active Inputs'!$Q$8))</f>
        <v>1</v>
      </c>
      <c r="M8" s="25">
        <f>L8*(1+('Active Inputs'!$Q$9*'Active Inputs'!$Q$8))</f>
        <v>1</v>
      </c>
      <c r="N8" s="25">
        <f>M8*(1+('Active Inputs'!$Q$9*'Active Inputs'!$Q$8))</f>
        <v>1</v>
      </c>
      <c r="O8" s="25">
        <f>N8*(1+('Active Inputs'!$Q$9*'Active Inputs'!$Q$8))</f>
        <v>1</v>
      </c>
      <c r="P8" s="25">
        <f>O8*(1+('Active Inputs'!$Q$9*'Active Inputs'!$Q$8))</f>
        <v>1</v>
      </c>
      <c r="Q8" s="25">
        <f>P8*(1+('Active Inputs'!$Q$9*'Active Inputs'!$Q$8))</f>
        <v>1</v>
      </c>
      <c r="R8" s="25">
        <f>Q8*(1+('Active Inputs'!$Q$9*'Active Inputs'!$Q$8))</f>
        <v>1</v>
      </c>
      <c r="S8" s="25">
        <f>R8*(1+('Active Inputs'!$Q$9*'Active Inputs'!$Q$8))</f>
        <v>1</v>
      </c>
      <c r="T8" s="25">
        <f>S8*(1+('Active Inputs'!$Q$9*'Active Inputs'!$Q$8))</f>
        <v>1</v>
      </c>
      <c r="U8" s="25">
        <f>T8*(1+('Active Inputs'!$Q$9*'Active Inputs'!$Q$8))</f>
        <v>1</v>
      </c>
      <c r="V8" s="25">
        <f>U8*(1+('Active Inputs'!$Q$9*'Active Inputs'!$Q$8))</f>
        <v>1</v>
      </c>
      <c r="W8" s="25">
        <f>V8*(1+('Active Inputs'!$Q$9*'Active Inputs'!$Q$8))</f>
        <v>1</v>
      </c>
      <c r="X8" s="25">
        <f>W8*(1+('Active Inputs'!$Q$9*'Active Inputs'!$Q$8))</f>
        <v>1</v>
      </c>
      <c r="Y8" s="25">
        <f>X8*(1+('Active Inputs'!$Q$9*'Active Inputs'!$Q$8))</f>
        <v>1</v>
      </c>
      <c r="Z8" s="25">
        <f>Y8*(1+('Active Inputs'!$Q$9*'Active Inputs'!$Q$8))</f>
        <v>1</v>
      </c>
      <c r="AA8" s="25">
        <f>Z8*(1+('Active Inputs'!$Q$9*'Active Inputs'!$Q$8))</f>
        <v>1</v>
      </c>
      <c r="AB8" s="25">
        <f>AA8*(1+('Active Inputs'!$Q$9*'Active Inputs'!$Q$8))</f>
        <v>1</v>
      </c>
      <c r="AC8" s="25">
        <f>AB8*(1+('Active Inputs'!$Q$9*'Active Inputs'!$Q$8))</f>
        <v>1</v>
      </c>
      <c r="AD8" s="25">
        <f>AC8*(1+('Active Inputs'!$Q$9*'Active Inputs'!$Q$8))</f>
        <v>1</v>
      </c>
      <c r="AE8" s="25">
        <f>AD8*(1+('Active Inputs'!$Q$9*'Active Inputs'!$Q$8))</f>
        <v>1</v>
      </c>
      <c r="AF8" s="25">
        <f>AE8*(1+('Active Inputs'!$Q$9*'Active Inputs'!$Q$8))</f>
        <v>1</v>
      </c>
      <c r="AG8" s="25">
        <f>AF8*(1+('Active Inputs'!$Q$9*'Active Inputs'!$Q$8))</f>
        <v>1</v>
      </c>
      <c r="AH8" s="25">
        <f>AG8*(1+('Active Inputs'!$Q$9*'Active Inputs'!$Q$8))</f>
        <v>1</v>
      </c>
      <c r="AI8" s="25">
        <f>AH8*(1+('Active Inputs'!$Q$9*'Active Inputs'!$Q$8))</f>
        <v>1</v>
      </c>
      <c r="AJ8" s="25">
        <f>AI8*(1+('Active Inputs'!$Q$9*'Active Inputs'!$Q$8))</f>
        <v>1</v>
      </c>
    </row>
    <row r="9" spans="2:36" s="1" customFormat="1">
      <c r="B9" s="1" t="s">
        <v>288</v>
      </c>
      <c r="E9" s="55"/>
      <c r="G9" s="235">
        <v>1</v>
      </c>
      <c r="H9" s="25">
        <f>G9*(1+'Active Inputs'!$Q$26)</f>
        <v>1</v>
      </c>
      <c r="I9" s="25">
        <f>H9*(1+'Active Inputs'!$Q$26)</f>
        <v>1</v>
      </c>
      <c r="J9" s="25">
        <f>I9*(1+'Active Inputs'!$Q$26)</f>
        <v>1</v>
      </c>
      <c r="K9" s="25">
        <f>J9*(1+'Active Inputs'!$Q$26)</f>
        <v>1</v>
      </c>
      <c r="L9" s="25">
        <f>K9*(1+'Active Inputs'!$Q$26)</f>
        <v>1</v>
      </c>
      <c r="M9" s="25">
        <f>L9*(1+'Active Inputs'!$Q$26)</f>
        <v>1</v>
      </c>
      <c r="N9" s="25">
        <f>M9*(1+'Active Inputs'!$Q$26)</f>
        <v>1</v>
      </c>
      <c r="O9" s="25">
        <f>N9*(1+'Active Inputs'!$Q$26)</f>
        <v>1</v>
      </c>
      <c r="P9" s="25">
        <f>O9*(1+'Active Inputs'!$Q$26)</f>
        <v>1</v>
      </c>
      <c r="Q9" s="25">
        <f>P9*(1+'Active Inputs'!$Q$26)</f>
        <v>1</v>
      </c>
      <c r="R9" s="25">
        <f>Q9*(1+'Active Inputs'!$Q$26)</f>
        <v>1</v>
      </c>
      <c r="S9" s="25">
        <f>R9*(1+'Active Inputs'!$Q$26)</f>
        <v>1</v>
      </c>
      <c r="T9" s="25">
        <f>S9*(1+'Active Inputs'!$Q$26)</f>
        <v>1</v>
      </c>
      <c r="U9" s="25">
        <f>T9*(1+'Active Inputs'!$Q$26)</f>
        <v>1</v>
      </c>
      <c r="V9" s="25">
        <f>U9*(1+'Active Inputs'!$Q$26)</f>
        <v>1</v>
      </c>
      <c r="W9" s="25">
        <f>V9*(1+'Active Inputs'!$Q$26)</f>
        <v>1</v>
      </c>
      <c r="X9" s="25">
        <f>W9*(1+'Active Inputs'!$Q$26)</f>
        <v>1</v>
      </c>
      <c r="Y9" s="25">
        <f>X9*(1+'Active Inputs'!$Q$26)</f>
        <v>1</v>
      </c>
      <c r="Z9" s="25">
        <f>Y9*(1+'Active Inputs'!$Q$26)</f>
        <v>1</v>
      </c>
      <c r="AA9" s="25">
        <f>Z9*(1+'Active Inputs'!$Q$26)</f>
        <v>1</v>
      </c>
      <c r="AB9" s="25">
        <f>AA9*(1+'Active Inputs'!$Q$26)</f>
        <v>1</v>
      </c>
      <c r="AC9" s="25">
        <f>AB9*(1+'Active Inputs'!$Q$26)</f>
        <v>1</v>
      </c>
      <c r="AD9" s="25">
        <f>AC9*(1+'Active Inputs'!$Q$26)</f>
        <v>1</v>
      </c>
      <c r="AE9" s="25">
        <f>AD9*(1+'Active Inputs'!$Q$26)</f>
        <v>1</v>
      </c>
      <c r="AF9" s="25">
        <f>AE9*(1+'Active Inputs'!$Q$26)</f>
        <v>1</v>
      </c>
      <c r="AG9" s="25">
        <f>AF9*(1+'Active Inputs'!$Q$26)</f>
        <v>1</v>
      </c>
      <c r="AH9" s="25">
        <f>AG9*(1+'Active Inputs'!$Q$26)</f>
        <v>1</v>
      </c>
      <c r="AI9" s="25">
        <f>AH9*(1+'Active Inputs'!$Q$26)</f>
        <v>1</v>
      </c>
      <c r="AJ9" s="25">
        <f>AI9*(1+'Active Inputs'!$Q$26)</f>
        <v>1</v>
      </c>
    </row>
    <row r="10" spans="2:36" s="1" customFormat="1">
      <c r="B10" s="1" t="s">
        <v>289</v>
      </c>
      <c r="E10" s="55"/>
      <c r="G10" s="235">
        <v>1</v>
      </c>
      <c r="H10" s="25">
        <f>G10*(1+'Active Inputs'!$Q$43)</f>
        <v>1.02</v>
      </c>
      <c r="I10" s="25">
        <f>H10*(1+'Active Inputs'!$Q$43)</f>
        <v>1.0404</v>
      </c>
      <c r="J10" s="25">
        <f>I10*(1+'Active Inputs'!$Q$43)</f>
        <v>1.0612079999999999</v>
      </c>
      <c r="K10" s="25">
        <f>J10*(1+'Active Inputs'!$Q$43)</f>
        <v>1.08243216</v>
      </c>
      <c r="L10" s="25">
        <f>K10*(1+'Active Inputs'!$Q$43)</f>
        <v>1.1040808032</v>
      </c>
      <c r="M10" s="25">
        <f>L10*(1+'Active Inputs'!$Q$43)</f>
        <v>1.1261624192640001</v>
      </c>
      <c r="N10" s="25">
        <f>M10*(1+'Active Inputs'!$Q$43)</f>
        <v>1.14868566764928</v>
      </c>
      <c r="O10" s="25">
        <f>N10*(1+'Active Inputs'!$Q$43)</f>
        <v>1.1716593810022657</v>
      </c>
      <c r="P10" s="25">
        <f>O10*(1+'Active Inputs'!$Q$43)</f>
        <v>1.1950925686223111</v>
      </c>
      <c r="Q10" s="25">
        <f>P10*(1+'Active Inputs'!$Q$43)</f>
        <v>1.2189944199947573</v>
      </c>
      <c r="R10" s="25">
        <f>Q10*(1+'Active Inputs'!$Q$43)</f>
        <v>1.2433743083946525</v>
      </c>
      <c r="S10" s="25">
        <f>R10*(1+'Active Inputs'!$Q$43)</f>
        <v>1.2682417945625455</v>
      </c>
      <c r="T10" s="25">
        <f>S10*(1+'Active Inputs'!$Q$43)</f>
        <v>1.2936066304537963</v>
      </c>
      <c r="U10" s="25">
        <f>T10*(1+'Active Inputs'!$Q$43)</f>
        <v>1.3194787630628724</v>
      </c>
      <c r="V10" s="25">
        <f>U10*(1+'Active Inputs'!$Q$43)</f>
        <v>1.3458683383241299</v>
      </c>
      <c r="W10" s="25">
        <f>V10*(1+'Active Inputs'!$Q$43)</f>
        <v>1.3727857050906125</v>
      </c>
      <c r="X10" s="25">
        <f>W10*(1+'Active Inputs'!$Q$43)</f>
        <v>1.4002414191924248</v>
      </c>
      <c r="Y10" s="25">
        <f>X10*(1+'Active Inputs'!$Q$43)</f>
        <v>1.4282462475762734</v>
      </c>
      <c r="Z10" s="25">
        <f>Y10*(1+'Active Inputs'!$Q$43)</f>
        <v>1.4568111725277988</v>
      </c>
      <c r="AA10" s="25">
        <f>Z10*(1+'Active Inputs'!$Q$43)</f>
        <v>1.4859473959783549</v>
      </c>
      <c r="AB10" s="25">
        <f>AA10*(1+'Active Inputs'!$Q$43)</f>
        <v>1.5156663438979221</v>
      </c>
      <c r="AC10" s="25">
        <f>AB10*(1+'Active Inputs'!$Q$43)</f>
        <v>1.5459796707758806</v>
      </c>
      <c r="AD10" s="25">
        <f>AC10*(1+'Active Inputs'!$Q$43)</f>
        <v>1.5768992641913981</v>
      </c>
      <c r="AE10" s="25">
        <f>AD10*(1+'Active Inputs'!$Q$43)</f>
        <v>1.6084372494752261</v>
      </c>
      <c r="AF10" s="25">
        <f>AE10*(1+'Active Inputs'!$Q$43)</f>
        <v>1.6406059944647307</v>
      </c>
      <c r="AG10" s="25">
        <f>AF10*(1+'Active Inputs'!$Q$43)</f>
        <v>1.6734181143540252</v>
      </c>
      <c r="AH10" s="25">
        <f>AG10*(1+'Active Inputs'!$Q$43)</f>
        <v>1.7068864766411058</v>
      </c>
      <c r="AI10" s="25">
        <f>AH10*(1+'Active Inputs'!$Q$43)</f>
        <v>1.7410242061739281</v>
      </c>
      <c r="AJ10" s="25">
        <f>AI10*(1+'Active Inputs'!$Q$43)</f>
        <v>1.7758446902974065</v>
      </c>
    </row>
    <row r="11" spans="2:36" s="1" customFormat="1" ht="15.75">
      <c r="E11" s="55"/>
      <c r="F11" s="55"/>
      <c r="G11" s="6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row>
    <row r="12" spans="2:36" s="1" customFormat="1">
      <c r="B12" s="1" t="s">
        <v>290</v>
      </c>
      <c r="E12" s="55" t="s">
        <v>39</v>
      </c>
      <c r="F12" s="302">
        <f>1-F13</f>
        <v>1</v>
      </c>
      <c r="G12" s="67">
        <f>$G$78*$F12</f>
        <v>18.650000000000009</v>
      </c>
      <c r="H12" s="67">
        <f>IF(H2&gt;'Active Inputs'!$Q$7,0,G12)</f>
        <v>18.650000000000009</v>
      </c>
      <c r="I12" s="67">
        <f>IF(I2&gt;'Active Inputs'!$Q$7,0,H12)</f>
        <v>18.650000000000009</v>
      </c>
      <c r="J12" s="67">
        <f>IF(J2&gt;'Active Inputs'!$Q$7,0,I12)</f>
        <v>18.650000000000009</v>
      </c>
      <c r="K12" s="67">
        <f>IF(K2&gt;'Active Inputs'!$Q$7,0,J12)</f>
        <v>18.650000000000009</v>
      </c>
      <c r="L12" s="67">
        <f>IF(L2&gt;'Active Inputs'!$Q$7,0,K12)</f>
        <v>18.650000000000009</v>
      </c>
      <c r="M12" s="67">
        <f>IF(M2&gt;'Active Inputs'!$Q$7,0,L12)</f>
        <v>18.650000000000009</v>
      </c>
      <c r="N12" s="67">
        <f>IF(N2&gt;'Active Inputs'!$Q$7,0,M12)</f>
        <v>18.650000000000009</v>
      </c>
      <c r="O12" s="67">
        <f>IF(O2&gt;'Active Inputs'!$Q$7,0,N12)</f>
        <v>18.650000000000009</v>
      </c>
      <c r="P12" s="67">
        <f>IF(P2&gt;'Active Inputs'!$Q$7,0,O12)</f>
        <v>18.650000000000009</v>
      </c>
      <c r="Q12" s="67">
        <f>IF(Q2&gt;'Active Inputs'!$Q$7,0,P12)</f>
        <v>18.650000000000009</v>
      </c>
      <c r="R12" s="67">
        <f>IF(R2&gt;'Active Inputs'!$Q$7,0,Q12)</f>
        <v>18.650000000000009</v>
      </c>
      <c r="S12" s="67">
        <f>IF(S2&gt;'Active Inputs'!$Q$7,0,R12)</f>
        <v>18.650000000000009</v>
      </c>
      <c r="T12" s="67">
        <f>IF(T2&gt;'Active Inputs'!$Q$7,0,S12)</f>
        <v>18.650000000000009</v>
      </c>
      <c r="U12" s="67">
        <f>IF(U2&gt;'Active Inputs'!$Q$7,0,T12)</f>
        <v>18.650000000000009</v>
      </c>
      <c r="V12" s="67">
        <f>IF(V2&gt;'Active Inputs'!$Q$7,0,U12)</f>
        <v>18.650000000000009</v>
      </c>
      <c r="W12" s="67">
        <f>IF(W2&gt;'Active Inputs'!$Q$7,0,V12)</f>
        <v>18.650000000000009</v>
      </c>
      <c r="X12" s="67">
        <f>IF(X2&gt;'Active Inputs'!$Q$7,0,W12)</f>
        <v>18.650000000000009</v>
      </c>
      <c r="Y12" s="67">
        <f>IF(Y2&gt;'Active Inputs'!$Q$7,0,X12)</f>
        <v>18.650000000000009</v>
      </c>
      <c r="Z12" s="67">
        <f>IF(Z2&gt;'Active Inputs'!$Q$7,0,Y12)</f>
        <v>18.650000000000009</v>
      </c>
      <c r="AA12" s="67">
        <f>IF(AA2&gt;'Active Inputs'!$Q$7,0,Z12)</f>
        <v>0</v>
      </c>
      <c r="AB12" s="67">
        <f>IF(AB2&gt;'Active Inputs'!$Q$7,0,AA12)</f>
        <v>0</v>
      </c>
      <c r="AC12" s="67">
        <f>IF(AC2&gt;'Active Inputs'!$Q$7,0,AB12)</f>
        <v>0</v>
      </c>
      <c r="AD12" s="67">
        <f>IF(AD2&gt;'Active Inputs'!$Q$7,0,AC12)</f>
        <v>0</v>
      </c>
      <c r="AE12" s="67">
        <f>IF(AE2&gt;'Active Inputs'!$Q$7,0,AD12)</f>
        <v>0</v>
      </c>
      <c r="AF12" s="67">
        <f>IF(AF2&gt;'Active Inputs'!$Q$7,0,AE12)</f>
        <v>0</v>
      </c>
      <c r="AG12" s="67">
        <f>IF(AG2&gt;'Active Inputs'!$Q$7,0,AF12)</f>
        <v>0</v>
      </c>
      <c r="AH12" s="67">
        <f>IF(AH2&gt;'Active Inputs'!$Q$7,0,AG12)</f>
        <v>0</v>
      </c>
      <c r="AI12" s="67">
        <f>IF(AI2&gt;'Active Inputs'!$Q$7,0,AH12)</f>
        <v>0</v>
      </c>
      <c r="AJ12" s="67">
        <f>IF(AJ2&gt;'Active Inputs'!$Q$7,0,AI12)</f>
        <v>0</v>
      </c>
    </row>
    <row r="13" spans="2:36" s="1" customFormat="1">
      <c r="B13" s="303" t="s">
        <v>291</v>
      </c>
      <c r="C13" s="303"/>
      <c r="D13" s="303"/>
      <c r="E13" s="55" t="s">
        <v>39</v>
      </c>
      <c r="F13" s="301">
        <f>'Active Inputs'!Q8</f>
        <v>0</v>
      </c>
      <c r="G13" s="304">
        <f>$G$78*$F13</f>
        <v>0</v>
      </c>
      <c r="H13" s="304">
        <f>IF(H2&gt;'Active Inputs'!$Q$7,0,G13*(1+'Active Inputs'!$Q$9))</f>
        <v>0</v>
      </c>
      <c r="I13" s="304">
        <f>IF(I2&gt;'Active Inputs'!$Q$7,0,H13*(1+'Active Inputs'!$Q$9))</f>
        <v>0</v>
      </c>
      <c r="J13" s="304">
        <f>IF(J2&gt;'Active Inputs'!$Q$7,0,I13*(1+'Active Inputs'!$Q$9))</f>
        <v>0</v>
      </c>
      <c r="K13" s="304">
        <f>IF(K2&gt;'Active Inputs'!$Q$7,0,J13*(1+'Active Inputs'!$Q$9))</f>
        <v>0</v>
      </c>
      <c r="L13" s="304">
        <f>IF(L2&gt;'Active Inputs'!$Q$7,0,K13*(1+'Active Inputs'!$Q$9))</f>
        <v>0</v>
      </c>
      <c r="M13" s="304">
        <f>IF(M2&gt;'Active Inputs'!$Q$7,0,L13*(1+'Active Inputs'!$Q$9))</f>
        <v>0</v>
      </c>
      <c r="N13" s="304">
        <f>IF(N2&gt;'Active Inputs'!$Q$7,0,M13*(1+'Active Inputs'!$Q$9))</f>
        <v>0</v>
      </c>
      <c r="O13" s="304">
        <f>IF(O2&gt;'Active Inputs'!$Q$7,0,N13*(1+'Active Inputs'!$Q$9))</f>
        <v>0</v>
      </c>
      <c r="P13" s="304">
        <f>IF(P2&gt;'Active Inputs'!$Q$7,0,O13*(1+'Active Inputs'!$Q$9))</f>
        <v>0</v>
      </c>
      <c r="Q13" s="304">
        <f>IF(Q2&gt;'Active Inputs'!$Q$7,0,P13*(1+'Active Inputs'!$Q$9))</f>
        <v>0</v>
      </c>
      <c r="R13" s="304">
        <f>IF(R2&gt;'Active Inputs'!$Q$7,0,Q13*(1+'Active Inputs'!$Q$9))</f>
        <v>0</v>
      </c>
      <c r="S13" s="304">
        <f>IF(S2&gt;'Active Inputs'!$Q$7,0,R13*(1+'Active Inputs'!$Q$9))</f>
        <v>0</v>
      </c>
      <c r="T13" s="304">
        <f>IF(T2&gt;'Active Inputs'!$Q$7,0,S13*(1+'Active Inputs'!$Q$9))</f>
        <v>0</v>
      </c>
      <c r="U13" s="304">
        <f>IF(U2&gt;'Active Inputs'!$Q$7,0,T13*(1+'Active Inputs'!$Q$9))</f>
        <v>0</v>
      </c>
      <c r="V13" s="304">
        <f>IF(V2&gt;'Active Inputs'!$Q$7,0,U13*(1+'Active Inputs'!$Q$9))</f>
        <v>0</v>
      </c>
      <c r="W13" s="304">
        <f>IF(W2&gt;'Active Inputs'!$Q$7,0,V13*(1+'Active Inputs'!$Q$9))</f>
        <v>0</v>
      </c>
      <c r="X13" s="304">
        <f>IF(X2&gt;'Active Inputs'!$Q$7,0,W13*(1+'Active Inputs'!$Q$9))</f>
        <v>0</v>
      </c>
      <c r="Y13" s="304">
        <f>IF(Y2&gt;'Active Inputs'!$Q$7,0,X13*(1+'Active Inputs'!$Q$9))</f>
        <v>0</v>
      </c>
      <c r="Z13" s="304">
        <f>IF(Z2&gt;'Active Inputs'!$Q$7,0,Y13*(1+'Active Inputs'!$Q$9))</f>
        <v>0</v>
      </c>
      <c r="AA13" s="304">
        <f>IF(AA2&gt;'Active Inputs'!$Q$7,0,Z13*(1+'Active Inputs'!$Q$9))</f>
        <v>0</v>
      </c>
      <c r="AB13" s="304">
        <f>IF(AB2&gt;'Active Inputs'!$Q$7,0,AA13*(1+'Active Inputs'!$Q$9))</f>
        <v>0</v>
      </c>
      <c r="AC13" s="304">
        <f>IF(AC2&gt;'Active Inputs'!$Q$7,0,AB13*(1+'Active Inputs'!$Q$9))</f>
        <v>0</v>
      </c>
      <c r="AD13" s="304">
        <f>IF(AD2&gt;'Active Inputs'!$Q$7,0,AC13*(1+'Active Inputs'!$Q$9))</f>
        <v>0</v>
      </c>
      <c r="AE13" s="304">
        <f>IF(AE2&gt;'Active Inputs'!$Q$7,0,AD13*(1+'Active Inputs'!$Q$9))</f>
        <v>0</v>
      </c>
      <c r="AF13" s="304">
        <f>IF(AF2&gt;'Active Inputs'!$Q$7,0,AE13*(1+'Active Inputs'!$Q$9))</f>
        <v>0</v>
      </c>
      <c r="AG13" s="304">
        <f>IF(AG2&gt;'Active Inputs'!$Q$7,0,AF13*(1+'Active Inputs'!$Q$9))</f>
        <v>0</v>
      </c>
      <c r="AH13" s="304">
        <f>IF(AH2&gt;'Active Inputs'!$Q$7,0,AG13*(1+'Active Inputs'!$Q$9))</f>
        <v>0</v>
      </c>
      <c r="AI13" s="304">
        <f>IF(AI2&gt;'Active Inputs'!$Q$7,0,AH13*(1+'Active Inputs'!$Q$9))</f>
        <v>0</v>
      </c>
      <c r="AJ13" s="304">
        <f>IF(AJ2&gt;'Active Inputs'!$Q$7,0,AI13*(1+'Active Inputs'!$Q$9))</f>
        <v>0</v>
      </c>
    </row>
    <row r="14" spans="2:36" s="1" customFormat="1">
      <c r="B14" s="1" t="s">
        <v>292</v>
      </c>
      <c r="E14" s="55" t="s">
        <v>39</v>
      </c>
      <c r="F14" s="61"/>
      <c r="G14" s="67">
        <f>SUM(G12:G13)</f>
        <v>18.650000000000009</v>
      </c>
      <c r="H14" s="67">
        <f t="shared" ref="H14:AJ14" si="0">SUM(H12:H13)</f>
        <v>18.650000000000009</v>
      </c>
      <c r="I14" s="67">
        <f t="shared" si="0"/>
        <v>18.650000000000009</v>
      </c>
      <c r="J14" s="67">
        <f t="shared" si="0"/>
        <v>18.650000000000009</v>
      </c>
      <c r="K14" s="67">
        <f t="shared" si="0"/>
        <v>18.650000000000009</v>
      </c>
      <c r="L14" s="67">
        <f t="shared" si="0"/>
        <v>18.650000000000009</v>
      </c>
      <c r="M14" s="67">
        <f t="shared" si="0"/>
        <v>18.650000000000009</v>
      </c>
      <c r="N14" s="67">
        <f t="shared" si="0"/>
        <v>18.650000000000009</v>
      </c>
      <c r="O14" s="67">
        <f t="shared" si="0"/>
        <v>18.650000000000009</v>
      </c>
      <c r="P14" s="67">
        <f t="shared" si="0"/>
        <v>18.650000000000009</v>
      </c>
      <c r="Q14" s="67">
        <f t="shared" si="0"/>
        <v>18.650000000000009</v>
      </c>
      <c r="R14" s="67">
        <f t="shared" si="0"/>
        <v>18.650000000000009</v>
      </c>
      <c r="S14" s="67">
        <f t="shared" si="0"/>
        <v>18.650000000000009</v>
      </c>
      <c r="T14" s="67">
        <f t="shared" si="0"/>
        <v>18.650000000000009</v>
      </c>
      <c r="U14" s="67">
        <f t="shared" si="0"/>
        <v>18.650000000000009</v>
      </c>
      <c r="V14" s="67">
        <f t="shared" si="0"/>
        <v>18.650000000000009</v>
      </c>
      <c r="W14" s="67">
        <f t="shared" si="0"/>
        <v>18.650000000000009</v>
      </c>
      <c r="X14" s="67">
        <f t="shared" si="0"/>
        <v>18.650000000000009</v>
      </c>
      <c r="Y14" s="67">
        <f t="shared" si="0"/>
        <v>18.650000000000009</v>
      </c>
      <c r="Z14" s="67">
        <f t="shared" si="0"/>
        <v>18.650000000000009</v>
      </c>
      <c r="AA14" s="67">
        <f t="shared" si="0"/>
        <v>0</v>
      </c>
      <c r="AB14" s="67">
        <f t="shared" si="0"/>
        <v>0</v>
      </c>
      <c r="AC14" s="67">
        <f t="shared" si="0"/>
        <v>0</v>
      </c>
      <c r="AD14" s="67">
        <f t="shared" si="0"/>
        <v>0</v>
      </c>
      <c r="AE14" s="67">
        <f t="shared" si="0"/>
        <v>0</v>
      </c>
      <c r="AF14" s="67">
        <f t="shared" si="0"/>
        <v>0</v>
      </c>
      <c r="AG14" s="67">
        <f t="shared" si="0"/>
        <v>0</v>
      </c>
      <c r="AH14" s="67">
        <f t="shared" si="0"/>
        <v>0</v>
      </c>
      <c r="AI14" s="67">
        <f t="shared" si="0"/>
        <v>0</v>
      </c>
      <c r="AJ14" s="67">
        <f t="shared" si="0"/>
        <v>0</v>
      </c>
    </row>
    <row r="15" spans="2:36" s="1" customFormat="1">
      <c r="B15" s="1" t="s">
        <v>293</v>
      </c>
      <c r="E15" s="55" t="s">
        <v>47</v>
      </c>
      <c r="G15" s="28">
        <f>(G$14*G$5)/100</f>
        <v>1233473.7000000007</v>
      </c>
      <c r="H15" s="28">
        <f t="shared" ref="H15:AJ15" si="1">(H$14*H$5)/100</f>
        <v>1227306.3315000006</v>
      </c>
      <c r="I15" s="28">
        <f t="shared" si="1"/>
        <v>1221169.7998425006</v>
      </c>
      <c r="J15" s="28">
        <f t="shared" si="1"/>
        <v>1215063.9508432881</v>
      </c>
      <c r="K15" s="28">
        <f t="shared" si="1"/>
        <v>1208988.6310890717</v>
      </c>
      <c r="L15" s="28">
        <f t="shared" si="1"/>
        <v>1202943.6879336266</v>
      </c>
      <c r="M15" s="28">
        <f t="shared" si="1"/>
        <v>1196928.9694939582</v>
      </c>
      <c r="N15" s="28">
        <f t="shared" si="1"/>
        <v>1190944.3246464885</v>
      </c>
      <c r="O15" s="28">
        <f t="shared" si="1"/>
        <v>1184989.6030232559</v>
      </c>
      <c r="P15" s="28">
        <f t="shared" si="1"/>
        <v>1179064.6550081398</v>
      </c>
      <c r="Q15" s="28">
        <f t="shared" si="1"/>
        <v>1173169.331733099</v>
      </c>
      <c r="R15" s="28">
        <f t="shared" si="1"/>
        <v>1167303.4850744335</v>
      </c>
      <c r="S15" s="28">
        <f t="shared" si="1"/>
        <v>1161466.9676490612</v>
      </c>
      <c r="T15" s="28">
        <f t="shared" si="1"/>
        <v>1155659.6328108159</v>
      </c>
      <c r="U15" s="28">
        <f t="shared" si="1"/>
        <v>1149881.3346467619</v>
      </c>
      <c r="V15" s="28">
        <f t="shared" si="1"/>
        <v>1144131.9279735282</v>
      </c>
      <c r="W15" s="28">
        <f t="shared" si="1"/>
        <v>1138411.2683336604</v>
      </c>
      <c r="X15" s="28">
        <f t="shared" si="1"/>
        <v>1132719.2119919921</v>
      </c>
      <c r="Y15" s="28">
        <f t="shared" si="1"/>
        <v>1127055.615932032</v>
      </c>
      <c r="Z15" s="28">
        <f t="shared" si="1"/>
        <v>1121420.3378523719</v>
      </c>
      <c r="AA15" s="28">
        <f t="shared" si="1"/>
        <v>0</v>
      </c>
      <c r="AB15" s="28">
        <f t="shared" si="1"/>
        <v>0</v>
      </c>
      <c r="AC15" s="28">
        <f t="shared" si="1"/>
        <v>0</v>
      </c>
      <c r="AD15" s="28">
        <f t="shared" si="1"/>
        <v>0</v>
      </c>
      <c r="AE15" s="28">
        <f t="shared" si="1"/>
        <v>0</v>
      </c>
      <c r="AF15" s="28">
        <f t="shared" si="1"/>
        <v>0</v>
      </c>
      <c r="AG15" s="28">
        <f t="shared" si="1"/>
        <v>0</v>
      </c>
      <c r="AH15" s="28">
        <f t="shared" si="1"/>
        <v>0</v>
      </c>
      <c r="AI15" s="28">
        <f t="shared" si="1"/>
        <v>0</v>
      </c>
      <c r="AJ15" s="28">
        <f t="shared" si="1"/>
        <v>0</v>
      </c>
    </row>
    <row r="16" spans="2:36" s="1" customFormat="1">
      <c r="B16" s="1" t="s">
        <v>294</v>
      </c>
      <c r="E16" s="55" t="s">
        <v>39</v>
      </c>
      <c r="G16" s="67" t="str">
        <f>IF('Active Inputs'!$Q$7='Active Inputs'!$G$11,0,IF('Active Inputs'!$Q$12="Year One",'Active Inputs'!$Q$13,'Complex Inputs'!$D129))</f>
        <v/>
      </c>
      <c r="H16" s="67" t="str">
        <f>IF(H$2&gt;'Active Inputs'!$G$11,0,IF('Active Inputs'!$Q$12="Year One",G$16*(1+'Active Inputs'!$Q$14),'Complex Inputs'!$D130))</f>
        <v/>
      </c>
      <c r="I16" s="67" t="str">
        <f>IF(I$2&gt;'Active Inputs'!$G$11,0,IF('Active Inputs'!$Q$12="Year One",H$16*(1+'Active Inputs'!$Q$14),'Complex Inputs'!$D131))</f>
        <v/>
      </c>
      <c r="J16" s="67" t="str">
        <f>IF(J$2&gt;'Active Inputs'!$G$11,0,IF('Active Inputs'!$Q$12="Year One",I$16*(1+'Active Inputs'!$Q$14),'Complex Inputs'!$D132))</f>
        <v/>
      </c>
      <c r="K16" s="67" t="str">
        <f>IF(K$2&gt;'Active Inputs'!$G$11,0,IF('Active Inputs'!$Q$12="Year One",J$16*(1+'Active Inputs'!$Q$14),'Complex Inputs'!$D133))</f>
        <v/>
      </c>
      <c r="L16" s="67" t="str">
        <f>IF(L$2&gt;'Active Inputs'!$G$11,0,IF('Active Inputs'!$Q$12="Year One",K$16*(1+'Active Inputs'!$Q$14),'Complex Inputs'!$D134))</f>
        <v/>
      </c>
      <c r="M16" s="67" t="str">
        <f>IF(M$2&gt;'Active Inputs'!$G$11,0,IF('Active Inputs'!$Q$12="Year One",L$16*(1+'Active Inputs'!$Q$14),'Complex Inputs'!$D135))</f>
        <v/>
      </c>
      <c r="N16" s="67" t="str">
        <f>IF(N$2&gt;'Active Inputs'!$G$11,0,IF('Active Inputs'!$Q$12="Year One",M$16*(1+'Active Inputs'!$Q$14),'Complex Inputs'!$D136))</f>
        <v/>
      </c>
      <c r="O16" s="67" t="str">
        <f>IF(O$2&gt;'Active Inputs'!$G$11,0,IF('Active Inputs'!$Q$12="Year One",N$16*(1+'Active Inputs'!$Q$14),'Complex Inputs'!$D137))</f>
        <v/>
      </c>
      <c r="P16" s="67" t="str">
        <f>IF(P$2&gt;'Active Inputs'!$G$11,0,IF('Active Inputs'!$Q$12="Year One",O$16*(1+'Active Inputs'!$Q$14),'Complex Inputs'!$D138))</f>
        <v/>
      </c>
      <c r="Q16" s="67" t="str">
        <f>IF(Q$2&gt;'Active Inputs'!$G$11,0,IF('Active Inputs'!$Q$12="Year One",P$16*(1+'Active Inputs'!$Q$14),'Complex Inputs'!$D139))</f>
        <v/>
      </c>
      <c r="R16" s="67" t="str">
        <f>IF(R$2&gt;'Active Inputs'!$G$11,0,IF('Active Inputs'!$Q$12="Year One",Q$16*(1+'Active Inputs'!$Q$14),'Complex Inputs'!$D140))</f>
        <v/>
      </c>
      <c r="S16" s="67" t="str">
        <f>IF(S$2&gt;'Active Inputs'!$G$11,0,IF('Active Inputs'!$Q$12="Year One",R$16*(1+'Active Inputs'!$Q$14),'Complex Inputs'!$D141))</f>
        <v/>
      </c>
      <c r="T16" s="67" t="str">
        <f>IF(T$2&gt;'Active Inputs'!$G$11,0,IF('Active Inputs'!$Q$12="Year One",S$16*(1+'Active Inputs'!$Q$14),'Complex Inputs'!$D142))</f>
        <v/>
      </c>
      <c r="U16" s="67" t="str">
        <f>IF(U$2&gt;'Active Inputs'!$G$11,0,IF('Active Inputs'!$Q$12="Year One",T$16*(1+'Active Inputs'!$Q$14),'Complex Inputs'!$D143))</f>
        <v/>
      </c>
      <c r="V16" s="67" t="str">
        <f>IF(V$2&gt;'Active Inputs'!$G$11,0,IF('Active Inputs'!$Q$12="Year One",U$16*(1+'Active Inputs'!$Q$14),'Complex Inputs'!$D144))</f>
        <v/>
      </c>
      <c r="W16" s="67" t="str">
        <f>IF(W$2&gt;'Active Inputs'!$G$11,0,IF('Active Inputs'!$Q$12="Year One",V$16*(1+'Active Inputs'!$Q$14),'Complex Inputs'!$D145))</f>
        <v/>
      </c>
      <c r="X16" s="67" t="str">
        <f>IF(X$2&gt;'Active Inputs'!$G$11,0,IF('Active Inputs'!$Q$12="Year One",W$16*(1+'Active Inputs'!$Q$14),'Complex Inputs'!$D146))</f>
        <v/>
      </c>
      <c r="Y16" s="67" t="str">
        <f>IF(Y$2&gt;'Active Inputs'!$G$11,0,IF('Active Inputs'!$Q$12="Year One",X$16*(1+'Active Inputs'!$Q$14),'Complex Inputs'!$D147))</f>
        <v/>
      </c>
      <c r="Z16" s="67" t="str">
        <f>IF(Z$2&gt;'Active Inputs'!$G$11,0,IF('Active Inputs'!$Q$12="Year One",Y$16*(1+'Active Inputs'!$Q$14),'Complex Inputs'!$D148))</f>
        <v/>
      </c>
      <c r="AA16" s="67">
        <f>IF(AA$2&gt;'Active Inputs'!$G$11,0,IF('Active Inputs'!$Q$12="Year One",Z$16*(1+'Active Inputs'!$Q$14),'Complex Inputs'!$D149))</f>
        <v>19.239186388780748</v>
      </c>
      <c r="AB16" s="67">
        <f>IF(AB$2&gt;'Active Inputs'!$G$11,0,IF('Active Inputs'!$Q$12="Year One",AA$16*(1+'Active Inputs'!$Q$14),'Complex Inputs'!$D150))</f>
        <v>19.677168746197321</v>
      </c>
      <c r="AC16" s="67">
        <f>IF(AC$2&gt;'Active Inputs'!$G$11,0,IF('Active Inputs'!$Q$12="Year One",AB$16*(1+'Active Inputs'!$Q$14),'Complex Inputs'!$D151))</f>
        <v>20.111908263727106</v>
      </c>
      <c r="AD16" s="67">
        <f>IF(AD$2&gt;'Active Inputs'!$G$11,0,IF('Active Inputs'!$Q$12="Year One",AC$16*(1+'Active Inputs'!$Q$14),'Complex Inputs'!$D152))</f>
        <v>20.553967509645897</v>
      </c>
      <c r="AE16" s="67">
        <f>IF(AE$2&gt;'Active Inputs'!$G$11,0,IF('Active Inputs'!$Q$12="Year One",AD$16*(1+'Active Inputs'!$Q$14),'Complex Inputs'!$D153))</f>
        <v>21.008868430112049</v>
      </c>
      <c r="AF16" s="67">
        <f>IF(AF$2&gt;'Active Inputs'!$G$11,0,IF('Active Inputs'!$Q$12="Year One",AE$16*(1+'Active Inputs'!$Q$14),'Complex Inputs'!$D154))</f>
        <v>21.472998943823626</v>
      </c>
      <c r="AG16" s="67">
        <f>IF(AG$2&gt;'Active Inputs'!$G$11,0,IF('Active Inputs'!$Q$12="Year One",AF$16*(1+'Active Inputs'!$Q$14),'Complex Inputs'!$D155))</f>
        <v>21.872433239210707</v>
      </c>
      <c r="AH16" s="67">
        <f>IF(AH$2&gt;'Active Inputs'!$G$11,0,IF('Active Inputs'!$Q$12="Year One",AG$16*(1+'Active Inputs'!$Q$14),'Complex Inputs'!$D156))</f>
        <v>21.872433239210707</v>
      </c>
      <c r="AI16" s="67">
        <f>IF(AI$2&gt;'Active Inputs'!$G$11,0,IF('Active Inputs'!$Q$12="Year One",AH$16*(1+'Active Inputs'!$Q$14),'Complex Inputs'!$D157))</f>
        <v>21.872433239210707</v>
      </c>
      <c r="AJ16" s="67">
        <f>IF(AJ$2&gt;'Active Inputs'!$G$11,0,IF('Active Inputs'!$Q$12="Year One",AI$16*(1+'Active Inputs'!$Q$14),'Complex Inputs'!$D158))</f>
        <v>21.872433239210707</v>
      </c>
    </row>
    <row r="17" spans="2:36" s="1" customFormat="1">
      <c r="B17" s="1" t="s">
        <v>295</v>
      </c>
      <c r="E17" s="55" t="s">
        <v>47</v>
      </c>
      <c r="G17" s="28">
        <f>IF(G$2&lt;='Active Inputs'!$Q$7,0,IF(G$2&gt;'Active Inputs'!$G$11,0,(G$16*G$5)/100))</f>
        <v>0</v>
      </c>
      <c r="H17" s="28">
        <f>IF(H$2&lt;='Active Inputs'!$Q$7,0,IF(H$2&gt;'Active Inputs'!$G$11,0,(H$16*H$5)/100))</f>
        <v>0</v>
      </c>
      <c r="I17" s="28">
        <f>IF(I$2&lt;='Active Inputs'!$Q$7,0,IF(I$2&gt;'Active Inputs'!$G$11,0,(I$16*I$5)/100))</f>
        <v>0</v>
      </c>
      <c r="J17" s="28">
        <f>IF(J$2&lt;='Active Inputs'!$Q$7,0,IF(J$2&gt;'Active Inputs'!$G$11,0,(J$16*J$5)/100))</f>
        <v>0</v>
      </c>
      <c r="K17" s="28">
        <f>IF(K$2&lt;='Active Inputs'!$Q$7,0,IF(K$2&gt;'Active Inputs'!$G$11,0,(K$16*K$5)/100))</f>
        <v>0</v>
      </c>
      <c r="L17" s="28">
        <f>IF(L$2&lt;='Active Inputs'!$Q$7,0,IF(L$2&gt;'Active Inputs'!$G$11,0,(L$16*L$5)/100))</f>
        <v>0</v>
      </c>
      <c r="M17" s="28">
        <f>IF(M$2&lt;='Active Inputs'!$Q$7,0,IF(M$2&gt;'Active Inputs'!$G$11,0,(M$16*M$5)/100))</f>
        <v>0</v>
      </c>
      <c r="N17" s="28">
        <f>IF(N$2&lt;='Active Inputs'!$Q$7,0,IF(N$2&gt;'Active Inputs'!$G$11,0,(N$16*N$5)/100))</f>
        <v>0</v>
      </c>
      <c r="O17" s="28">
        <f>IF(O$2&lt;='Active Inputs'!$Q$7,0,IF(O$2&gt;'Active Inputs'!$G$11,0,(O$16*O$5)/100))</f>
        <v>0</v>
      </c>
      <c r="P17" s="28">
        <f>IF(P$2&lt;='Active Inputs'!$Q$7,0,IF(P$2&gt;'Active Inputs'!$G$11,0,(P$16*P$5)/100))</f>
        <v>0</v>
      </c>
      <c r="Q17" s="28">
        <f>IF(Q$2&lt;='Active Inputs'!$Q$7,0,IF(Q$2&gt;'Active Inputs'!$G$11,0,(Q$16*Q$5)/100))</f>
        <v>0</v>
      </c>
      <c r="R17" s="28">
        <f>IF(R$2&lt;='Active Inputs'!$Q$7,0,IF(R$2&gt;'Active Inputs'!$G$11,0,(R$16*R$5)/100))</f>
        <v>0</v>
      </c>
      <c r="S17" s="28">
        <f>IF(S$2&lt;='Active Inputs'!$Q$7,0,IF(S$2&gt;'Active Inputs'!$G$11,0,(S$16*S$5)/100))</f>
        <v>0</v>
      </c>
      <c r="T17" s="28">
        <f>IF(T$2&lt;='Active Inputs'!$Q$7,0,IF(T$2&gt;'Active Inputs'!$G$11,0,(T$16*T$5)/100))</f>
        <v>0</v>
      </c>
      <c r="U17" s="28">
        <f>IF(U$2&lt;='Active Inputs'!$Q$7,0,IF(U$2&gt;'Active Inputs'!$G$11,0,(U$16*U$5)/100))</f>
        <v>0</v>
      </c>
      <c r="V17" s="28">
        <f>IF(V$2&lt;='Active Inputs'!$Q$7,0,IF(V$2&gt;'Active Inputs'!$G$11,0,(V$16*V$5)/100))</f>
        <v>0</v>
      </c>
      <c r="W17" s="28">
        <f>IF(W$2&lt;='Active Inputs'!$Q$7,0,IF(W$2&gt;'Active Inputs'!$G$11,0,(W$16*W$5)/100))</f>
        <v>0</v>
      </c>
      <c r="X17" s="28">
        <f>IF(X$2&lt;='Active Inputs'!$Q$7,0,IF(X$2&gt;'Active Inputs'!$G$11,0,(X$16*X$5)/100))</f>
        <v>0</v>
      </c>
      <c r="Y17" s="28">
        <f>IF(Y$2&lt;='Active Inputs'!$Q$7,0,IF(Y$2&gt;'Active Inputs'!$G$11,0,(Y$16*Y$5)/100))</f>
        <v>0</v>
      </c>
      <c r="Z17" s="28">
        <f>IF(Z$2&lt;='Active Inputs'!$Q$7,0,IF(Z$2&gt;'Active Inputs'!$G$11,0,(Z$16*Z$5)/100))</f>
        <v>0</v>
      </c>
      <c r="AA17" s="28">
        <f>IF(AA$2&lt;='Active Inputs'!$Q$7,0,IF(AA$2&gt;'Active Inputs'!$G$11,0,(AA$16*AA$5)/100))</f>
        <v>1151063.7440005734</v>
      </c>
      <c r="AB17" s="28">
        <f>IF(AB$2&lt;='Active Inputs'!$Q$7,0,IF(AB$2&gt;'Active Inputs'!$G$11,0,(AB$16*AB$5)/100))</f>
        <v>1171381.5072673417</v>
      </c>
      <c r="AC17" s="28">
        <f>IF(AC$2&lt;='Active Inputs'!$Q$7,0,IF(AC$2&gt;'Active Inputs'!$G$11,0,(AC$16*AC$5)/100))</f>
        <v>1191275.2353377698</v>
      </c>
      <c r="AD17" s="28">
        <f>IF(AD$2&lt;='Active Inputs'!$Q$7,0,IF(AD$2&gt;'Active Inputs'!$G$11,0,(AD$16*AD$5)/100))</f>
        <v>1211372.1383518525</v>
      </c>
      <c r="AE17" s="28">
        <f>IF(AE$2&lt;='Active Inputs'!$Q$7,0,IF(AE$2&gt;'Active Inputs'!$G$11,0,(AE$16*AE$5)/100))</f>
        <v>1231991.3453828907</v>
      </c>
      <c r="AF17" s="28">
        <f>IF(AF$2&lt;='Active Inputs'!$Q$7,0,IF(AF$2&gt;'Active Inputs'!$G$11,0,(AF$16*AF$5)/100))</f>
        <v>1252912.6069535408</v>
      </c>
      <c r="AG17" s="28">
        <f>IF(AG$2&lt;='Active Inputs'!$Q$7,0,IF(AG$2&gt;'Active Inputs'!$G$11,0,(AG$16*AG$5)/100))</f>
        <v>1269837.8174721131</v>
      </c>
      <c r="AH17" s="28">
        <f>IF(AH$2&lt;='Active Inputs'!$Q$7,0,IF(AH$2&gt;'Active Inputs'!$G$11,0,(AH$16*AH$5)/100))</f>
        <v>1263488.6283847527</v>
      </c>
      <c r="AI17" s="28">
        <f>IF(AI$2&lt;='Active Inputs'!$Q$7,0,IF(AI$2&gt;'Active Inputs'!$G$11,0,(AI$16*AI$5)/100))</f>
        <v>1257171.1852428289</v>
      </c>
      <c r="AJ17" s="28">
        <f>IF(AJ$2&lt;='Active Inputs'!$Q$7,0,IF(AJ$2&gt;'Active Inputs'!$G$11,0,(AJ$16*AJ$5)/100))</f>
        <v>1250885.3293166147</v>
      </c>
    </row>
    <row r="18" spans="2:36" s="1" customFormat="1">
      <c r="B18" s="1" t="s">
        <v>296</v>
      </c>
      <c r="E18" s="55" t="s">
        <v>39</v>
      </c>
      <c r="G18" s="67">
        <f>IF('Active Inputs'!$Q$18="Cost-Based",0,IF(AND('Active Inputs'!$Q$23="Cash",G$2&lt;='Active Inputs'!$Q$25),'Active Inputs'!$Q$24*G$9,0))</f>
        <v>0</v>
      </c>
      <c r="H18" s="67">
        <f>IF('Active Inputs'!$Q$18="Cost-Based",0,IF(AND('Active Inputs'!$Q$23="Cash",H$2&lt;='Active Inputs'!$Q$25),'Active Inputs'!$Q$24*H$9,0))</f>
        <v>0</v>
      </c>
      <c r="I18" s="67">
        <f>IF('Active Inputs'!$Q$18="Cost-Based",0,IF(AND('Active Inputs'!$Q$23="Cash",I$2&lt;='Active Inputs'!$Q$25),'Active Inputs'!$Q$24*I$9,0))</f>
        <v>0</v>
      </c>
      <c r="J18" s="67">
        <f>IF('Active Inputs'!$Q$18="Cost-Based",0,IF(AND('Active Inputs'!$Q$23="Cash",J$2&lt;='Active Inputs'!$Q$25),'Active Inputs'!$Q$24*J$9,0))</f>
        <v>0</v>
      </c>
      <c r="K18" s="67">
        <f>IF('Active Inputs'!$Q$18="Cost-Based",0,IF(AND('Active Inputs'!$Q$23="Cash",K$2&lt;='Active Inputs'!$Q$25),'Active Inputs'!$Q$24*K$9,0))</f>
        <v>0</v>
      </c>
      <c r="L18" s="67">
        <f>IF('Active Inputs'!$Q$18="Cost-Based",0,IF(AND('Active Inputs'!$Q$23="Cash",L$2&lt;='Active Inputs'!$Q$25),'Active Inputs'!$Q$24*L$9,0))</f>
        <v>0</v>
      </c>
      <c r="M18" s="67">
        <f>IF('Active Inputs'!$Q$18="Cost-Based",0,IF(AND('Active Inputs'!$Q$23="Cash",M$2&lt;='Active Inputs'!$Q$25),'Active Inputs'!$Q$24*M$9,0))</f>
        <v>0</v>
      </c>
      <c r="N18" s="67">
        <f>IF('Active Inputs'!$Q$18="Cost-Based",0,IF(AND('Active Inputs'!$Q$23="Cash",N$2&lt;='Active Inputs'!$Q$25),'Active Inputs'!$Q$24*N$9,0))</f>
        <v>0</v>
      </c>
      <c r="O18" s="67">
        <f>IF('Active Inputs'!$Q$18="Cost-Based",0,IF(AND('Active Inputs'!$Q$23="Cash",O$2&lt;='Active Inputs'!$Q$25),'Active Inputs'!$Q$24*O$9,0))</f>
        <v>0</v>
      </c>
      <c r="P18" s="67">
        <f>IF('Active Inputs'!$Q$18="Cost-Based",0,IF(AND('Active Inputs'!$Q$23="Cash",P$2&lt;='Active Inputs'!$Q$25),'Active Inputs'!$Q$24*P$9,0))</f>
        <v>0</v>
      </c>
      <c r="Q18" s="67">
        <f>IF('Active Inputs'!$Q$18="Cost-Based",0,IF(AND('Active Inputs'!$Q$23="Cash",Q$2&lt;='Active Inputs'!$Q$25),'Active Inputs'!$Q$24*Q$9,0))</f>
        <v>0</v>
      </c>
      <c r="R18" s="67">
        <f>IF('Active Inputs'!$Q$18="Cost-Based",0,IF(AND('Active Inputs'!$Q$23="Cash",R$2&lt;='Active Inputs'!$Q$25),'Active Inputs'!$Q$24*R$9,0))</f>
        <v>0</v>
      </c>
      <c r="S18" s="67">
        <f>IF('Active Inputs'!$Q$18="Cost-Based",0,IF(AND('Active Inputs'!$Q$23="Cash",S$2&lt;='Active Inputs'!$Q$25),'Active Inputs'!$Q$24*S$9,0))</f>
        <v>0</v>
      </c>
      <c r="T18" s="67">
        <f>IF('Active Inputs'!$Q$18="Cost-Based",0,IF(AND('Active Inputs'!$Q$23="Cash",T$2&lt;='Active Inputs'!$Q$25),'Active Inputs'!$Q$24*T$9,0))</f>
        <v>0</v>
      </c>
      <c r="U18" s="67">
        <f>IF('Active Inputs'!$Q$18="Cost-Based",0,IF(AND('Active Inputs'!$Q$23="Cash",U$2&lt;='Active Inputs'!$Q$25),'Active Inputs'!$Q$24*U$9,0))</f>
        <v>0</v>
      </c>
      <c r="V18" s="67">
        <f>IF('Active Inputs'!$Q$18="Cost-Based",0,IF(AND('Active Inputs'!$Q$23="Cash",V$2&lt;='Active Inputs'!$Q$25),'Active Inputs'!$Q$24*V$9,0))</f>
        <v>0</v>
      </c>
      <c r="W18" s="67">
        <f>IF('Active Inputs'!$Q$18="Cost-Based",0,IF(AND('Active Inputs'!$Q$23="Cash",W$2&lt;='Active Inputs'!$Q$25),'Active Inputs'!$Q$24*W$9,0))</f>
        <v>0</v>
      </c>
      <c r="X18" s="67">
        <f>IF('Active Inputs'!$Q$18="Cost-Based",0,IF(AND('Active Inputs'!$Q$23="Cash",X$2&lt;='Active Inputs'!$Q$25),'Active Inputs'!$Q$24*X$9,0))</f>
        <v>0</v>
      </c>
      <c r="Y18" s="67">
        <f>IF('Active Inputs'!$Q$18="Cost-Based",0,IF(AND('Active Inputs'!$Q$23="Cash",Y$2&lt;='Active Inputs'!$Q$25),'Active Inputs'!$Q$24*Y$9,0))</f>
        <v>0</v>
      </c>
      <c r="Z18" s="67">
        <f>IF('Active Inputs'!$Q$18="Cost-Based",0,IF(AND('Active Inputs'!$Q$23="Cash",Z$2&lt;='Active Inputs'!$Q$25),'Active Inputs'!$Q$24*Z$9,0))</f>
        <v>0</v>
      </c>
      <c r="AA18" s="67">
        <f>IF('Active Inputs'!$Q$18="Cost-Based",0,IF(AND('Active Inputs'!$Q$23="Cash",AA$2&lt;='Active Inputs'!$Q$25),'Active Inputs'!$Q$24*AA$9,0))</f>
        <v>0</v>
      </c>
      <c r="AB18" s="67">
        <f>IF('Active Inputs'!$Q$18="Cost-Based",0,IF(AND('Active Inputs'!$Q$23="Cash",AB$2&lt;='Active Inputs'!$Q$25),'Active Inputs'!$Q$24*AB$9,0))</f>
        <v>0</v>
      </c>
      <c r="AC18" s="67">
        <f>IF('Active Inputs'!$Q$18="Cost-Based",0,IF(AND('Active Inputs'!$Q$23="Cash",AC$2&lt;='Active Inputs'!$Q$25),'Active Inputs'!$Q$24*AC$9,0))</f>
        <v>0</v>
      </c>
      <c r="AD18" s="67">
        <f>IF('Active Inputs'!$Q$18="Cost-Based",0,IF(AND('Active Inputs'!$Q$23="Cash",AD$2&lt;='Active Inputs'!$Q$25),'Active Inputs'!$Q$24*AD$9,0))</f>
        <v>0</v>
      </c>
      <c r="AE18" s="67">
        <f>IF('Active Inputs'!$Q$18="Cost-Based",0,IF(AND('Active Inputs'!$Q$23="Cash",AE$2&lt;='Active Inputs'!$Q$25),'Active Inputs'!$Q$24*AE$9,0))</f>
        <v>0</v>
      </c>
      <c r="AF18" s="67">
        <f>IF('Active Inputs'!$Q$18="Cost-Based",0,IF(AND('Active Inputs'!$Q$23="Cash",AF$2&lt;='Active Inputs'!$Q$25),'Active Inputs'!$Q$24*AF$9,0))</f>
        <v>0</v>
      </c>
      <c r="AG18" s="67">
        <f>IF('Active Inputs'!$Q$18="Cost-Based",0,IF(AND('Active Inputs'!$Q$23="Cash",AG$2&lt;='Active Inputs'!$Q$25),'Active Inputs'!$Q$24*AG$9,0))</f>
        <v>0</v>
      </c>
      <c r="AH18" s="67">
        <f>IF('Active Inputs'!$Q$18="Cost-Based",0,IF(AND('Active Inputs'!$Q$23="Cash",AH$2&lt;='Active Inputs'!$Q$25),'Active Inputs'!$Q$24*AH$9,0))</f>
        <v>0</v>
      </c>
      <c r="AI18" s="67">
        <f>IF('Active Inputs'!$Q$18="Cost-Based",0,IF(AND('Active Inputs'!$Q$23="Cash",AI$2&lt;='Active Inputs'!$Q$25),'Active Inputs'!$Q$24*AI$9,0))</f>
        <v>0</v>
      </c>
      <c r="AJ18" s="67">
        <f>IF('Active Inputs'!$Q$18="Cost-Based",0,IF(AND('Active Inputs'!$Q$23="Cash",AJ$2&lt;='Active Inputs'!$Q$25),'Active Inputs'!$Q$24*AJ$9,0))</f>
        <v>0</v>
      </c>
    </row>
    <row r="19" spans="2:36" s="1" customFormat="1">
      <c r="B19" s="1" t="s">
        <v>297</v>
      </c>
      <c r="E19" s="55" t="s">
        <v>47</v>
      </c>
      <c r="G19" s="28">
        <f>(G$18*G$5)/100</f>
        <v>0</v>
      </c>
      <c r="H19" s="28">
        <f t="shared" ref="H19:AJ19" si="2">(H$18*H$5)/100</f>
        <v>0</v>
      </c>
      <c r="I19" s="28">
        <f t="shared" si="2"/>
        <v>0</v>
      </c>
      <c r="J19" s="28">
        <f t="shared" si="2"/>
        <v>0</v>
      </c>
      <c r="K19" s="28">
        <f t="shared" si="2"/>
        <v>0</v>
      </c>
      <c r="L19" s="28">
        <f t="shared" si="2"/>
        <v>0</v>
      </c>
      <c r="M19" s="28">
        <f t="shared" si="2"/>
        <v>0</v>
      </c>
      <c r="N19" s="28">
        <f t="shared" si="2"/>
        <v>0</v>
      </c>
      <c r="O19" s="28">
        <f t="shared" si="2"/>
        <v>0</v>
      </c>
      <c r="P19" s="28">
        <f t="shared" si="2"/>
        <v>0</v>
      </c>
      <c r="Q19" s="28">
        <f t="shared" si="2"/>
        <v>0</v>
      </c>
      <c r="R19" s="28">
        <f t="shared" si="2"/>
        <v>0</v>
      </c>
      <c r="S19" s="28">
        <f t="shared" si="2"/>
        <v>0</v>
      </c>
      <c r="T19" s="28">
        <f t="shared" si="2"/>
        <v>0</v>
      </c>
      <c r="U19" s="28">
        <f t="shared" si="2"/>
        <v>0</v>
      </c>
      <c r="V19" s="28">
        <f t="shared" si="2"/>
        <v>0</v>
      </c>
      <c r="W19" s="28">
        <f t="shared" si="2"/>
        <v>0</v>
      </c>
      <c r="X19" s="28">
        <f t="shared" si="2"/>
        <v>0</v>
      </c>
      <c r="Y19" s="28">
        <f t="shared" si="2"/>
        <v>0</v>
      </c>
      <c r="Z19" s="28">
        <f t="shared" si="2"/>
        <v>0</v>
      </c>
      <c r="AA19" s="28">
        <f t="shared" si="2"/>
        <v>0</v>
      </c>
      <c r="AB19" s="28">
        <f t="shared" si="2"/>
        <v>0</v>
      </c>
      <c r="AC19" s="28">
        <f t="shared" si="2"/>
        <v>0</v>
      </c>
      <c r="AD19" s="28">
        <f t="shared" si="2"/>
        <v>0</v>
      </c>
      <c r="AE19" s="28">
        <f t="shared" si="2"/>
        <v>0</v>
      </c>
      <c r="AF19" s="28">
        <f t="shared" si="2"/>
        <v>0</v>
      </c>
      <c r="AG19" s="28">
        <f t="shared" si="2"/>
        <v>0</v>
      </c>
      <c r="AH19" s="28">
        <f t="shared" si="2"/>
        <v>0</v>
      </c>
      <c r="AI19" s="28">
        <f t="shared" si="2"/>
        <v>0</v>
      </c>
      <c r="AJ19" s="28">
        <f t="shared" si="2"/>
        <v>0</v>
      </c>
    </row>
    <row r="20" spans="2:36" s="1" customFormat="1">
      <c r="B20" s="1" t="s">
        <v>298</v>
      </c>
      <c r="E20" s="55" t="s">
        <v>39</v>
      </c>
      <c r="G20" s="67">
        <f>IF(OR('Active Inputs'!$Q$34="Cost-Based",'Active Inputs'!$Q$34="Neither"),0,IF(AND('Active Inputs'!$Q$39="Cash",G$2&lt;='Active Inputs'!$Q$42),'Active Inputs'!$Q$41*G$10*'Active Inputs'!$Q$44,0))</f>
        <v>0</v>
      </c>
      <c r="H20" s="67">
        <f>IF(OR('Active Inputs'!$Q$34="Cost-Based",'Active Inputs'!$Q$34="Neither"),0,IF(AND('Active Inputs'!$Q$39="Cash",H$2&lt;='Active Inputs'!$Q$42),'Active Inputs'!$Q$41*H$10*'Active Inputs'!$Q$44,0))</f>
        <v>0</v>
      </c>
      <c r="I20" s="67">
        <f>IF(OR('Active Inputs'!$Q$34="Cost-Based",'Active Inputs'!$Q$34="Neither"),0,IF(AND('Active Inputs'!$Q$39="Cash",I$2&lt;='Active Inputs'!$Q$42),'Active Inputs'!$Q$41*I$10*'Active Inputs'!$Q$44,0))</f>
        <v>0</v>
      </c>
      <c r="J20" s="67">
        <f>IF(OR('Active Inputs'!$Q$34="Cost-Based",'Active Inputs'!$Q$34="Neither"),0,IF(AND('Active Inputs'!$Q$39="Cash",J$2&lt;='Active Inputs'!$Q$42),'Active Inputs'!$Q$41*J$10*'Active Inputs'!$Q$44,0))</f>
        <v>0</v>
      </c>
      <c r="K20" s="67">
        <f>IF(OR('Active Inputs'!$Q$34="Cost-Based",'Active Inputs'!$Q$34="Neither"),0,IF(AND('Active Inputs'!$Q$39="Cash",K$2&lt;='Active Inputs'!$Q$42),'Active Inputs'!$Q$41*K$10*'Active Inputs'!$Q$44,0))</f>
        <v>0</v>
      </c>
      <c r="L20" s="67">
        <f>IF(OR('Active Inputs'!$Q$34="Cost-Based",'Active Inputs'!$Q$34="Neither"),0,IF(AND('Active Inputs'!$Q$39="Cash",L$2&lt;='Active Inputs'!$Q$42),'Active Inputs'!$Q$41*L$10*'Active Inputs'!$Q$44,0))</f>
        <v>0</v>
      </c>
      <c r="M20" s="67">
        <f>IF(OR('Active Inputs'!$Q$34="Cost-Based",'Active Inputs'!$Q$34="Neither"),0,IF(AND('Active Inputs'!$Q$39="Cash",M$2&lt;='Active Inputs'!$Q$42),'Active Inputs'!$Q$41*M$10*'Active Inputs'!$Q$44,0))</f>
        <v>0</v>
      </c>
      <c r="N20" s="67">
        <f>IF(OR('Active Inputs'!$Q$34="Cost-Based",'Active Inputs'!$Q$34="Neither"),0,IF(AND('Active Inputs'!$Q$39="Cash",N$2&lt;='Active Inputs'!$Q$42),'Active Inputs'!$Q$41*N$10*'Active Inputs'!$Q$44,0))</f>
        <v>0</v>
      </c>
      <c r="O20" s="67">
        <f>IF(OR('Active Inputs'!$Q$34="Cost-Based",'Active Inputs'!$Q$34="Neither"),0,IF(AND('Active Inputs'!$Q$39="Cash",O$2&lt;='Active Inputs'!$Q$42),'Active Inputs'!$Q$41*O$10*'Active Inputs'!$Q$44,0))</f>
        <v>0</v>
      </c>
      <c r="P20" s="67">
        <f>IF(OR('Active Inputs'!$Q$34="Cost-Based",'Active Inputs'!$Q$34="Neither"),0,IF(AND('Active Inputs'!$Q$39="Cash",P$2&lt;='Active Inputs'!$Q$42),'Active Inputs'!$Q$41*P$10*'Active Inputs'!$Q$44,0))</f>
        <v>0</v>
      </c>
      <c r="Q20" s="67">
        <f>IF(OR('Active Inputs'!$Q$34="Cost-Based",'Active Inputs'!$Q$34="Neither"),0,IF(AND('Active Inputs'!$Q$39="Cash",Q$2&lt;='Active Inputs'!$Q$42),'Active Inputs'!$Q$41*Q$10*'Active Inputs'!$Q$44,0))</f>
        <v>0</v>
      </c>
      <c r="R20" s="67">
        <f>IF(OR('Active Inputs'!$Q$34="Cost-Based",'Active Inputs'!$Q$34="Neither"),0,IF(AND('Active Inputs'!$Q$39="Cash",R$2&lt;='Active Inputs'!$Q$42),'Active Inputs'!$Q$41*R$10*'Active Inputs'!$Q$44,0))</f>
        <v>0</v>
      </c>
      <c r="S20" s="67">
        <f>IF(OR('Active Inputs'!$Q$34="Cost-Based",'Active Inputs'!$Q$34="Neither"),0,IF(AND('Active Inputs'!$Q$39="Cash",S$2&lt;='Active Inputs'!$Q$42),'Active Inputs'!$Q$41*S$10*'Active Inputs'!$Q$44,0))</f>
        <v>0</v>
      </c>
      <c r="T20" s="67">
        <f>IF(OR('Active Inputs'!$Q$34="Cost-Based",'Active Inputs'!$Q$34="Neither"),0,IF(AND('Active Inputs'!$Q$39="Cash",T$2&lt;='Active Inputs'!$Q$42),'Active Inputs'!$Q$41*T$10*'Active Inputs'!$Q$44,0))</f>
        <v>0</v>
      </c>
      <c r="U20" s="67">
        <f>IF(OR('Active Inputs'!$Q$34="Cost-Based",'Active Inputs'!$Q$34="Neither"),0,IF(AND('Active Inputs'!$Q$39="Cash",U$2&lt;='Active Inputs'!$Q$42),'Active Inputs'!$Q$41*U$10*'Active Inputs'!$Q$44,0))</f>
        <v>0</v>
      </c>
      <c r="V20" s="67">
        <f>IF(OR('Active Inputs'!$Q$34="Cost-Based",'Active Inputs'!$Q$34="Neither"),0,IF(AND('Active Inputs'!$Q$39="Cash",V$2&lt;='Active Inputs'!$Q$42),'Active Inputs'!$Q$41*V$10*'Active Inputs'!$Q$44,0))</f>
        <v>0</v>
      </c>
      <c r="W20" s="67">
        <f>IF(OR('Active Inputs'!$Q$34="Cost-Based",'Active Inputs'!$Q$34="Neither"),0,IF(AND('Active Inputs'!$Q$39="Cash",W$2&lt;='Active Inputs'!$Q$42),'Active Inputs'!$Q$41*W$10*'Active Inputs'!$Q$44,0))</f>
        <v>0</v>
      </c>
      <c r="X20" s="67">
        <f>IF(OR('Active Inputs'!$Q$34="Cost-Based",'Active Inputs'!$Q$34="Neither"),0,IF(AND('Active Inputs'!$Q$39="Cash",X$2&lt;='Active Inputs'!$Q$42),'Active Inputs'!$Q$41*X$10*'Active Inputs'!$Q$44,0))</f>
        <v>0</v>
      </c>
      <c r="Y20" s="67">
        <f>IF(OR('Active Inputs'!$Q$34="Cost-Based",'Active Inputs'!$Q$34="Neither"),0,IF(AND('Active Inputs'!$Q$39="Cash",Y$2&lt;='Active Inputs'!$Q$42),'Active Inputs'!$Q$41*Y$10*'Active Inputs'!$Q$44,0))</f>
        <v>0</v>
      </c>
      <c r="Z20" s="67">
        <f>IF(OR('Active Inputs'!$Q$34="Cost-Based",'Active Inputs'!$Q$34="Neither"),0,IF(AND('Active Inputs'!$Q$39="Cash",Z$2&lt;='Active Inputs'!$Q$42),'Active Inputs'!$Q$41*Z$10*'Active Inputs'!$Q$44,0))</f>
        <v>0</v>
      </c>
      <c r="AA20" s="67">
        <f>IF(OR('Active Inputs'!$Q$34="Cost-Based",'Active Inputs'!$Q$34="Neither"),0,IF(AND('Active Inputs'!$Q$39="Cash",AA$2&lt;='Active Inputs'!$Q$42),'Active Inputs'!$Q$41*AA$10*'Active Inputs'!$Q$44,0))</f>
        <v>0</v>
      </c>
      <c r="AB20" s="67">
        <f>IF(OR('Active Inputs'!$Q$34="Cost-Based",'Active Inputs'!$Q$34="Neither"),0,IF(AND('Active Inputs'!$Q$39="Cash",AB$2&lt;='Active Inputs'!$Q$42),'Active Inputs'!$Q$41*AB$10*'Active Inputs'!$Q$44,0))</f>
        <v>0</v>
      </c>
      <c r="AC20" s="67">
        <f>IF(OR('Active Inputs'!$Q$34="Cost-Based",'Active Inputs'!$Q$34="Neither"),0,IF(AND('Active Inputs'!$Q$39="Cash",AC$2&lt;='Active Inputs'!$Q$42),'Active Inputs'!$Q$41*AC$10*'Active Inputs'!$Q$44,0))</f>
        <v>0</v>
      </c>
      <c r="AD20" s="67">
        <f>IF(OR('Active Inputs'!$Q$34="Cost-Based",'Active Inputs'!$Q$34="Neither"),0,IF(AND('Active Inputs'!$Q$39="Cash",AD$2&lt;='Active Inputs'!$Q$42),'Active Inputs'!$Q$41*AD$10*'Active Inputs'!$Q$44,0))</f>
        <v>0</v>
      </c>
      <c r="AE20" s="67">
        <f>IF(OR('Active Inputs'!$Q$34="Cost-Based",'Active Inputs'!$Q$34="Neither"),0,IF(AND('Active Inputs'!$Q$39="Cash",AE$2&lt;='Active Inputs'!$Q$42),'Active Inputs'!$Q$41*AE$10*'Active Inputs'!$Q$44,0))</f>
        <v>0</v>
      </c>
      <c r="AF20" s="67">
        <f>IF(OR('Active Inputs'!$Q$34="Cost-Based",'Active Inputs'!$Q$34="Neither"),0,IF(AND('Active Inputs'!$Q$39="Cash",AF$2&lt;='Active Inputs'!$Q$42),'Active Inputs'!$Q$41*AF$10*'Active Inputs'!$Q$44,0))</f>
        <v>0</v>
      </c>
      <c r="AG20" s="67">
        <f>IF(OR('Active Inputs'!$Q$34="Cost-Based",'Active Inputs'!$Q$34="Neither"),0,IF(AND('Active Inputs'!$Q$39="Cash",AG$2&lt;='Active Inputs'!$Q$42),'Active Inputs'!$Q$41*AG$10*'Active Inputs'!$Q$44,0))</f>
        <v>0</v>
      </c>
      <c r="AH20" s="67">
        <f>IF(OR('Active Inputs'!$Q$34="Cost-Based",'Active Inputs'!$Q$34="Neither"),0,IF(AND('Active Inputs'!$Q$39="Cash",AH$2&lt;='Active Inputs'!$Q$42),'Active Inputs'!$Q$41*AH$10*'Active Inputs'!$Q$44,0))</f>
        <v>0</v>
      </c>
      <c r="AI20" s="67">
        <f>IF(OR('Active Inputs'!$Q$34="Cost-Based",'Active Inputs'!$Q$34="Neither"),0,IF(AND('Active Inputs'!$Q$39="Cash",AI$2&lt;='Active Inputs'!$Q$42),'Active Inputs'!$Q$41*AI$10*'Active Inputs'!$Q$44,0))</f>
        <v>0</v>
      </c>
      <c r="AJ20" s="67">
        <f>IF(OR('Active Inputs'!$Q$34="Cost-Based",'Active Inputs'!$Q$34="Neither"),0,IF(AND('Active Inputs'!$Q$39="Cash",AJ$2&lt;='Active Inputs'!$Q$42),'Active Inputs'!$Q$41*AJ$10*'Active Inputs'!$Q$44,0))</f>
        <v>0</v>
      </c>
    </row>
    <row r="21" spans="2:36" s="1" customFormat="1">
      <c r="B21" s="1" t="s">
        <v>299</v>
      </c>
      <c r="E21" s="55" t="s">
        <v>47</v>
      </c>
      <c r="G21" s="28">
        <f>(G$20*G$5)/100</f>
        <v>0</v>
      </c>
      <c r="H21" s="28">
        <f t="shared" ref="H21:AJ21" si="3">(H$20*H$5)/100</f>
        <v>0</v>
      </c>
      <c r="I21" s="28">
        <f t="shared" si="3"/>
        <v>0</v>
      </c>
      <c r="J21" s="28">
        <f t="shared" si="3"/>
        <v>0</v>
      </c>
      <c r="K21" s="28">
        <f t="shared" si="3"/>
        <v>0</v>
      </c>
      <c r="L21" s="28">
        <f t="shared" si="3"/>
        <v>0</v>
      </c>
      <c r="M21" s="28">
        <f t="shared" si="3"/>
        <v>0</v>
      </c>
      <c r="N21" s="28">
        <f t="shared" si="3"/>
        <v>0</v>
      </c>
      <c r="O21" s="28">
        <f t="shared" si="3"/>
        <v>0</v>
      </c>
      <c r="P21" s="28">
        <f t="shared" si="3"/>
        <v>0</v>
      </c>
      <c r="Q21" s="28">
        <f t="shared" si="3"/>
        <v>0</v>
      </c>
      <c r="R21" s="28">
        <f t="shared" si="3"/>
        <v>0</v>
      </c>
      <c r="S21" s="28">
        <f t="shared" si="3"/>
        <v>0</v>
      </c>
      <c r="T21" s="28">
        <f t="shared" si="3"/>
        <v>0</v>
      </c>
      <c r="U21" s="28">
        <f t="shared" si="3"/>
        <v>0</v>
      </c>
      <c r="V21" s="28">
        <f t="shared" si="3"/>
        <v>0</v>
      </c>
      <c r="W21" s="28">
        <f t="shared" si="3"/>
        <v>0</v>
      </c>
      <c r="X21" s="28">
        <f t="shared" si="3"/>
        <v>0</v>
      </c>
      <c r="Y21" s="28">
        <f t="shared" si="3"/>
        <v>0</v>
      </c>
      <c r="Z21" s="28">
        <f t="shared" si="3"/>
        <v>0</v>
      </c>
      <c r="AA21" s="28">
        <f t="shared" si="3"/>
        <v>0</v>
      </c>
      <c r="AB21" s="28">
        <f t="shared" si="3"/>
        <v>0</v>
      </c>
      <c r="AC21" s="28">
        <f t="shared" si="3"/>
        <v>0</v>
      </c>
      <c r="AD21" s="28">
        <f t="shared" si="3"/>
        <v>0</v>
      </c>
      <c r="AE21" s="28">
        <f t="shared" si="3"/>
        <v>0</v>
      </c>
      <c r="AF21" s="28">
        <f t="shared" si="3"/>
        <v>0</v>
      </c>
      <c r="AG21" s="28">
        <f t="shared" si="3"/>
        <v>0</v>
      </c>
      <c r="AH21" s="28">
        <f t="shared" si="3"/>
        <v>0</v>
      </c>
      <c r="AI21" s="28">
        <f t="shared" si="3"/>
        <v>0</v>
      </c>
      <c r="AJ21" s="28">
        <f t="shared" si="3"/>
        <v>0</v>
      </c>
    </row>
    <row r="22" spans="2:36" s="1" customFormat="1">
      <c r="B22" s="29" t="s">
        <v>300</v>
      </c>
      <c r="C22" s="29"/>
      <c r="D22" s="29"/>
      <c r="E22" s="58" t="s">
        <v>47</v>
      </c>
      <c r="F22" s="29"/>
      <c r="G22" s="122">
        <f t="shared" ref="G22:AI22" si="4">G264</f>
        <v>0</v>
      </c>
      <c r="H22" s="122">
        <f t="shared" si="4"/>
        <v>105</v>
      </c>
      <c r="I22" s="122">
        <f t="shared" si="4"/>
        <v>315</v>
      </c>
      <c r="J22" s="122">
        <f t="shared" si="4"/>
        <v>525</v>
      </c>
      <c r="K22" s="122">
        <f t="shared" si="4"/>
        <v>735</v>
      </c>
      <c r="L22" s="122">
        <f t="shared" si="4"/>
        <v>945</v>
      </c>
      <c r="M22" s="122">
        <f t="shared" si="4"/>
        <v>1155</v>
      </c>
      <c r="N22" s="122">
        <f t="shared" si="4"/>
        <v>1365</v>
      </c>
      <c r="O22" s="122">
        <f t="shared" si="4"/>
        <v>1575</v>
      </c>
      <c r="P22" s="122">
        <f t="shared" si="4"/>
        <v>1785</v>
      </c>
      <c r="Q22" s="122">
        <f t="shared" si="4"/>
        <v>1995</v>
      </c>
      <c r="R22" s="122">
        <f t="shared" si="4"/>
        <v>1050</v>
      </c>
      <c r="S22" s="122">
        <f t="shared" si="4"/>
        <v>0</v>
      </c>
      <c r="T22" s="122">
        <f t="shared" si="4"/>
        <v>0</v>
      </c>
      <c r="U22" s="122">
        <f t="shared" si="4"/>
        <v>0</v>
      </c>
      <c r="V22" s="122">
        <f t="shared" si="4"/>
        <v>0</v>
      </c>
      <c r="W22" s="122">
        <f t="shared" si="4"/>
        <v>0</v>
      </c>
      <c r="X22" s="122">
        <f t="shared" si="4"/>
        <v>0</v>
      </c>
      <c r="Y22" s="122">
        <f t="shared" si="4"/>
        <v>0</v>
      </c>
      <c r="Z22" s="122">
        <f t="shared" si="4"/>
        <v>0</v>
      </c>
      <c r="AA22" s="122">
        <f t="shared" si="4"/>
        <v>0</v>
      </c>
      <c r="AB22" s="122">
        <f t="shared" si="4"/>
        <v>0</v>
      </c>
      <c r="AC22" s="122">
        <f t="shared" si="4"/>
        <v>0</v>
      </c>
      <c r="AD22" s="122">
        <f t="shared" si="4"/>
        <v>0</v>
      </c>
      <c r="AE22" s="122">
        <f t="shared" si="4"/>
        <v>0</v>
      </c>
      <c r="AF22" s="122">
        <f t="shared" si="4"/>
        <v>0</v>
      </c>
      <c r="AG22" s="122">
        <f t="shared" si="4"/>
        <v>0</v>
      </c>
      <c r="AH22" s="122">
        <f t="shared" si="4"/>
        <v>0</v>
      </c>
      <c r="AI22" s="122">
        <f t="shared" si="4"/>
        <v>0</v>
      </c>
      <c r="AJ22" s="122">
        <f t="shared" ref="AJ22" si="5">AJ264</f>
        <v>0</v>
      </c>
    </row>
    <row r="23" spans="2:36" s="1" customFormat="1" ht="15.75">
      <c r="B23" s="26" t="s">
        <v>301</v>
      </c>
      <c r="C23" s="26"/>
      <c r="D23" s="26"/>
      <c r="E23" s="59" t="s">
        <v>47</v>
      </c>
      <c r="F23" s="26"/>
      <c r="G23" s="30">
        <f>G15+G17+G19+G21+G22</f>
        <v>1233473.7000000007</v>
      </c>
      <c r="H23" s="30">
        <f t="shared" ref="H23:AJ23" si="6">H15+H17+H19+H21+H22</f>
        <v>1227411.3315000006</v>
      </c>
      <c r="I23" s="30">
        <f t="shared" si="6"/>
        <v>1221484.7998425006</v>
      </c>
      <c r="J23" s="30">
        <f t="shared" si="6"/>
        <v>1215588.9508432881</v>
      </c>
      <c r="K23" s="30">
        <f t="shared" si="6"/>
        <v>1209723.6310890717</v>
      </c>
      <c r="L23" s="30">
        <f t="shared" si="6"/>
        <v>1203888.6879336266</v>
      </c>
      <c r="M23" s="30">
        <f t="shared" si="6"/>
        <v>1198083.9694939582</v>
      </c>
      <c r="N23" s="30">
        <f t="shared" si="6"/>
        <v>1192309.3246464885</v>
      </c>
      <c r="O23" s="30">
        <f t="shared" si="6"/>
        <v>1186564.6030232559</v>
      </c>
      <c r="P23" s="30">
        <f t="shared" si="6"/>
        <v>1180849.6550081398</v>
      </c>
      <c r="Q23" s="30">
        <f t="shared" si="6"/>
        <v>1175164.331733099</v>
      </c>
      <c r="R23" s="30">
        <f t="shared" si="6"/>
        <v>1168353.4850744335</v>
      </c>
      <c r="S23" s="30">
        <f t="shared" si="6"/>
        <v>1161466.9676490612</v>
      </c>
      <c r="T23" s="30">
        <f t="shared" si="6"/>
        <v>1155659.6328108159</v>
      </c>
      <c r="U23" s="30">
        <f t="shared" si="6"/>
        <v>1149881.3346467619</v>
      </c>
      <c r="V23" s="30">
        <f>V15+V17+V19+V21+V22</f>
        <v>1144131.9279735282</v>
      </c>
      <c r="W23" s="30">
        <f t="shared" si="6"/>
        <v>1138411.2683336604</v>
      </c>
      <c r="X23" s="30">
        <f t="shared" si="6"/>
        <v>1132719.2119919921</v>
      </c>
      <c r="Y23" s="30">
        <f t="shared" si="6"/>
        <v>1127055.615932032</v>
      </c>
      <c r="Z23" s="30">
        <f t="shared" si="6"/>
        <v>1121420.3378523719</v>
      </c>
      <c r="AA23" s="30">
        <f t="shared" si="6"/>
        <v>1151063.7440005734</v>
      </c>
      <c r="AB23" s="30">
        <f t="shared" si="6"/>
        <v>1171381.5072673417</v>
      </c>
      <c r="AC23" s="30">
        <f t="shared" si="6"/>
        <v>1191275.2353377698</v>
      </c>
      <c r="AD23" s="30">
        <f t="shared" si="6"/>
        <v>1211372.1383518525</v>
      </c>
      <c r="AE23" s="30">
        <f t="shared" si="6"/>
        <v>1231991.3453828907</v>
      </c>
      <c r="AF23" s="30">
        <f t="shared" si="6"/>
        <v>1252912.6069535408</v>
      </c>
      <c r="AG23" s="30">
        <f t="shared" si="6"/>
        <v>1269837.8174721131</v>
      </c>
      <c r="AH23" s="30">
        <f t="shared" si="6"/>
        <v>1263488.6283847527</v>
      </c>
      <c r="AI23" s="30">
        <f t="shared" si="6"/>
        <v>1257171.1852428289</v>
      </c>
      <c r="AJ23" s="30">
        <f t="shared" si="6"/>
        <v>1250885.3293166147</v>
      </c>
    </row>
    <row r="24" spans="2:36" s="1" customFormat="1">
      <c r="E24" s="55"/>
    </row>
    <row r="25" spans="2:36" s="1" customFormat="1" ht="15.75">
      <c r="B25" s="26" t="s">
        <v>302</v>
      </c>
      <c r="C25" s="26"/>
      <c r="D25" s="26"/>
      <c r="E25" s="55"/>
    </row>
    <row r="26" spans="2:36" s="1" customFormat="1">
      <c r="B26" s="1" t="s">
        <v>303</v>
      </c>
      <c r="E26" s="55"/>
      <c r="F26" s="17"/>
      <c r="G26" s="235">
        <v>1</v>
      </c>
      <c r="H26" s="60">
        <f>G26*(1+IF(G$2&lt;='Active Inputs'!$G$33,'Active Inputs'!$G$32,'Active Inputs'!$G$34))</f>
        <v>1.03</v>
      </c>
      <c r="I26" s="60">
        <f>H26*(1+IF(H$2&lt;='Active Inputs'!$G$33,'Active Inputs'!$G$32,'Active Inputs'!$G$34))</f>
        <v>1.0609</v>
      </c>
      <c r="J26" s="60">
        <f>I26*(1+IF(I$2&lt;='Active Inputs'!$G$33,'Active Inputs'!$G$32,'Active Inputs'!$G$34))</f>
        <v>1.092727</v>
      </c>
      <c r="K26" s="60">
        <f>J26*(1+IF(J$2&lt;='Active Inputs'!$G$33,'Active Inputs'!$G$32,'Active Inputs'!$G$34))</f>
        <v>1.1255088100000001</v>
      </c>
      <c r="L26" s="60">
        <f>K26*(1+IF(K$2&lt;='Active Inputs'!$G$33,'Active Inputs'!$G$32,'Active Inputs'!$G$34))</f>
        <v>1.1592740743000001</v>
      </c>
      <c r="M26" s="60">
        <f>L26*(1+IF(L$2&lt;='Active Inputs'!$G$33,'Active Inputs'!$G$32,'Active Inputs'!$G$34))</f>
        <v>1.1940522965290001</v>
      </c>
      <c r="N26" s="60">
        <f>M26*(1+IF(M$2&lt;='Active Inputs'!$G$33,'Active Inputs'!$G$32,'Active Inputs'!$G$34))</f>
        <v>1.2298738654248702</v>
      </c>
      <c r="O26" s="60">
        <f>N26*(1+IF(N$2&lt;='Active Inputs'!$G$33,'Active Inputs'!$G$32,'Active Inputs'!$G$34))</f>
        <v>1.2667700813876164</v>
      </c>
      <c r="P26" s="60">
        <f>O26*(1+IF(O$2&lt;='Active Inputs'!$G$33,'Active Inputs'!$G$32,'Active Inputs'!$G$34))</f>
        <v>1.3047731838292449</v>
      </c>
      <c r="Q26" s="60">
        <f>P26*(1+IF(P$2&lt;='Active Inputs'!$G$33,'Active Inputs'!$G$32,'Active Inputs'!$G$34))</f>
        <v>1.3439163793441222</v>
      </c>
      <c r="R26" s="60">
        <f>Q26*(1+IF(Q$2&lt;='Active Inputs'!$G$33,'Active Inputs'!$G$32,'Active Inputs'!$G$34))</f>
        <v>1.3842338707244459</v>
      </c>
      <c r="S26" s="60">
        <f>R26*(1+IF(R$2&lt;='Active Inputs'!$G$33,'Active Inputs'!$G$32,'Active Inputs'!$G$34))</f>
        <v>1.4257608868461793</v>
      </c>
      <c r="T26" s="60">
        <f>S26*(1+IF(S$2&lt;='Active Inputs'!$G$33,'Active Inputs'!$G$32,'Active Inputs'!$G$34))</f>
        <v>1.4685337134515648</v>
      </c>
      <c r="U26" s="60">
        <f>T26*(1+IF(T$2&lt;='Active Inputs'!$G$33,'Active Inputs'!$G$32,'Active Inputs'!$G$34))</f>
        <v>1.5125897248551119</v>
      </c>
      <c r="V26" s="60">
        <f>U26*(1+IF(U$2&lt;='Active Inputs'!$G$33,'Active Inputs'!$G$32,'Active Inputs'!$G$34))</f>
        <v>1.5579674166007653</v>
      </c>
      <c r="W26" s="60">
        <f>V26*(1+IF(V$2&lt;='Active Inputs'!$G$33,'Active Inputs'!$G$32,'Active Inputs'!$G$34))</f>
        <v>1.6047064390987884</v>
      </c>
      <c r="X26" s="60">
        <f>W26*(1+IF(W$2&lt;='Active Inputs'!$G$33,'Active Inputs'!$G$32,'Active Inputs'!$G$34))</f>
        <v>1.652847632271752</v>
      </c>
      <c r="Y26" s="60">
        <f>X26*(1+IF(X$2&lt;='Active Inputs'!$G$33,'Active Inputs'!$G$32,'Active Inputs'!$G$34))</f>
        <v>1.7024330612399046</v>
      </c>
      <c r="Z26" s="60">
        <f>Y26*(1+IF(Y$2&lt;='Active Inputs'!$G$33,'Active Inputs'!$G$32,'Active Inputs'!$G$34))</f>
        <v>1.7535060530771018</v>
      </c>
      <c r="AA26" s="60">
        <f>Z26*(1+IF(Z$2&lt;='Active Inputs'!$G$33,'Active Inputs'!$G$32,'Active Inputs'!$G$34))</f>
        <v>1.806111234669415</v>
      </c>
      <c r="AB26" s="60">
        <f>AA26*(1+IF(AA$2&lt;='Active Inputs'!$G$33,'Active Inputs'!$G$32,'Active Inputs'!$G$34))</f>
        <v>1.8602945717094976</v>
      </c>
      <c r="AC26" s="60">
        <f>AB26*(1+IF(AB$2&lt;='Active Inputs'!$G$33,'Active Inputs'!$G$32,'Active Inputs'!$G$34))</f>
        <v>1.9161034088607827</v>
      </c>
      <c r="AD26" s="60">
        <f>AC26*(1+IF(AC$2&lt;='Active Inputs'!$G$33,'Active Inputs'!$G$32,'Active Inputs'!$G$34))</f>
        <v>1.9735865111266062</v>
      </c>
      <c r="AE26" s="60">
        <f>AD26*(1+IF(AD$2&lt;='Active Inputs'!$G$33,'Active Inputs'!$G$32,'Active Inputs'!$G$34))</f>
        <v>2.0327941064604045</v>
      </c>
      <c r="AF26" s="60">
        <f>AE26*(1+IF(AE$2&lt;='Active Inputs'!$G$33,'Active Inputs'!$G$32,'Active Inputs'!$G$34))</f>
        <v>2.0937779296542165</v>
      </c>
      <c r="AG26" s="60">
        <f>AF26*(1+IF(AF$2&lt;='Active Inputs'!$G$33,'Active Inputs'!$G$32,'Active Inputs'!$G$34))</f>
        <v>2.1565912675438432</v>
      </c>
      <c r="AH26" s="60">
        <f>AG26*(1+IF(AG$2&lt;='Active Inputs'!$G$33,'Active Inputs'!$G$32,'Active Inputs'!$G$34))</f>
        <v>2.2212890055701586</v>
      </c>
      <c r="AI26" s="60">
        <f>AH26*(1+IF(AH$2&lt;='Active Inputs'!$G$33,'Active Inputs'!$G$32,'Active Inputs'!$G$34))</f>
        <v>2.2879276757372633</v>
      </c>
      <c r="AJ26" s="60">
        <f>AI26*(1+IF(AI$2&lt;='Active Inputs'!$G$33,'Active Inputs'!$G$32,'Active Inputs'!$G$34))</f>
        <v>2.3565655060093813</v>
      </c>
    </row>
    <row r="27" spans="2:36" s="1" customFormat="1">
      <c r="B27" s="1" t="s">
        <v>304</v>
      </c>
      <c r="E27" s="55"/>
      <c r="F27" s="17"/>
      <c r="G27" s="235">
        <v>1</v>
      </c>
      <c r="H27" s="235">
        <f>G27*(1+'Active Inputs'!$G$41)</f>
        <v>1.02</v>
      </c>
      <c r="I27" s="235">
        <f>H27*(1+'Active Inputs'!$G$41)</f>
        <v>1.0404</v>
      </c>
      <c r="J27" s="235">
        <f>I27*(1+'Active Inputs'!$G$41)</f>
        <v>1.0612079999999999</v>
      </c>
      <c r="K27" s="235">
        <f>J27*(1+'Active Inputs'!$G$41)</f>
        <v>1.08243216</v>
      </c>
      <c r="L27" s="235">
        <f>K27*(1+'Active Inputs'!$G$41)</f>
        <v>1.1040808032</v>
      </c>
      <c r="M27" s="235">
        <f>L27*(1+'Active Inputs'!$G$41)</f>
        <v>1.1261624192640001</v>
      </c>
      <c r="N27" s="235">
        <f>M27*(1+'Active Inputs'!$G$41)</f>
        <v>1.14868566764928</v>
      </c>
      <c r="O27" s="235">
        <f>N27*(1+'Active Inputs'!$G$41)</f>
        <v>1.1716593810022657</v>
      </c>
      <c r="P27" s="235">
        <f>O27*(1+'Active Inputs'!$G$41)</f>
        <v>1.1950925686223111</v>
      </c>
      <c r="Q27" s="235">
        <f>P27*(1+'Active Inputs'!$G$41)</f>
        <v>1.2189944199947573</v>
      </c>
      <c r="R27" s="235">
        <f>Q27*(1+'Active Inputs'!$G$41)</f>
        <v>1.2433743083946525</v>
      </c>
      <c r="S27" s="235">
        <f>R27*(1+'Active Inputs'!$G$41)</f>
        <v>1.2682417945625455</v>
      </c>
      <c r="T27" s="235">
        <f>S27*(1+'Active Inputs'!$G$41)</f>
        <v>1.2936066304537963</v>
      </c>
      <c r="U27" s="235">
        <f>T27*(1+'Active Inputs'!$G$41)</f>
        <v>1.3194787630628724</v>
      </c>
      <c r="V27" s="235">
        <f>U27*(1+'Active Inputs'!$G$41)</f>
        <v>1.3458683383241299</v>
      </c>
      <c r="W27" s="235">
        <f>V27*(1+'Active Inputs'!$G$41)</f>
        <v>1.3727857050906125</v>
      </c>
      <c r="X27" s="235">
        <f>W27*(1+'Active Inputs'!$G$41)</f>
        <v>1.4002414191924248</v>
      </c>
      <c r="Y27" s="235">
        <f>X27*(1+'Active Inputs'!$G$41)</f>
        <v>1.4282462475762734</v>
      </c>
      <c r="Z27" s="235">
        <f>Y27*(1+'Active Inputs'!$G$41)</f>
        <v>1.4568111725277988</v>
      </c>
      <c r="AA27" s="235">
        <f>Z27*(1+'Active Inputs'!$G$41)</f>
        <v>1.4859473959783549</v>
      </c>
      <c r="AB27" s="235">
        <f>AA27*(1+'Active Inputs'!$G$41)</f>
        <v>1.5156663438979221</v>
      </c>
      <c r="AC27" s="235">
        <f>AB27*(1+'Active Inputs'!$G$41)</f>
        <v>1.5459796707758806</v>
      </c>
      <c r="AD27" s="235">
        <f>AC27*(1+'Active Inputs'!$G$41)</f>
        <v>1.5768992641913981</v>
      </c>
      <c r="AE27" s="235">
        <f>AD27*(1+'Active Inputs'!$G$41)</f>
        <v>1.6084372494752261</v>
      </c>
      <c r="AF27" s="235">
        <f>AE27*(1+'Active Inputs'!$G$41)</f>
        <v>1.6406059944647307</v>
      </c>
      <c r="AG27" s="235">
        <f>AF27*(1+'Active Inputs'!$G$41)</f>
        <v>1.6734181143540252</v>
      </c>
      <c r="AH27" s="235">
        <f>AG27*(1+'Active Inputs'!$G$41)</f>
        <v>1.7068864766411058</v>
      </c>
      <c r="AI27" s="235">
        <f>AH27*(1+'Active Inputs'!$G$41)</f>
        <v>1.7410242061739281</v>
      </c>
      <c r="AJ27" s="235">
        <f>AI27*(1+'Active Inputs'!$G$41)</f>
        <v>1.7758446902974065</v>
      </c>
    </row>
    <row r="28" spans="2:36" s="1" customFormat="1">
      <c r="B28" s="626" t="s">
        <v>305</v>
      </c>
      <c r="C28" s="626"/>
      <c r="D28" s="626"/>
      <c r="E28" s="627"/>
      <c r="F28" s="629"/>
      <c r="G28" s="630">
        <v>1</v>
      </c>
      <c r="H28" s="630">
        <f>G28*(1+'Active Inputs'!$W$14)</f>
        <v>1</v>
      </c>
      <c r="I28" s="630">
        <f>H28*(1+'Active Inputs'!$W$14)</f>
        <v>1</v>
      </c>
      <c r="J28" s="630">
        <f>I28*(1+'Active Inputs'!$W$14)</f>
        <v>1</v>
      </c>
      <c r="K28" s="630">
        <f>J28*(1+'Active Inputs'!$W$14)</f>
        <v>1</v>
      </c>
      <c r="L28" s="630">
        <f>K28*(1+'Active Inputs'!$W$14)</f>
        <v>1</v>
      </c>
      <c r="M28" s="630">
        <f>L28*(1+'Active Inputs'!$W$14)</f>
        <v>1</v>
      </c>
      <c r="N28" s="630">
        <f>M28*(1+'Active Inputs'!$W$14)</f>
        <v>1</v>
      </c>
      <c r="O28" s="630">
        <f>N28*(1+'Active Inputs'!$W$14)</f>
        <v>1</v>
      </c>
      <c r="P28" s="630">
        <f>O28*(1+'Active Inputs'!$W$14)</f>
        <v>1</v>
      </c>
      <c r="Q28" s="630">
        <f>P28*(1+'Active Inputs'!$W$14)</f>
        <v>1</v>
      </c>
      <c r="R28" s="630">
        <f>Q28*(1+'Active Inputs'!$W$14)</f>
        <v>1</v>
      </c>
      <c r="S28" s="630">
        <f>R28*(1+'Active Inputs'!$W$14)</f>
        <v>1</v>
      </c>
      <c r="T28" s="630">
        <f>S28*(1+'Active Inputs'!$W$14)</f>
        <v>1</v>
      </c>
      <c r="U28" s="630">
        <f>T28*(1+'Active Inputs'!$W$14)</f>
        <v>1</v>
      </c>
      <c r="V28" s="630">
        <f>U28*(1+'Active Inputs'!$W$14)</f>
        <v>1</v>
      </c>
      <c r="W28" s="630">
        <f>V28*(1+'Active Inputs'!$W$14)</f>
        <v>1</v>
      </c>
      <c r="X28" s="630">
        <f>W28*(1+'Active Inputs'!$W$14)</f>
        <v>1</v>
      </c>
      <c r="Y28" s="630">
        <f>X28*(1+'Active Inputs'!$W$14)</f>
        <v>1</v>
      </c>
      <c r="Z28" s="630">
        <f>Y28*(1+'Active Inputs'!$W$14)</f>
        <v>1</v>
      </c>
      <c r="AA28" s="630">
        <f>Z28*(1+'Active Inputs'!$W$14)</f>
        <v>1</v>
      </c>
      <c r="AB28" s="630">
        <f>AA28*(1+'Active Inputs'!$W$14)</f>
        <v>1</v>
      </c>
      <c r="AC28" s="630">
        <f>AB28*(1+'Active Inputs'!$W$14)</f>
        <v>1</v>
      </c>
      <c r="AD28" s="630">
        <f>AC28*(1+'Active Inputs'!$W$14)</f>
        <v>1</v>
      </c>
      <c r="AE28" s="630">
        <f>AD28*(1+'Active Inputs'!$W$14)</f>
        <v>1</v>
      </c>
      <c r="AF28" s="630">
        <f>AE28*(1+'Active Inputs'!$W$14)</f>
        <v>1</v>
      </c>
      <c r="AG28" s="630">
        <f>AF28*(1+'Active Inputs'!$W$14)</f>
        <v>1</v>
      </c>
      <c r="AH28" s="630">
        <f>AG28*(1+'Active Inputs'!$W$14)</f>
        <v>1</v>
      </c>
      <c r="AI28" s="630">
        <f>AH28*(1+'Active Inputs'!$W$14)</f>
        <v>1</v>
      </c>
      <c r="AJ28" s="630">
        <f>AI28*(1+'Active Inputs'!$W$14)</f>
        <v>1</v>
      </c>
    </row>
    <row r="29" spans="2:36" s="1" customFormat="1">
      <c r="B29" s="626" t="s">
        <v>45</v>
      </c>
      <c r="C29" s="626"/>
      <c r="D29" s="626"/>
      <c r="E29" s="627"/>
      <c r="F29" s="629"/>
      <c r="G29" s="630">
        <v>1</v>
      </c>
      <c r="H29" s="630">
        <f>G29*(1+'Active Inputs'!$W$15)</f>
        <v>1.02</v>
      </c>
      <c r="I29" s="630">
        <f>H29*(1+'Active Inputs'!$W$15)</f>
        <v>1.0404</v>
      </c>
      <c r="J29" s="630">
        <f>I29*(1+'Active Inputs'!$W$15)</f>
        <v>1.0612079999999999</v>
      </c>
      <c r="K29" s="630">
        <f>J29*(1+'Active Inputs'!$W$15)</f>
        <v>1.08243216</v>
      </c>
      <c r="L29" s="630">
        <f>K29*(1+'Active Inputs'!$W$15)</f>
        <v>1.1040808032</v>
      </c>
      <c r="M29" s="630">
        <f>L29*(1+'Active Inputs'!$W$15)</f>
        <v>1.1261624192640001</v>
      </c>
      <c r="N29" s="630">
        <f>M29*(1+'Active Inputs'!$W$15)</f>
        <v>1.14868566764928</v>
      </c>
      <c r="O29" s="630">
        <f>N29*(1+'Active Inputs'!$W$15)</f>
        <v>1.1716593810022657</v>
      </c>
      <c r="P29" s="630">
        <f>O29*(1+'Active Inputs'!$W$15)</f>
        <v>1.1950925686223111</v>
      </c>
      <c r="Q29" s="630">
        <f>P29*(1+'Active Inputs'!$W$15)</f>
        <v>1.2189944199947573</v>
      </c>
      <c r="R29" s="630">
        <f>Q29*(1+'Active Inputs'!$W$15)</f>
        <v>1.2433743083946525</v>
      </c>
      <c r="S29" s="630">
        <f>R29*(1+'Active Inputs'!$W$15)</f>
        <v>1.2682417945625455</v>
      </c>
      <c r="T29" s="630">
        <f>S29*(1+'Active Inputs'!$W$15)</f>
        <v>1.2936066304537963</v>
      </c>
      <c r="U29" s="630">
        <f>T29*(1+'Active Inputs'!$W$15)</f>
        <v>1.3194787630628724</v>
      </c>
      <c r="V29" s="630">
        <f>U29*(1+'Active Inputs'!$W$15)</f>
        <v>1.3458683383241299</v>
      </c>
      <c r="W29" s="630">
        <f>V29*(1+'Active Inputs'!$W$15)</f>
        <v>1.3727857050906125</v>
      </c>
      <c r="X29" s="630">
        <f>W29*(1+'Active Inputs'!$W$15)</f>
        <v>1.4002414191924248</v>
      </c>
      <c r="Y29" s="630">
        <f>X29*(1+'Active Inputs'!$W$15)</f>
        <v>1.4282462475762734</v>
      </c>
      <c r="Z29" s="630">
        <f>Y29*(1+'Active Inputs'!$W$15)</f>
        <v>1.4568111725277988</v>
      </c>
      <c r="AA29" s="630">
        <f>Z29*(1+'Active Inputs'!$W$15)</f>
        <v>1.4859473959783549</v>
      </c>
      <c r="AB29" s="630">
        <f>AA29*(1+'Active Inputs'!$W$15)</f>
        <v>1.5156663438979221</v>
      </c>
      <c r="AC29" s="630">
        <f>AB29*(1+'Active Inputs'!$W$15)</f>
        <v>1.5459796707758806</v>
      </c>
      <c r="AD29" s="630">
        <f>AC29*(1+'Active Inputs'!$W$15)</f>
        <v>1.5768992641913981</v>
      </c>
      <c r="AE29" s="630">
        <f>AD29*(1+'Active Inputs'!$W$15)</f>
        <v>1.6084372494752261</v>
      </c>
      <c r="AF29" s="630">
        <f>AE29*(1+'Active Inputs'!$W$15)</f>
        <v>1.6406059944647307</v>
      </c>
      <c r="AG29" s="630">
        <f>AF29*(1+'Active Inputs'!$W$15)</f>
        <v>1.6734181143540252</v>
      </c>
      <c r="AH29" s="630">
        <f>AG29*(1+'Active Inputs'!$W$15)</f>
        <v>1.7068864766411058</v>
      </c>
      <c r="AI29" s="630">
        <f>AH29*(1+'Active Inputs'!$W$15)</f>
        <v>1.7410242061739281</v>
      </c>
      <c r="AJ29" s="630">
        <f>AI29*(1+'Active Inputs'!$W$15)</f>
        <v>1.7758446902974065</v>
      </c>
    </row>
    <row r="30" spans="2:36" s="1" customFormat="1" ht="15.75">
      <c r="E30" s="55"/>
      <c r="F30" s="17"/>
      <c r="G30" s="65"/>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row>
    <row r="31" spans="2:36" s="1" customFormat="1">
      <c r="B31" s="1" t="s">
        <v>306</v>
      </c>
      <c r="E31" s="55" t="s">
        <v>47</v>
      </c>
      <c r="F31" s="17"/>
      <c r="G31" s="31">
        <f>-IF(G$2&gt;'Active Inputs'!$G$11,0,IF(G2&gt;'Active Inputs'!$Q$7,('Active Inputs'!$G$30-'Active Inputs'!$W$18)*'Active Inputs'!$G$7*G$26,'Active Inputs'!$G$30*'Active Inputs'!$G$7*G$26))</f>
        <v>-55000</v>
      </c>
      <c r="H31" s="31">
        <f>-IF(H$2&gt;'Active Inputs'!$G$11,0,IF(H2&gt;'Active Inputs'!$Q$7,('Active Inputs'!$G$30-'Active Inputs'!$W$18)*'Active Inputs'!$G$7*H$26,'Active Inputs'!$G$30*'Active Inputs'!$G$7*H$26))</f>
        <v>-56650</v>
      </c>
      <c r="I31" s="31">
        <f>-IF(I$2&gt;'Active Inputs'!$G$11,0,IF(I2&gt;'Active Inputs'!$Q$7,('Active Inputs'!$G$30-'Active Inputs'!$W$18)*'Active Inputs'!$G$7*I$26,'Active Inputs'!$G$30*'Active Inputs'!$G$7*I$26))</f>
        <v>-58349.5</v>
      </c>
      <c r="J31" s="31">
        <f>-IF(J$2&gt;'Active Inputs'!$G$11,0,IF(J2&gt;'Active Inputs'!$Q$7,('Active Inputs'!$G$30-'Active Inputs'!$W$18)*'Active Inputs'!$G$7*J$26,'Active Inputs'!$G$30*'Active Inputs'!$G$7*J$26))</f>
        <v>-60099.985000000001</v>
      </c>
      <c r="K31" s="31">
        <f>-IF(K$2&gt;'Active Inputs'!$G$11,0,IF(K2&gt;'Active Inputs'!$Q$7,('Active Inputs'!$G$30-'Active Inputs'!$W$18)*'Active Inputs'!$G$7*K$26,'Active Inputs'!$G$30*'Active Inputs'!$G$7*K$26))</f>
        <v>-61902.984550000008</v>
      </c>
      <c r="L31" s="31">
        <f>-IF(L$2&gt;'Active Inputs'!$G$11,0,IF(L2&gt;'Active Inputs'!$Q$7,('Active Inputs'!$G$30-'Active Inputs'!$W$18)*'Active Inputs'!$G$7*L$26,'Active Inputs'!$G$30*'Active Inputs'!$G$7*L$26))</f>
        <v>-63760.074086500004</v>
      </c>
      <c r="M31" s="31">
        <f>-IF(M$2&gt;'Active Inputs'!$G$11,0,IF(M2&gt;'Active Inputs'!$Q$7,('Active Inputs'!$G$30-'Active Inputs'!$W$18)*'Active Inputs'!$G$7*M$26,'Active Inputs'!$G$30*'Active Inputs'!$G$7*M$26))</f>
        <v>-65672.876309095009</v>
      </c>
      <c r="N31" s="31">
        <f>-IF(N$2&gt;'Active Inputs'!$G$11,0,IF(N2&gt;'Active Inputs'!$Q$7,('Active Inputs'!$G$30-'Active Inputs'!$W$18)*'Active Inputs'!$G$7*N$26,'Active Inputs'!$G$30*'Active Inputs'!$G$7*N$26))</f>
        <v>-67643.062598367862</v>
      </c>
      <c r="O31" s="31">
        <f>-IF(O$2&gt;'Active Inputs'!$G$11,0,IF(O2&gt;'Active Inputs'!$Q$7,('Active Inputs'!$G$30-'Active Inputs'!$W$18)*'Active Inputs'!$G$7*O$26,'Active Inputs'!$G$30*'Active Inputs'!$G$7*O$26))</f>
        <v>-69672.354476318898</v>
      </c>
      <c r="P31" s="31">
        <f>-IF(P$2&gt;'Active Inputs'!$G$11,0,IF(P2&gt;'Active Inputs'!$Q$7,('Active Inputs'!$G$30-'Active Inputs'!$W$18)*'Active Inputs'!$G$7*P$26,'Active Inputs'!$G$30*'Active Inputs'!$G$7*P$26))</f>
        <v>-71762.525110608476</v>
      </c>
      <c r="Q31" s="31">
        <f>-IF(Q$2&gt;'Active Inputs'!$G$11,0,IF(Q2&gt;'Active Inputs'!$Q$7,('Active Inputs'!$G$30-'Active Inputs'!$W$18)*'Active Inputs'!$G$7*Q$26,'Active Inputs'!$G$30*'Active Inputs'!$G$7*Q$26))</f>
        <v>-73915.400863926727</v>
      </c>
      <c r="R31" s="31">
        <f>-IF(R$2&gt;'Active Inputs'!$G$11,0,IF(R2&gt;'Active Inputs'!$Q$7,('Active Inputs'!$G$30-'Active Inputs'!$W$18)*'Active Inputs'!$G$7*R$26,'Active Inputs'!$G$30*'Active Inputs'!$G$7*R$26))</f>
        <v>-76132.862889844531</v>
      </c>
      <c r="S31" s="31">
        <f>-IF(S$2&gt;'Active Inputs'!$G$11,0,IF(S2&gt;'Active Inputs'!$Q$7,('Active Inputs'!$G$30-'Active Inputs'!$W$18)*'Active Inputs'!$G$7*S$26,'Active Inputs'!$G$30*'Active Inputs'!$G$7*S$26))</f>
        <v>-78416.84877653986</v>
      </c>
      <c r="T31" s="31">
        <f>-IF(T$2&gt;'Active Inputs'!$G$11,0,IF(T2&gt;'Active Inputs'!$Q$7,('Active Inputs'!$G$30-'Active Inputs'!$W$18)*'Active Inputs'!$G$7*T$26,'Active Inputs'!$G$30*'Active Inputs'!$G$7*T$26))</f>
        <v>-80769.354239836059</v>
      </c>
      <c r="U31" s="31">
        <f>-IF(U$2&gt;'Active Inputs'!$G$11,0,IF(U2&gt;'Active Inputs'!$Q$7,('Active Inputs'!$G$30-'Active Inputs'!$W$18)*'Active Inputs'!$G$7*U$26,'Active Inputs'!$G$30*'Active Inputs'!$G$7*U$26))</f>
        <v>-83192.434867031159</v>
      </c>
      <c r="V31" s="31">
        <f>-IF(V$2&gt;'Active Inputs'!$G$11,0,IF(V2&gt;'Active Inputs'!$Q$7,('Active Inputs'!$G$30-'Active Inputs'!$W$18)*'Active Inputs'!$G$7*V$26,'Active Inputs'!$G$30*'Active Inputs'!$G$7*V$26))</f>
        <v>-85688.20791304209</v>
      </c>
      <c r="W31" s="31">
        <f>-IF(W$2&gt;'Active Inputs'!$G$11,0,IF(W2&gt;'Active Inputs'!$Q$7,('Active Inputs'!$G$30-'Active Inputs'!$W$18)*'Active Inputs'!$G$7*W$26,'Active Inputs'!$G$30*'Active Inputs'!$G$7*W$26))</f>
        <v>-88258.854150433355</v>
      </c>
      <c r="X31" s="31">
        <f>-IF(X$2&gt;'Active Inputs'!$G$11,0,IF(X2&gt;'Active Inputs'!$Q$7,('Active Inputs'!$G$30-'Active Inputs'!$W$18)*'Active Inputs'!$G$7*X$26,'Active Inputs'!$G$30*'Active Inputs'!$G$7*X$26))</f>
        <v>-90906.619774946361</v>
      </c>
      <c r="Y31" s="31">
        <f>-IF(Y$2&gt;'Active Inputs'!$G$11,0,IF(Y2&gt;'Active Inputs'!$Q$7,('Active Inputs'!$G$30-'Active Inputs'!$W$18)*'Active Inputs'!$G$7*Y$26,'Active Inputs'!$G$30*'Active Inputs'!$G$7*Y$26))</f>
        <v>-93633.818368194756</v>
      </c>
      <c r="Z31" s="31">
        <f>-IF(Z$2&gt;'Active Inputs'!$G$11,0,IF(Z2&gt;'Active Inputs'!$Q$7,('Active Inputs'!$G$30-'Active Inputs'!$W$18)*'Active Inputs'!$G$7*Z$26,'Active Inputs'!$G$30*'Active Inputs'!$G$7*Z$26))</f>
        <v>-96442.832919240594</v>
      </c>
      <c r="AA31" s="31">
        <f>-IF(AA$2&gt;'Active Inputs'!$G$11,0,IF(AA2&gt;'Active Inputs'!$Q$7,('Active Inputs'!$G$30-'Active Inputs'!$W$18)*'Active Inputs'!$G$7*AA$26,'Active Inputs'!$G$30*'Active Inputs'!$G$7*AA$26))</f>
        <v>-99336.117906817832</v>
      </c>
      <c r="AB31" s="31">
        <f>-IF(AB$2&gt;'Active Inputs'!$G$11,0,IF(AB2&gt;'Active Inputs'!$Q$7,('Active Inputs'!$G$30-'Active Inputs'!$W$18)*'Active Inputs'!$G$7*AB$26,'Active Inputs'!$G$30*'Active Inputs'!$G$7*AB$26))</f>
        <v>-102316.20144402237</v>
      </c>
      <c r="AC31" s="31">
        <f>-IF(AC$2&gt;'Active Inputs'!$G$11,0,IF(AC2&gt;'Active Inputs'!$Q$7,('Active Inputs'!$G$30-'Active Inputs'!$W$18)*'Active Inputs'!$G$7*AC$26,'Active Inputs'!$G$30*'Active Inputs'!$G$7*AC$26))</f>
        <v>-105385.68748734305</v>
      </c>
      <c r="AD31" s="31">
        <f>-IF(AD$2&gt;'Active Inputs'!$G$11,0,IF(AD2&gt;'Active Inputs'!$Q$7,('Active Inputs'!$G$30-'Active Inputs'!$W$18)*'Active Inputs'!$G$7*AD$26,'Active Inputs'!$G$30*'Active Inputs'!$G$7*AD$26))</f>
        <v>-108547.25811196334</v>
      </c>
      <c r="AE31" s="31">
        <f>-IF(AE$2&gt;'Active Inputs'!$G$11,0,IF(AE2&gt;'Active Inputs'!$Q$7,('Active Inputs'!$G$30-'Active Inputs'!$W$18)*'Active Inputs'!$G$7*AE$26,'Active Inputs'!$G$30*'Active Inputs'!$G$7*AE$26))</f>
        <v>-111803.67585532225</v>
      </c>
      <c r="AF31" s="31">
        <f>-IF(AF$2&gt;'Active Inputs'!$G$11,0,IF(AF2&gt;'Active Inputs'!$Q$7,('Active Inputs'!$G$30-'Active Inputs'!$W$18)*'Active Inputs'!$G$7*AF$26,'Active Inputs'!$G$30*'Active Inputs'!$G$7*AF$26))</f>
        <v>-115157.78613098191</v>
      </c>
      <c r="AG31" s="31">
        <f>-IF(AG$2&gt;'Active Inputs'!$G$11,0,IF(AG2&gt;'Active Inputs'!$Q$7,('Active Inputs'!$G$30-'Active Inputs'!$W$18)*'Active Inputs'!$G$7*AG$26,'Active Inputs'!$G$30*'Active Inputs'!$G$7*AG$26))</f>
        <v>-118612.51971491138</v>
      </c>
      <c r="AH31" s="31">
        <f>-IF(AH$2&gt;'Active Inputs'!$G$11,0,IF(AH2&gt;'Active Inputs'!$Q$7,('Active Inputs'!$G$30-'Active Inputs'!$W$18)*'Active Inputs'!$G$7*AH$26,'Active Inputs'!$G$30*'Active Inputs'!$G$7*AH$26))</f>
        <v>-122170.89530635873</v>
      </c>
      <c r="AI31" s="31">
        <f>-IF(AI$2&gt;'Active Inputs'!$G$11,0,IF(AI2&gt;'Active Inputs'!$Q$7,('Active Inputs'!$G$30-'Active Inputs'!$W$18)*'Active Inputs'!$G$7*AI$26,'Active Inputs'!$G$30*'Active Inputs'!$G$7*AI$26))</f>
        <v>-125836.02216554948</v>
      </c>
      <c r="AJ31" s="31">
        <f>-IF(AJ$2&gt;'Active Inputs'!$G$11,0,IF(AJ2&gt;'Active Inputs'!$Q$7,('Active Inputs'!$G$30-'Active Inputs'!$W$18)*'Active Inputs'!$G$7*AJ$26,'Active Inputs'!$G$30*'Active Inputs'!$G$7*AJ$26))</f>
        <v>-129611.10283051597</v>
      </c>
    </row>
    <row r="32" spans="2:36" s="1" customFormat="1">
      <c r="B32" s="1" t="s">
        <v>307</v>
      </c>
      <c r="E32" s="55" t="s">
        <v>47</v>
      </c>
      <c r="G32" s="31">
        <f>-IF(G$2&gt;'Active Inputs'!$G$11,0,'Active Inputs'!$G$31/100*G$5*G$26)</f>
        <v>0</v>
      </c>
      <c r="H32" s="31">
        <f>-IF(H$2&gt;'Active Inputs'!$G$11,0,'Active Inputs'!$G$31/100*H$5*H$26)</f>
        <v>0</v>
      </c>
      <c r="I32" s="31">
        <f>-IF(I$2&gt;'Active Inputs'!$G$11,0,'Active Inputs'!$G$31/100*I$5*I$26)</f>
        <v>0</v>
      </c>
      <c r="J32" s="31">
        <f>-IF(J$2&gt;'Active Inputs'!$G$11,0,'Active Inputs'!$G$31/100*J$5*J$26)</f>
        <v>0</v>
      </c>
      <c r="K32" s="31">
        <f>-IF(K$2&gt;'Active Inputs'!$G$11,0,'Active Inputs'!$G$31/100*K$5*K$26)</f>
        <v>0</v>
      </c>
      <c r="L32" s="31">
        <f>-IF(L$2&gt;'Active Inputs'!$G$11,0,'Active Inputs'!$G$31/100*L$5*L$26)</f>
        <v>0</v>
      </c>
      <c r="M32" s="31">
        <f>-IF(M$2&gt;'Active Inputs'!$G$11,0,'Active Inputs'!$G$31/100*M$5*M$26)</f>
        <v>0</v>
      </c>
      <c r="N32" s="31">
        <f>-IF(N$2&gt;'Active Inputs'!$G$11,0,'Active Inputs'!$G$31/100*N$5*N$26)</f>
        <v>0</v>
      </c>
      <c r="O32" s="31">
        <f>-IF(O$2&gt;'Active Inputs'!$G$11,0,'Active Inputs'!$G$31/100*O$5*O$26)</f>
        <v>0</v>
      </c>
      <c r="P32" s="31">
        <f>-IF(P$2&gt;'Active Inputs'!$G$11,0,'Active Inputs'!$G$31/100*P$5*P$26)</f>
        <v>0</v>
      </c>
      <c r="Q32" s="31">
        <f>-IF(Q$2&gt;'Active Inputs'!$G$11,0,'Active Inputs'!$G$31/100*Q$5*Q$26)</f>
        <v>0</v>
      </c>
      <c r="R32" s="31">
        <f>-IF(R$2&gt;'Active Inputs'!$G$11,0,'Active Inputs'!$G$31/100*R$5*R$26)</f>
        <v>0</v>
      </c>
      <c r="S32" s="31">
        <f>-IF(S$2&gt;'Active Inputs'!$G$11,0,'Active Inputs'!$G$31/100*S$5*S$26)</f>
        <v>0</v>
      </c>
      <c r="T32" s="31">
        <f>-IF(T$2&gt;'Active Inputs'!$G$11,0,'Active Inputs'!$G$31/100*T$5*T$26)</f>
        <v>0</v>
      </c>
      <c r="U32" s="31">
        <f>-IF(U$2&gt;'Active Inputs'!$G$11,0,'Active Inputs'!$G$31/100*U$5*U$26)</f>
        <v>0</v>
      </c>
      <c r="V32" s="31">
        <f>-IF(V$2&gt;'Active Inputs'!$G$11,0,'Active Inputs'!$G$31/100*V$5*V$26)</f>
        <v>0</v>
      </c>
      <c r="W32" s="31">
        <f>-IF(W$2&gt;'Active Inputs'!$G$11,0,'Active Inputs'!$G$31/100*W$5*W$26)</f>
        <v>0</v>
      </c>
      <c r="X32" s="31">
        <f>-IF(X$2&gt;'Active Inputs'!$G$11,0,'Active Inputs'!$G$31/100*X$5*X$26)</f>
        <v>0</v>
      </c>
      <c r="Y32" s="31">
        <f>-IF(Y$2&gt;'Active Inputs'!$G$11,0,'Active Inputs'!$G$31/100*Y$5*Y$26)</f>
        <v>0</v>
      </c>
      <c r="Z32" s="31">
        <f>-IF(Z$2&gt;'Active Inputs'!$G$11,0,'Active Inputs'!$G$31/100*Z$5*Z$26)</f>
        <v>0</v>
      </c>
      <c r="AA32" s="31">
        <f>-IF(AA$2&gt;'Active Inputs'!$G$11,0,'Active Inputs'!$G$31/100*AA$5*AA$26)</f>
        <v>0</v>
      </c>
      <c r="AB32" s="31">
        <f>-IF(AB$2&gt;'Active Inputs'!$G$11,0,'Active Inputs'!$G$31/100*AB$5*AB$26)</f>
        <v>0</v>
      </c>
      <c r="AC32" s="31">
        <f>-IF(AC$2&gt;'Active Inputs'!$G$11,0,'Active Inputs'!$G$31/100*AC$5*AC$26)</f>
        <v>0</v>
      </c>
      <c r="AD32" s="31">
        <f>-IF(AD$2&gt;'Active Inputs'!$G$11,0,'Active Inputs'!$G$31/100*AD$5*AD$26)</f>
        <v>0</v>
      </c>
      <c r="AE32" s="31">
        <f>-IF(AE$2&gt;'Active Inputs'!$G$11,0,'Active Inputs'!$G$31/100*AE$5*AE$26)</f>
        <v>0</v>
      </c>
      <c r="AF32" s="31">
        <f>-IF(AF$2&gt;'Active Inputs'!$G$11,0,'Active Inputs'!$G$31/100*AF$5*AF$26)</f>
        <v>0</v>
      </c>
      <c r="AG32" s="31">
        <f>-IF(AG$2&gt;'Active Inputs'!$G$11,0,'Active Inputs'!$G$31/100*AG$5*AG$26)</f>
        <v>0</v>
      </c>
      <c r="AH32" s="31">
        <f>-IF(AH$2&gt;'Active Inputs'!$G$11,0,'Active Inputs'!$G$31/100*AH$5*AH$26)</f>
        <v>0</v>
      </c>
      <c r="AI32" s="31">
        <f>-IF(AI$2&gt;'Active Inputs'!$G$11,0,'Active Inputs'!$G$31/100*AI$5*AI$26)</f>
        <v>0</v>
      </c>
      <c r="AJ32" s="31">
        <f>-IF(AJ$2&gt;'Active Inputs'!$G$11,0,'Active Inputs'!$G$31/100*AJ$5*AJ$26)</f>
        <v>0</v>
      </c>
    </row>
    <row r="33" spans="2:36" s="1" customFormat="1">
      <c r="B33" s="1" t="s">
        <v>205</v>
      </c>
      <c r="E33" s="55" t="s">
        <v>47</v>
      </c>
      <c r="G33" s="31">
        <f>-IF('Active Inputs'!$G$29="simple",0,IF(G$2&gt;'Active Inputs'!$G$11,0,'Active Inputs'!$G$36*G$27))</f>
        <v>-70020.219027970728</v>
      </c>
      <c r="H33" s="31">
        <f>-IF('Active Inputs'!$G$29="simple",0,IF(H$2&gt;'Active Inputs'!$G$11,0,'Active Inputs'!$G$36*H$27))</f>
        <v>-71420.62340853014</v>
      </c>
      <c r="I33" s="31">
        <f>-IF('Active Inputs'!$G$29="simple",0,IF(I$2&gt;'Active Inputs'!$G$11,0,'Active Inputs'!$G$36*I$27))</f>
        <v>-72849.035876700742</v>
      </c>
      <c r="J33" s="31">
        <f>-IF('Active Inputs'!$G$29="simple",0,IF(J$2&gt;'Active Inputs'!$G$11,0,'Active Inputs'!$G$36*J$27))</f>
        <v>-74306.016594234752</v>
      </c>
      <c r="K33" s="31">
        <f>-IF('Active Inputs'!$G$29="simple",0,IF(K$2&gt;'Active Inputs'!$G$11,0,'Active Inputs'!$G$36*K$27))</f>
        <v>-75792.136926119449</v>
      </c>
      <c r="L33" s="31">
        <f>-IF('Active Inputs'!$G$29="simple",0,IF(L$2&gt;'Active Inputs'!$G$11,0,'Active Inputs'!$G$36*L$27))</f>
        <v>-77307.97966464184</v>
      </c>
      <c r="M33" s="31">
        <f>-IF('Active Inputs'!$G$29="simple",0,IF(M$2&gt;'Active Inputs'!$G$11,0,'Active Inputs'!$G$36*M$27))</f>
        <v>-78854.139257934687</v>
      </c>
      <c r="N33" s="31">
        <f>-IF('Active Inputs'!$G$29="simple",0,IF(N$2&gt;'Active Inputs'!$G$11,0,'Active Inputs'!$G$36*N$27))</f>
        <v>-80431.222043093381</v>
      </c>
      <c r="O33" s="31">
        <f>-IF('Active Inputs'!$G$29="simple",0,IF(O$2&gt;'Active Inputs'!$G$11,0,'Active Inputs'!$G$36*O$27))</f>
        <v>-82039.846483955247</v>
      </c>
      <c r="P33" s="31">
        <f>-IF('Active Inputs'!$G$29="simple",0,IF(P$2&gt;'Active Inputs'!$G$11,0,'Active Inputs'!$G$36*P$27))</f>
        <v>-83680.64341363436</v>
      </c>
      <c r="Q33" s="31">
        <f>-IF('Active Inputs'!$G$29="simple",0,IF(Q$2&gt;'Active Inputs'!$G$11,0,'Active Inputs'!$G$36*Q$27))</f>
        <v>-85354.256281907044</v>
      </c>
      <c r="R33" s="31">
        <f>-IF('Active Inputs'!$G$29="simple",0,IF(R$2&gt;'Active Inputs'!$G$11,0,'Active Inputs'!$G$36*R$27))</f>
        <v>-87061.341407545187</v>
      </c>
      <c r="S33" s="31">
        <f>-IF('Active Inputs'!$G$29="simple",0,IF(S$2&gt;'Active Inputs'!$G$11,0,'Active Inputs'!$G$36*S$27))</f>
        <v>-88802.56823569609</v>
      </c>
      <c r="T33" s="31">
        <f>-IF('Active Inputs'!$G$29="simple",0,IF(T$2&gt;'Active Inputs'!$G$11,0,'Active Inputs'!$G$36*T$27))</f>
        <v>-90578.619600410006</v>
      </c>
      <c r="U33" s="31">
        <f>-IF('Active Inputs'!$G$29="simple",0,IF(U$2&gt;'Active Inputs'!$G$11,0,'Active Inputs'!$G$36*U$27))</f>
        <v>-92390.191992418215</v>
      </c>
      <c r="V33" s="31">
        <f>-IF('Active Inputs'!$G$29="simple",0,IF(V$2&gt;'Active Inputs'!$G$11,0,'Active Inputs'!$G$36*V$27))</f>
        <v>-94237.995832266592</v>
      </c>
      <c r="W33" s="31">
        <f>-IF('Active Inputs'!$G$29="simple",0,IF(W$2&gt;'Active Inputs'!$G$11,0,'Active Inputs'!$G$36*W$27))</f>
        <v>-96122.755748911921</v>
      </c>
      <c r="X33" s="31">
        <f>-IF('Active Inputs'!$G$29="simple",0,IF(X$2&gt;'Active Inputs'!$G$11,0,'Active Inputs'!$G$36*X$27))</f>
        <v>-98045.21086389017</v>
      </c>
      <c r="Y33" s="31">
        <f>-IF('Active Inputs'!$G$29="simple",0,IF(Y$2&gt;'Active Inputs'!$G$11,0,'Active Inputs'!$G$36*Y$27))</f>
        <v>-100006.11508116797</v>
      </c>
      <c r="Z33" s="31">
        <f>-IF('Active Inputs'!$G$29="simple",0,IF(Z$2&gt;'Active Inputs'!$G$11,0,'Active Inputs'!$G$36*Z$27))</f>
        <v>-102006.23738279133</v>
      </c>
      <c r="AA33" s="31">
        <f>-IF('Active Inputs'!$G$29="simple",0,IF(AA$2&gt;'Active Inputs'!$G$11,0,'Active Inputs'!$G$36*AA$27))</f>
        <v>-104046.36213044716</v>
      </c>
      <c r="AB33" s="31">
        <f>-IF('Active Inputs'!$G$29="simple",0,IF(AB$2&gt;'Active Inputs'!$G$11,0,'Active Inputs'!$G$36*AB$27))</f>
        <v>-106127.2893730561</v>
      </c>
      <c r="AC33" s="31">
        <f>-IF('Active Inputs'!$G$29="simple",0,IF(AC$2&gt;'Active Inputs'!$G$11,0,'Active Inputs'!$G$36*AC$27))</f>
        <v>-108249.83516051724</v>
      </c>
      <c r="AD33" s="31">
        <f>-IF('Active Inputs'!$G$29="simple",0,IF(AD$2&gt;'Active Inputs'!$G$11,0,'Active Inputs'!$G$36*AD$27))</f>
        <v>-110414.83186372758</v>
      </c>
      <c r="AE33" s="31">
        <f>-IF('Active Inputs'!$G$29="simple",0,IF(AE$2&gt;'Active Inputs'!$G$11,0,'Active Inputs'!$G$36*AE$27))</f>
        <v>-112623.12850100214</v>
      </c>
      <c r="AF33" s="31">
        <f>-IF('Active Inputs'!$G$29="simple",0,IF(AF$2&gt;'Active Inputs'!$G$11,0,'Active Inputs'!$G$36*AF$27))</f>
        <v>-114875.59107102218</v>
      </c>
      <c r="AG33" s="31">
        <f>-IF('Active Inputs'!$G$29="simple",0,IF(AG$2&gt;'Active Inputs'!$G$11,0,'Active Inputs'!$G$36*AG$27))</f>
        <v>-117173.10289244261</v>
      </c>
      <c r="AH33" s="31">
        <f>-IF('Active Inputs'!$G$29="simple",0,IF(AH$2&gt;'Active Inputs'!$G$11,0,'Active Inputs'!$G$36*AH$27))</f>
        <v>-119516.56495029147</v>
      </c>
      <c r="AI33" s="31">
        <f>-IF('Active Inputs'!$G$29="simple",0,IF(AI$2&gt;'Active Inputs'!$G$11,0,'Active Inputs'!$G$36*AI$27))</f>
        <v>-121906.89624929731</v>
      </c>
      <c r="AJ33" s="31">
        <f>-IF('Active Inputs'!$G$29="simple",0,IF(AJ$2&gt;'Active Inputs'!$G$11,0,'Active Inputs'!$G$36*AJ$27))</f>
        <v>-124345.03417428325</v>
      </c>
    </row>
    <row r="34" spans="2:36" s="1" customFormat="1">
      <c r="B34" s="1" t="s">
        <v>308</v>
      </c>
      <c r="E34" s="55" t="s">
        <v>47</v>
      </c>
      <c r="G34" s="31">
        <f>-IF('Active Inputs'!$G$29="simple",0,IF(G$2&gt;'Active Inputs'!$G$11,0,'Active Inputs'!$G$37*G$27))</f>
        <v>-20000</v>
      </c>
      <c r="H34" s="31">
        <f>-IF('Active Inputs'!$G$29="simple",0,IF(H$2&gt;'Active Inputs'!$G$11,0,'Active Inputs'!$G$37*H$27))</f>
        <v>-20400</v>
      </c>
      <c r="I34" s="31">
        <f>-IF('Active Inputs'!$G$29="simple",0,IF(I$2&gt;'Active Inputs'!$G$11,0,'Active Inputs'!$G$37*I$27))</f>
        <v>-20808</v>
      </c>
      <c r="J34" s="31">
        <f>-IF('Active Inputs'!$G$29="simple",0,IF(J$2&gt;'Active Inputs'!$G$11,0,'Active Inputs'!$G$37*J$27))</f>
        <v>-21224.16</v>
      </c>
      <c r="K34" s="31">
        <f>-IF('Active Inputs'!$G$29="simple",0,IF(K$2&gt;'Active Inputs'!$G$11,0,'Active Inputs'!$G$37*K$27))</f>
        <v>-21648.643199999999</v>
      </c>
      <c r="L34" s="31">
        <f>-IF('Active Inputs'!$G$29="simple",0,IF(L$2&gt;'Active Inputs'!$G$11,0,'Active Inputs'!$G$37*L$27))</f>
        <v>-22081.616064000002</v>
      </c>
      <c r="M34" s="31">
        <f>-IF('Active Inputs'!$G$29="simple",0,IF(M$2&gt;'Active Inputs'!$G$11,0,'Active Inputs'!$G$37*M$27))</f>
        <v>-22523.24838528</v>
      </c>
      <c r="N34" s="31">
        <f>-IF('Active Inputs'!$G$29="simple",0,IF(N$2&gt;'Active Inputs'!$G$11,0,'Active Inputs'!$G$37*N$27))</f>
        <v>-22973.7133529856</v>
      </c>
      <c r="O34" s="31">
        <f>-IF('Active Inputs'!$G$29="simple",0,IF(O$2&gt;'Active Inputs'!$G$11,0,'Active Inputs'!$G$37*O$27))</f>
        <v>-23433.187620045315</v>
      </c>
      <c r="P34" s="31">
        <f>-IF('Active Inputs'!$G$29="simple",0,IF(P$2&gt;'Active Inputs'!$G$11,0,'Active Inputs'!$G$37*P$27))</f>
        <v>-23901.851372446221</v>
      </c>
      <c r="Q34" s="31">
        <f>-IF('Active Inputs'!$G$29="simple",0,IF(Q$2&gt;'Active Inputs'!$G$11,0,'Active Inputs'!$G$37*Q$27))</f>
        <v>-24379.888399895146</v>
      </c>
      <c r="R34" s="31">
        <f>-IF('Active Inputs'!$G$29="simple",0,IF(R$2&gt;'Active Inputs'!$G$11,0,'Active Inputs'!$G$37*R$27))</f>
        <v>-24867.48616789305</v>
      </c>
      <c r="S34" s="31">
        <f>-IF('Active Inputs'!$G$29="simple",0,IF(S$2&gt;'Active Inputs'!$G$11,0,'Active Inputs'!$G$37*S$27))</f>
        <v>-25364.83589125091</v>
      </c>
      <c r="T34" s="31">
        <f>-IF('Active Inputs'!$G$29="simple",0,IF(T$2&gt;'Active Inputs'!$G$11,0,'Active Inputs'!$G$37*T$27))</f>
        <v>-25872.132609075925</v>
      </c>
      <c r="U34" s="31">
        <f>-IF('Active Inputs'!$G$29="simple",0,IF(U$2&gt;'Active Inputs'!$G$11,0,'Active Inputs'!$G$37*U$27))</f>
        <v>-26389.575261257447</v>
      </c>
      <c r="V34" s="31">
        <f>-IF('Active Inputs'!$G$29="simple",0,IF(V$2&gt;'Active Inputs'!$G$11,0,'Active Inputs'!$G$37*V$27))</f>
        <v>-26917.366766482599</v>
      </c>
      <c r="W34" s="31">
        <f>-IF('Active Inputs'!$G$29="simple",0,IF(W$2&gt;'Active Inputs'!$G$11,0,'Active Inputs'!$G$37*W$27))</f>
        <v>-27455.714101812249</v>
      </c>
      <c r="X34" s="31">
        <f>-IF('Active Inputs'!$G$29="simple",0,IF(X$2&gt;'Active Inputs'!$G$11,0,'Active Inputs'!$G$37*X$27))</f>
        <v>-28004.828383848497</v>
      </c>
      <c r="Y34" s="31">
        <f>-IF('Active Inputs'!$G$29="simple",0,IF(Y$2&gt;'Active Inputs'!$G$11,0,'Active Inputs'!$G$37*Y$27))</f>
        <v>-28564.924951525467</v>
      </c>
      <c r="Z34" s="31">
        <f>-IF('Active Inputs'!$G$29="simple",0,IF(Z$2&gt;'Active Inputs'!$G$11,0,'Active Inputs'!$G$37*Z$27))</f>
        <v>-29136.223450555975</v>
      </c>
      <c r="AA34" s="31">
        <f>-IF('Active Inputs'!$G$29="simple",0,IF(AA$2&gt;'Active Inputs'!$G$11,0,'Active Inputs'!$G$37*AA$27))</f>
        <v>-29718.947919567097</v>
      </c>
      <c r="AB34" s="31">
        <f>-IF('Active Inputs'!$G$29="simple",0,IF(AB$2&gt;'Active Inputs'!$G$11,0,'Active Inputs'!$G$37*AB$27))</f>
        <v>-30313.326877958443</v>
      </c>
      <c r="AC34" s="31">
        <f>-IF('Active Inputs'!$G$29="simple",0,IF(AC$2&gt;'Active Inputs'!$G$11,0,'Active Inputs'!$G$37*AC$27))</f>
        <v>-30919.593415517611</v>
      </c>
      <c r="AD34" s="31">
        <f>-IF('Active Inputs'!$G$29="simple",0,IF(AD$2&gt;'Active Inputs'!$G$11,0,'Active Inputs'!$G$37*AD$27))</f>
        <v>-31537.985283827962</v>
      </c>
      <c r="AE34" s="31">
        <f>-IF('Active Inputs'!$G$29="simple",0,IF(AE$2&gt;'Active Inputs'!$G$11,0,'Active Inputs'!$G$37*AE$27))</f>
        <v>-32168.744989504525</v>
      </c>
      <c r="AF34" s="31">
        <f>-IF('Active Inputs'!$G$29="simple",0,IF(AF$2&gt;'Active Inputs'!$G$11,0,'Active Inputs'!$G$37*AF$27))</f>
        <v>-32812.119889294612</v>
      </c>
      <c r="AG34" s="31">
        <f>-IF('Active Inputs'!$G$29="simple",0,IF(AG$2&gt;'Active Inputs'!$G$11,0,'Active Inputs'!$G$37*AG$27))</f>
        <v>-33468.362287080505</v>
      </c>
      <c r="AH34" s="31">
        <f>-IF('Active Inputs'!$G$29="simple",0,IF(AH$2&gt;'Active Inputs'!$G$11,0,'Active Inputs'!$G$37*AH$27))</f>
        <v>-34137.729532822115</v>
      </c>
      <c r="AI34" s="31">
        <f>-IF('Active Inputs'!$G$29="simple",0,IF(AI$2&gt;'Active Inputs'!$G$11,0,'Active Inputs'!$G$37*AI$27))</f>
        <v>-34820.484123478564</v>
      </c>
      <c r="AJ34" s="31">
        <f>-IF('Active Inputs'!$G$29="simple",0,IF(AJ$2&gt;'Active Inputs'!$G$11,0,'Active Inputs'!$G$37*AJ$27))</f>
        <v>-35516.89380594813</v>
      </c>
    </row>
    <row r="35" spans="2:36" s="1" customFormat="1">
      <c r="B35" s="626" t="s">
        <v>309</v>
      </c>
      <c r="C35" s="626"/>
      <c r="D35" s="626"/>
      <c r="E35" s="627" t="s">
        <v>47</v>
      </c>
      <c r="F35" s="626"/>
      <c r="G35" s="628">
        <f>IF('Active Inputs'!$G$29="simple",0,IF(G$2&gt;'Active Inputs'!$G$11,0,-('Active Inputs'!$G$7*(IF('Active Inputs'!$W$8="Solar",0.85,1)*'Active Inputs'!$G$38*'Cash Flow'!G$28))))</f>
        <v>-21250</v>
      </c>
      <c r="H35" s="628">
        <f>IF('Active Inputs'!$G$29="simple",0,IF(H$2&gt;'Active Inputs'!$G$11,0,-('Active Inputs'!$G$7*(IF('Active Inputs'!$W$8="Solar",0.85,1)*'Active Inputs'!$G$38*'Cash Flow'!H$28))))</f>
        <v>-21250</v>
      </c>
      <c r="I35" s="628">
        <f>IF('Active Inputs'!$G$29="simple",0,IF(I$2&gt;'Active Inputs'!$G$11,0,-('Active Inputs'!$G$7*(IF('Active Inputs'!$W$8="Solar",0.85,1)*'Active Inputs'!$G$38*'Cash Flow'!I$28))))</f>
        <v>-21250</v>
      </c>
      <c r="J35" s="628">
        <f>IF('Active Inputs'!$G$29="simple",0,IF(J$2&gt;'Active Inputs'!$G$11,0,-('Active Inputs'!$G$7*(IF('Active Inputs'!$W$8="Solar",0.85,1)*'Active Inputs'!$G$38*'Cash Flow'!J$28))))</f>
        <v>-21250</v>
      </c>
      <c r="K35" s="628">
        <f>IF('Active Inputs'!$G$29="simple",0,IF(K$2&gt;'Active Inputs'!$G$11,0,-('Active Inputs'!$G$7*(IF('Active Inputs'!$W$8="Solar",0.85,1)*'Active Inputs'!$G$38*'Cash Flow'!K$28))))</f>
        <v>-21250</v>
      </c>
      <c r="L35" s="628">
        <f>IF('Active Inputs'!$G$29="simple",0,IF(L$2&gt;'Active Inputs'!$G$11,0,-('Active Inputs'!$G$7*(IF('Active Inputs'!$W$8="Solar",0.85,1)*'Active Inputs'!$G$38*'Cash Flow'!L$28))))</f>
        <v>-21250</v>
      </c>
      <c r="M35" s="628">
        <f>IF('Active Inputs'!$G$29="simple",0,IF(M$2&gt;'Active Inputs'!$G$11,0,-('Active Inputs'!$G$7*(IF('Active Inputs'!$W$8="Solar",0.85,1)*'Active Inputs'!$G$38*'Cash Flow'!M$28))))</f>
        <v>-21250</v>
      </c>
      <c r="N35" s="628">
        <f>IF('Active Inputs'!$G$29="simple",0,IF(N$2&gt;'Active Inputs'!$G$11,0,-('Active Inputs'!$G$7*(IF('Active Inputs'!$W$8="Solar",0.85,1)*'Active Inputs'!$G$38*'Cash Flow'!N$28))))</f>
        <v>-21250</v>
      </c>
      <c r="O35" s="628">
        <f>IF('Active Inputs'!$G$29="simple",0,IF(O$2&gt;'Active Inputs'!$G$11,0,-('Active Inputs'!$G$7*(IF('Active Inputs'!$W$8="Solar",0.85,1)*'Active Inputs'!$G$38*'Cash Flow'!O$28))))</f>
        <v>-21250</v>
      </c>
      <c r="P35" s="628">
        <f>IF('Active Inputs'!$G$29="simple",0,IF(P$2&gt;'Active Inputs'!$G$11,0,-('Active Inputs'!$G$7*(IF('Active Inputs'!$W$8="Solar",0.85,1)*'Active Inputs'!$G$38*'Cash Flow'!P$28))))</f>
        <v>-21250</v>
      </c>
      <c r="Q35" s="628">
        <f>IF('Active Inputs'!$G$29="simple",0,IF(Q$2&gt;'Active Inputs'!$G$11,0,-('Active Inputs'!$G$7*(IF('Active Inputs'!$W$8="Solar",0.85,1)*'Active Inputs'!$G$38*'Cash Flow'!Q$28))))</f>
        <v>-21250</v>
      </c>
      <c r="R35" s="628">
        <f>IF('Active Inputs'!$G$29="simple",0,IF(R$2&gt;'Active Inputs'!$G$11,0,-('Active Inputs'!$G$7*(IF('Active Inputs'!$W$8="Solar",0.85,1)*'Active Inputs'!$G$38*'Cash Flow'!R$28))))</f>
        <v>-21250</v>
      </c>
      <c r="S35" s="628">
        <f>IF('Active Inputs'!$G$29="simple",0,IF(S$2&gt;'Active Inputs'!$G$11,0,-('Active Inputs'!$G$7*(IF('Active Inputs'!$W$8="Solar",0.85,1)*'Active Inputs'!$G$38*'Cash Flow'!S$28))))</f>
        <v>-21250</v>
      </c>
      <c r="T35" s="628">
        <f>IF('Active Inputs'!$G$29="simple",0,IF(T$2&gt;'Active Inputs'!$G$11,0,-('Active Inputs'!$G$7*(IF('Active Inputs'!$W$8="Solar",0.85,1)*'Active Inputs'!$G$38*'Cash Flow'!T$28))))</f>
        <v>-21250</v>
      </c>
      <c r="U35" s="628">
        <f>IF('Active Inputs'!$G$29="simple",0,IF(U$2&gt;'Active Inputs'!$G$11,0,-('Active Inputs'!$G$7*(IF('Active Inputs'!$W$8="Solar",0.85,1)*'Active Inputs'!$G$38*'Cash Flow'!U$28))))</f>
        <v>-21250</v>
      </c>
      <c r="V35" s="628">
        <f>IF('Active Inputs'!$G$29="simple",0,IF(V$2&gt;'Active Inputs'!$G$11,0,-('Active Inputs'!$G$7*(IF('Active Inputs'!$W$8="Solar",0.85,1)*'Active Inputs'!$G$38*'Cash Flow'!V$28))))</f>
        <v>-21250</v>
      </c>
      <c r="W35" s="628">
        <f>IF('Active Inputs'!$G$29="simple",0,IF(W$2&gt;'Active Inputs'!$G$11,0,-('Active Inputs'!$G$7*(IF('Active Inputs'!$W$8="Solar",0.85,1)*'Active Inputs'!$G$38*'Cash Flow'!W$28))))</f>
        <v>-21250</v>
      </c>
      <c r="X35" s="628">
        <f>IF('Active Inputs'!$G$29="simple",0,IF(X$2&gt;'Active Inputs'!$G$11,0,-('Active Inputs'!$G$7*(IF('Active Inputs'!$W$8="Solar",0.85,1)*'Active Inputs'!$G$38*'Cash Flow'!X$28))))</f>
        <v>-21250</v>
      </c>
      <c r="Y35" s="628">
        <f>IF('Active Inputs'!$G$29="simple",0,IF(Y$2&gt;'Active Inputs'!$G$11,0,-('Active Inputs'!$G$7*(IF('Active Inputs'!$W$8="Solar",0.85,1)*'Active Inputs'!$G$38*'Cash Flow'!Y$28))))</f>
        <v>-21250</v>
      </c>
      <c r="Z35" s="628">
        <f>IF('Active Inputs'!$G$29="simple",0,IF(Z$2&gt;'Active Inputs'!$G$11,0,-('Active Inputs'!$G$7*(IF('Active Inputs'!$W$8="Solar",0.85,1)*'Active Inputs'!$G$38*'Cash Flow'!Z$28))))</f>
        <v>-21250</v>
      </c>
      <c r="AA35" s="628">
        <f>IF('Active Inputs'!$G$29="simple",0,IF(AA$2&gt;'Active Inputs'!$G$11,0,-('Active Inputs'!$G$7*(IF('Active Inputs'!$W$8="Solar",0.85,1)*'Active Inputs'!$G$38*'Cash Flow'!AA$28))))</f>
        <v>-21250</v>
      </c>
      <c r="AB35" s="628">
        <f>IF('Active Inputs'!$G$29="simple",0,IF(AB$2&gt;'Active Inputs'!$G$11,0,-('Active Inputs'!$G$7*(IF('Active Inputs'!$W$8="Solar",0.85,1)*'Active Inputs'!$G$38*'Cash Flow'!AB$28))))</f>
        <v>-21250</v>
      </c>
      <c r="AC35" s="628">
        <f>IF('Active Inputs'!$G$29="simple",0,IF(AC$2&gt;'Active Inputs'!$G$11,0,-('Active Inputs'!$G$7*(IF('Active Inputs'!$W$8="Solar",0.85,1)*'Active Inputs'!$G$38*'Cash Flow'!AC$28))))</f>
        <v>-21250</v>
      </c>
      <c r="AD35" s="628">
        <f>IF('Active Inputs'!$G$29="simple",0,IF(AD$2&gt;'Active Inputs'!$G$11,0,-('Active Inputs'!$G$7*(IF('Active Inputs'!$W$8="Solar",0.85,1)*'Active Inputs'!$G$38*'Cash Flow'!AD$28))))</f>
        <v>-21250</v>
      </c>
      <c r="AE35" s="628">
        <f>IF('Active Inputs'!$G$29="simple",0,IF(AE$2&gt;'Active Inputs'!$G$11,0,-('Active Inputs'!$G$7*(IF('Active Inputs'!$W$8="Solar",0.85,1)*'Active Inputs'!$G$38*'Cash Flow'!AE$28))))</f>
        <v>-21250</v>
      </c>
      <c r="AF35" s="628">
        <f>IF('Active Inputs'!$G$29="simple",0,IF(AF$2&gt;'Active Inputs'!$G$11,0,-('Active Inputs'!$G$7*(IF('Active Inputs'!$W$8="Solar",0.85,1)*'Active Inputs'!$G$38*'Cash Flow'!AF$28))))</f>
        <v>-21250</v>
      </c>
      <c r="AG35" s="628">
        <f>IF('Active Inputs'!$G$29="simple",0,IF(AG$2&gt;'Active Inputs'!$G$11,0,-('Active Inputs'!$G$7*(IF('Active Inputs'!$W$8="Solar",0.85,1)*'Active Inputs'!$G$38*'Cash Flow'!AG$28))))</f>
        <v>-21250</v>
      </c>
      <c r="AH35" s="628">
        <f>IF('Active Inputs'!$G$29="simple",0,IF(AH$2&gt;'Active Inputs'!$G$11,0,-('Active Inputs'!$G$7*(IF('Active Inputs'!$W$8="Solar",0.85,1)*'Active Inputs'!$G$38*'Cash Flow'!AH$28))))</f>
        <v>-21250</v>
      </c>
      <c r="AI35" s="628">
        <f>IF('Active Inputs'!$G$29="simple",0,IF(AI$2&gt;'Active Inputs'!$G$11,0,-('Active Inputs'!$G$7*(IF('Active Inputs'!$W$8="Solar",0.85,1)*'Active Inputs'!$G$38*'Cash Flow'!AI$28))))</f>
        <v>-21250</v>
      </c>
      <c r="AJ35" s="628">
        <f>IF('Active Inputs'!$G$29="simple",0,IF(AJ$2&gt;'Active Inputs'!$G$11,0,-('Active Inputs'!$G$7*(IF('Active Inputs'!$W$8="Solar",0.85,1)*'Active Inputs'!$G$38*'Cash Flow'!AJ$28))))</f>
        <v>-21250</v>
      </c>
    </row>
    <row r="36" spans="2:36" s="1" customFormat="1">
      <c r="B36" s="1" t="s">
        <v>100</v>
      </c>
      <c r="E36" s="55" t="s">
        <v>47</v>
      </c>
      <c r="G36" s="31">
        <f>IF('Active Inputs'!$G$29="simple",0,IF(G$2&gt;'Active Inputs'!$G$11,0,-'Active Inputs'!$G$40*G$29))</f>
        <v>-160701</v>
      </c>
      <c r="H36" s="31">
        <f>IF('Active Inputs'!$G$29="simple",0,IF(H$2&gt;'Active Inputs'!$G$11,0,-'Active Inputs'!$G$40*H$29))</f>
        <v>-163915.01999999999</v>
      </c>
      <c r="I36" s="31">
        <f>IF('Active Inputs'!$G$29="simple",0,IF(I$2&gt;'Active Inputs'!$G$11,0,-'Active Inputs'!$G$40*I$29))</f>
        <v>-167193.3204</v>
      </c>
      <c r="J36" s="31">
        <f>IF('Active Inputs'!$G$29="simple",0,IF(J$2&gt;'Active Inputs'!$G$11,0,-'Active Inputs'!$G$40*J$29))</f>
        <v>-170537.186808</v>
      </c>
      <c r="K36" s="31">
        <f>IF('Active Inputs'!$G$29="simple",0,IF(K$2&gt;'Active Inputs'!$G$11,0,-'Active Inputs'!$G$40*K$29))</f>
        <v>-173947.93054415999</v>
      </c>
      <c r="L36" s="31">
        <f>IF('Active Inputs'!$G$29="simple",0,IF(L$2&gt;'Active Inputs'!$G$11,0,-'Active Inputs'!$G$40*L$29))</f>
        <v>-177426.8891550432</v>
      </c>
      <c r="M36" s="31">
        <f>IF('Active Inputs'!$G$29="simple",0,IF(M$2&gt;'Active Inputs'!$G$11,0,-'Active Inputs'!$G$40*M$29))</f>
        <v>-180975.42693814408</v>
      </c>
      <c r="N36" s="31">
        <f>IF('Active Inputs'!$G$29="simple",0,IF(N$2&gt;'Active Inputs'!$G$11,0,-'Active Inputs'!$G$40*N$29))</f>
        <v>-184594.93547690695</v>
      </c>
      <c r="O36" s="31">
        <f>IF('Active Inputs'!$G$29="simple",0,IF(O$2&gt;'Active Inputs'!$G$11,0,-'Active Inputs'!$G$40*O$29))</f>
        <v>-188286.83418644511</v>
      </c>
      <c r="P36" s="31">
        <f>IF('Active Inputs'!$G$29="simple",0,IF(P$2&gt;'Active Inputs'!$G$11,0,-'Active Inputs'!$G$40*P$29))</f>
        <v>-192052.57087017401</v>
      </c>
      <c r="Q36" s="31">
        <f>IF('Active Inputs'!$G$29="simple",0,IF(Q$2&gt;'Active Inputs'!$G$11,0,-'Active Inputs'!$G$40*Q$29))</f>
        <v>-195893.62228757748</v>
      </c>
      <c r="R36" s="31">
        <f>IF('Active Inputs'!$G$29="simple",0,IF(R$2&gt;'Active Inputs'!$G$11,0,-'Active Inputs'!$G$40*R$29))</f>
        <v>-199811.49473332905</v>
      </c>
      <c r="S36" s="31">
        <f>IF('Active Inputs'!$G$29="simple",0,IF(S$2&gt;'Active Inputs'!$G$11,0,-'Active Inputs'!$G$40*S$29))</f>
        <v>-203807.72462799563</v>
      </c>
      <c r="T36" s="31">
        <f>IF('Active Inputs'!$G$29="simple",0,IF(T$2&gt;'Active Inputs'!$G$11,0,-'Active Inputs'!$G$40*T$29))</f>
        <v>-207883.87912055553</v>
      </c>
      <c r="U36" s="31">
        <f>IF('Active Inputs'!$G$29="simple",0,IF(U$2&gt;'Active Inputs'!$G$11,0,-'Active Inputs'!$G$40*U$29))</f>
        <v>-212041.55670296666</v>
      </c>
      <c r="V36" s="31">
        <f>IF('Active Inputs'!$G$29="simple",0,IF(V$2&gt;'Active Inputs'!$G$11,0,-'Active Inputs'!$G$40*V$29))</f>
        <v>-216282.38783702601</v>
      </c>
      <c r="W36" s="31">
        <f>IF('Active Inputs'!$G$29="simple",0,IF(W$2&gt;'Active Inputs'!$G$11,0,-'Active Inputs'!$G$40*W$29))</f>
        <v>-220608.03559376652</v>
      </c>
      <c r="X36" s="31">
        <f>IF('Active Inputs'!$G$29="simple",0,IF(X$2&gt;'Active Inputs'!$G$11,0,-'Active Inputs'!$G$40*X$29))</f>
        <v>-225020.19630564188</v>
      </c>
      <c r="Y36" s="31">
        <f>IF('Active Inputs'!$G$29="simple",0,IF(Y$2&gt;'Active Inputs'!$G$11,0,-'Active Inputs'!$G$40*Y$29))</f>
        <v>-229520.60023175471</v>
      </c>
      <c r="Z36" s="31">
        <f>IF('Active Inputs'!$G$29="simple",0,IF(Z$2&gt;'Active Inputs'!$G$11,0,-'Active Inputs'!$G$40*Z$29))</f>
        <v>-234111.0122363898</v>
      </c>
      <c r="AA36" s="31">
        <f>IF('Active Inputs'!$G$29="simple",0,IF(AA$2&gt;'Active Inputs'!$G$11,0,-'Active Inputs'!$G$40*AA$29))</f>
        <v>-238793.23248111762</v>
      </c>
      <c r="AB36" s="31">
        <f>IF('Active Inputs'!$G$29="simple",0,IF(AB$2&gt;'Active Inputs'!$G$11,0,-'Active Inputs'!$G$40*AB$29))</f>
        <v>-243569.09713073997</v>
      </c>
      <c r="AC36" s="31">
        <f>IF('Active Inputs'!$G$29="simple",0,IF(AC$2&gt;'Active Inputs'!$G$11,0,-'Active Inputs'!$G$40*AC$29))</f>
        <v>-248440.4790733548</v>
      </c>
      <c r="AD36" s="31">
        <f>IF('Active Inputs'!$G$29="simple",0,IF(AD$2&gt;'Active Inputs'!$G$11,0,-'Active Inputs'!$G$40*AD$29))</f>
        <v>-253409.28865482187</v>
      </c>
      <c r="AE36" s="31">
        <f>IF('Active Inputs'!$G$29="simple",0,IF(AE$2&gt;'Active Inputs'!$G$11,0,-'Active Inputs'!$G$40*AE$29))</f>
        <v>-258477.47442791832</v>
      </c>
      <c r="AF36" s="31">
        <f>IF('Active Inputs'!$G$29="simple",0,IF(AF$2&gt;'Active Inputs'!$G$11,0,-'Active Inputs'!$G$40*AF$29))</f>
        <v>-263647.0239164767</v>
      </c>
      <c r="AG36" s="31">
        <f>IF('Active Inputs'!$G$29="simple",0,IF(AG$2&gt;'Active Inputs'!$G$11,0,-'Active Inputs'!$G$40*AG$29))</f>
        <v>-268919.96439480619</v>
      </c>
      <c r="AH36" s="31">
        <f>IF('Active Inputs'!$G$29="simple",0,IF(AH$2&gt;'Active Inputs'!$G$11,0,-'Active Inputs'!$G$40*AH$29))</f>
        <v>-274298.36368270236</v>
      </c>
      <c r="AI36" s="31">
        <f>IF('Active Inputs'!$G$29="simple",0,IF(AI$2&gt;'Active Inputs'!$G$11,0,-'Active Inputs'!$G$40*AI$29))</f>
        <v>-279784.33095635643</v>
      </c>
      <c r="AJ36" s="31">
        <f>IF('Active Inputs'!$G$29="simple",0,IF(AJ$2&gt;'Active Inputs'!$G$11,0,-'Active Inputs'!$G$40*AJ$29))</f>
        <v>-285380.01757548354</v>
      </c>
    </row>
    <row r="37" spans="2:36" s="1" customFormat="1">
      <c r="B37" s="623" t="s">
        <v>310</v>
      </c>
      <c r="C37" s="623"/>
      <c r="D37" s="623"/>
      <c r="E37" s="624" t="s">
        <v>47</v>
      </c>
      <c r="F37" s="623"/>
      <c r="G37" s="625">
        <f>-IF('Active Inputs'!$G$29="simple",0,IF(G$2&gt;'Active Inputs'!$G$11,0,'Active Inputs'!$W$12*('Active Inputs'!$W$11*'Active Inputs'!$G$7)))</f>
        <v>-2000</v>
      </c>
      <c r="H37" s="625">
        <f>-IF('Active Inputs'!$G$29="simple",0,IF(H$2&gt;'Active Inputs'!$G$11,0,'Active Inputs'!$W$12*('Active Inputs'!$W$11*'Active Inputs'!$G$7)))</f>
        <v>-2000</v>
      </c>
      <c r="I37" s="625">
        <f>-IF('Active Inputs'!$G$29="simple",0,IF(I$2&gt;'Active Inputs'!$G$11,0,'Active Inputs'!$W$12*('Active Inputs'!$W$11*'Active Inputs'!$G$7)))</f>
        <v>-2000</v>
      </c>
      <c r="J37" s="625">
        <f>-IF('Active Inputs'!$G$29="simple",0,IF(J$2&gt;'Active Inputs'!$G$11,0,'Active Inputs'!$W$12*('Active Inputs'!$W$11*'Active Inputs'!$G$7)))</f>
        <v>-2000</v>
      </c>
      <c r="K37" s="625">
        <f>-IF('Active Inputs'!$G$29="simple",0,IF(K$2&gt;'Active Inputs'!$G$11,0,'Active Inputs'!$W$12*('Active Inputs'!$W$11*'Active Inputs'!$G$7)))</f>
        <v>-2000</v>
      </c>
      <c r="L37" s="625">
        <f>-IF('Active Inputs'!$G$29="simple",0,IF(L$2&gt;'Active Inputs'!$G$11,0,'Active Inputs'!$W$12*('Active Inputs'!$W$11*'Active Inputs'!$G$7)))</f>
        <v>-2000</v>
      </c>
      <c r="M37" s="625">
        <f>-IF('Active Inputs'!$G$29="simple",0,IF(M$2&gt;'Active Inputs'!$G$11,0,'Active Inputs'!$W$12*('Active Inputs'!$W$11*'Active Inputs'!$G$7)))</f>
        <v>-2000</v>
      </c>
      <c r="N37" s="625">
        <f>-IF('Active Inputs'!$G$29="simple",0,IF(N$2&gt;'Active Inputs'!$G$11,0,'Active Inputs'!$W$12*('Active Inputs'!$W$11*'Active Inputs'!$G$7)))</f>
        <v>-2000</v>
      </c>
      <c r="O37" s="625">
        <f>-IF('Active Inputs'!$G$29="simple",0,IF(O$2&gt;'Active Inputs'!$G$11,0,'Active Inputs'!$W$12*('Active Inputs'!$W$11*'Active Inputs'!$G$7)))</f>
        <v>-2000</v>
      </c>
      <c r="P37" s="625">
        <f>-IF('Active Inputs'!$G$29="simple",0,IF(P$2&gt;'Active Inputs'!$G$11,0,'Active Inputs'!$W$12*('Active Inputs'!$W$11*'Active Inputs'!$G$7)))</f>
        <v>-2000</v>
      </c>
      <c r="Q37" s="625">
        <f>-IF('Active Inputs'!$G$29="simple",0,IF(Q$2&gt;'Active Inputs'!$G$11,0,'Active Inputs'!$W$12*('Active Inputs'!$W$11*'Active Inputs'!$G$7)))</f>
        <v>-2000</v>
      </c>
      <c r="R37" s="625">
        <f>-IF('Active Inputs'!$G$29="simple",0,IF(R$2&gt;'Active Inputs'!$G$11,0,'Active Inputs'!$W$12*('Active Inputs'!$W$11*'Active Inputs'!$G$7)))</f>
        <v>-2000</v>
      </c>
      <c r="S37" s="625">
        <f>-IF('Active Inputs'!$G$29="simple",0,IF(S$2&gt;'Active Inputs'!$G$11,0,'Active Inputs'!$W$12*('Active Inputs'!$W$11*'Active Inputs'!$G$7)))</f>
        <v>-2000</v>
      </c>
      <c r="T37" s="625">
        <f>-IF('Active Inputs'!$G$29="simple",0,IF(T$2&gt;'Active Inputs'!$G$11,0,'Active Inputs'!$W$12*('Active Inputs'!$W$11*'Active Inputs'!$G$7)))</f>
        <v>-2000</v>
      </c>
      <c r="U37" s="625">
        <f>-IF('Active Inputs'!$G$29="simple",0,IF(U$2&gt;'Active Inputs'!$G$11,0,'Active Inputs'!$W$12*('Active Inputs'!$W$11*'Active Inputs'!$G$7)))</f>
        <v>-2000</v>
      </c>
      <c r="V37" s="625">
        <f>-IF('Active Inputs'!$G$29="simple",0,IF(V$2&gt;'Active Inputs'!$G$11,0,'Active Inputs'!$W$12*('Active Inputs'!$W$11*'Active Inputs'!$G$7)))</f>
        <v>-2000</v>
      </c>
      <c r="W37" s="625">
        <f>-IF('Active Inputs'!$G$29="simple",0,IF(W$2&gt;'Active Inputs'!$G$11,0,'Active Inputs'!$W$12*('Active Inputs'!$W$11*'Active Inputs'!$G$7)))</f>
        <v>-2000</v>
      </c>
      <c r="X37" s="625">
        <f>-IF('Active Inputs'!$G$29="simple",0,IF(X$2&gt;'Active Inputs'!$G$11,0,'Active Inputs'!$W$12*('Active Inputs'!$W$11*'Active Inputs'!$G$7)))</f>
        <v>-2000</v>
      </c>
      <c r="Y37" s="625">
        <f>-IF('Active Inputs'!$G$29="simple",0,IF(Y$2&gt;'Active Inputs'!$G$11,0,'Active Inputs'!$W$12*('Active Inputs'!$W$11*'Active Inputs'!$G$7)))</f>
        <v>-2000</v>
      </c>
      <c r="Z37" s="625">
        <f>-IF('Active Inputs'!$G$29="simple",0,IF(Z$2&gt;'Active Inputs'!$G$11,0,'Active Inputs'!$W$12*('Active Inputs'!$W$11*'Active Inputs'!$G$7)))</f>
        <v>-2000</v>
      </c>
      <c r="AA37" s="625">
        <f>-IF('Active Inputs'!$G$29="simple",0,IF(AA$2&gt;'Active Inputs'!$G$11,0,'Active Inputs'!$W$12*('Active Inputs'!$W$11*'Active Inputs'!$G$7)))</f>
        <v>-2000</v>
      </c>
      <c r="AB37" s="625">
        <f>-IF('Active Inputs'!$G$29="simple",0,IF(AB$2&gt;'Active Inputs'!$G$11,0,'Active Inputs'!$W$12*('Active Inputs'!$W$11*'Active Inputs'!$G$7)))</f>
        <v>-2000</v>
      </c>
      <c r="AC37" s="625">
        <f>-IF('Active Inputs'!$G$29="simple",0,IF(AC$2&gt;'Active Inputs'!$G$11,0,'Active Inputs'!$W$12*('Active Inputs'!$W$11*'Active Inputs'!$G$7)))</f>
        <v>-2000</v>
      </c>
      <c r="AD37" s="625">
        <f>-IF('Active Inputs'!$G$29="simple",0,IF(AD$2&gt;'Active Inputs'!$G$11,0,'Active Inputs'!$W$12*('Active Inputs'!$W$11*'Active Inputs'!$G$7)))</f>
        <v>-2000</v>
      </c>
      <c r="AE37" s="625">
        <f>-IF('Active Inputs'!$G$29="simple",0,IF(AE$2&gt;'Active Inputs'!$G$11,0,'Active Inputs'!$W$12*('Active Inputs'!$W$11*'Active Inputs'!$G$7)))</f>
        <v>-2000</v>
      </c>
      <c r="AF37" s="625">
        <f>-IF('Active Inputs'!$G$29="simple",0,IF(AF$2&gt;'Active Inputs'!$G$11,0,'Active Inputs'!$W$12*('Active Inputs'!$W$11*'Active Inputs'!$G$7)))</f>
        <v>-2000</v>
      </c>
      <c r="AG37" s="625">
        <f>-IF('Active Inputs'!$G$29="simple",0,IF(AG$2&gt;'Active Inputs'!$G$11,0,'Active Inputs'!$W$12*('Active Inputs'!$W$11*'Active Inputs'!$G$7)))</f>
        <v>-2000</v>
      </c>
      <c r="AH37" s="625">
        <f>-IF('Active Inputs'!$G$29="simple",0,IF(AH$2&gt;'Active Inputs'!$G$11,0,'Active Inputs'!$W$12*('Active Inputs'!$W$11*'Active Inputs'!$G$7)))</f>
        <v>-2000</v>
      </c>
      <c r="AI37" s="625">
        <f>-IF('Active Inputs'!$G$29="simple",0,IF(AI$2&gt;'Active Inputs'!$G$11,0,'Active Inputs'!$W$12*('Active Inputs'!$W$11*'Active Inputs'!$G$7)))</f>
        <v>-2000</v>
      </c>
      <c r="AJ37" s="625">
        <f>-IF('Active Inputs'!$G$29="simple",0,IF(AJ$2&gt;'Active Inputs'!$G$11,0,'Active Inputs'!$W$12*('Active Inputs'!$W$11*'Active Inputs'!$G$7)))</f>
        <v>-2000</v>
      </c>
    </row>
    <row r="38" spans="2:36" s="1" customFormat="1" ht="15.75">
      <c r="B38" s="26" t="s">
        <v>311</v>
      </c>
      <c r="C38" s="26"/>
      <c r="D38" s="26"/>
      <c r="E38" s="59" t="s">
        <v>47</v>
      </c>
      <c r="F38" s="26"/>
      <c r="G38" s="33">
        <f>SUM(G31:G37)</f>
        <v>-328971.21902797074</v>
      </c>
      <c r="H38" s="33">
        <f t="shared" ref="H38:AJ38" si="7">SUM(H31:H37)</f>
        <v>-335635.64340853016</v>
      </c>
      <c r="I38" s="33">
        <f t="shared" si="7"/>
        <v>-342449.85627670074</v>
      </c>
      <c r="J38" s="33">
        <f t="shared" si="7"/>
        <v>-349417.34840223473</v>
      </c>
      <c r="K38" s="33">
        <f t="shared" si="7"/>
        <v>-356541.69522027939</v>
      </c>
      <c r="L38" s="33">
        <f t="shared" si="7"/>
        <v>-363826.55897018505</v>
      </c>
      <c r="M38" s="33">
        <f t="shared" si="7"/>
        <v>-371275.69089045376</v>
      </c>
      <c r="N38" s="33">
        <f t="shared" si="7"/>
        <v>-378892.93347135378</v>
      </c>
      <c r="O38" s="33">
        <f t="shared" si="7"/>
        <v>-386682.22276676458</v>
      </c>
      <c r="P38" s="33">
        <f t="shared" si="7"/>
        <v>-394647.59076686308</v>
      </c>
      <c r="Q38" s="33">
        <f t="shared" si="7"/>
        <v>-402793.16783330636</v>
      </c>
      <c r="R38" s="33">
        <f t="shared" si="7"/>
        <v>-411123.18519861181</v>
      </c>
      <c r="S38" s="33">
        <f t="shared" si="7"/>
        <v>-419641.97753148247</v>
      </c>
      <c r="T38" s="33">
        <f t="shared" si="7"/>
        <v>-428353.98556987755</v>
      </c>
      <c r="U38" s="33">
        <f t="shared" si="7"/>
        <v>-437263.75882367347</v>
      </c>
      <c r="V38" s="33">
        <f t="shared" si="7"/>
        <v>-446375.95834881731</v>
      </c>
      <c r="W38" s="33">
        <f t="shared" si="7"/>
        <v>-455695.35959492403</v>
      </c>
      <c r="X38" s="33">
        <f t="shared" si="7"/>
        <v>-465226.85532832693</v>
      </c>
      <c r="Y38" s="33">
        <f t="shared" si="7"/>
        <v>-474975.45863264287</v>
      </c>
      <c r="Z38" s="33">
        <f t="shared" si="7"/>
        <v>-484946.30598897772</v>
      </c>
      <c r="AA38" s="33">
        <f t="shared" si="7"/>
        <v>-495144.6604379497</v>
      </c>
      <c r="AB38" s="33">
        <f t="shared" si="7"/>
        <v>-505575.91482577688</v>
      </c>
      <c r="AC38" s="33">
        <f t="shared" si="7"/>
        <v>-516245.59513673274</v>
      </c>
      <c r="AD38" s="33">
        <f t="shared" si="7"/>
        <v>-527159.36391434073</v>
      </c>
      <c r="AE38" s="33">
        <f t="shared" si="7"/>
        <v>-538323.02377374726</v>
      </c>
      <c r="AF38" s="33">
        <f t="shared" si="7"/>
        <v>-549742.52100777533</v>
      </c>
      <c r="AG38" s="33">
        <f t="shared" si="7"/>
        <v>-561423.94928924064</v>
      </c>
      <c r="AH38" s="33">
        <f t="shared" si="7"/>
        <v>-573373.55347217468</v>
      </c>
      <c r="AI38" s="33">
        <f t="shared" si="7"/>
        <v>-585597.73349468177</v>
      </c>
      <c r="AJ38" s="33">
        <f t="shared" si="7"/>
        <v>-598103.04838623083</v>
      </c>
    </row>
    <row r="39" spans="2:36" s="1" customFormat="1" ht="15.75">
      <c r="B39" s="26"/>
      <c r="C39" s="26"/>
      <c r="D39" s="26"/>
      <c r="E39" s="59"/>
      <c r="F39" s="26"/>
      <c r="G39" s="33">
        <f>IF(G38=0,"",G38)</f>
        <v>-328971.21902797074</v>
      </c>
      <c r="H39" s="33">
        <f t="shared" ref="H39:AJ39" si="8">IF(H38=0,"",H38)</f>
        <v>-335635.64340853016</v>
      </c>
      <c r="I39" s="33">
        <f t="shared" si="8"/>
        <v>-342449.85627670074</v>
      </c>
      <c r="J39" s="33">
        <f t="shared" si="8"/>
        <v>-349417.34840223473</v>
      </c>
      <c r="K39" s="33">
        <f t="shared" si="8"/>
        <v>-356541.69522027939</v>
      </c>
      <c r="L39" s="33">
        <f t="shared" si="8"/>
        <v>-363826.55897018505</v>
      </c>
      <c r="M39" s="33">
        <f t="shared" si="8"/>
        <v>-371275.69089045376</v>
      </c>
      <c r="N39" s="33">
        <f t="shared" si="8"/>
        <v>-378892.93347135378</v>
      </c>
      <c r="O39" s="33">
        <f t="shared" si="8"/>
        <v>-386682.22276676458</v>
      </c>
      <c r="P39" s="33">
        <f t="shared" si="8"/>
        <v>-394647.59076686308</v>
      </c>
      <c r="Q39" s="33">
        <f t="shared" si="8"/>
        <v>-402793.16783330636</v>
      </c>
      <c r="R39" s="33">
        <f t="shared" si="8"/>
        <v>-411123.18519861181</v>
      </c>
      <c r="S39" s="33">
        <f t="shared" si="8"/>
        <v>-419641.97753148247</v>
      </c>
      <c r="T39" s="33">
        <f t="shared" si="8"/>
        <v>-428353.98556987755</v>
      </c>
      <c r="U39" s="33">
        <f t="shared" si="8"/>
        <v>-437263.75882367347</v>
      </c>
      <c r="V39" s="33">
        <f t="shared" si="8"/>
        <v>-446375.95834881731</v>
      </c>
      <c r="W39" s="33">
        <f t="shared" si="8"/>
        <v>-455695.35959492403</v>
      </c>
      <c r="X39" s="33">
        <f t="shared" si="8"/>
        <v>-465226.85532832693</v>
      </c>
      <c r="Y39" s="33">
        <f t="shared" si="8"/>
        <v>-474975.45863264287</v>
      </c>
      <c r="Z39" s="33">
        <f t="shared" si="8"/>
        <v>-484946.30598897772</v>
      </c>
      <c r="AA39" s="33">
        <f t="shared" si="8"/>
        <v>-495144.6604379497</v>
      </c>
      <c r="AB39" s="33">
        <f t="shared" si="8"/>
        <v>-505575.91482577688</v>
      </c>
      <c r="AC39" s="33">
        <f t="shared" si="8"/>
        <v>-516245.59513673274</v>
      </c>
      <c r="AD39" s="33">
        <f t="shared" si="8"/>
        <v>-527159.36391434073</v>
      </c>
      <c r="AE39" s="33">
        <f t="shared" si="8"/>
        <v>-538323.02377374726</v>
      </c>
      <c r="AF39" s="33">
        <f t="shared" si="8"/>
        <v>-549742.52100777533</v>
      </c>
      <c r="AG39" s="33">
        <f t="shared" si="8"/>
        <v>-561423.94928924064</v>
      </c>
      <c r="AH39" s="33">
        <f t="shared" si="8"/>
        <v>-573373.55347217468</v>
      </c>
      <c r="AI39" s="33">
        <f t="shared" si="8"/>
        <v>-585597.73349468177</v>
      </c>
      <c r="AJ39" s="33">
        <f t="shared" si="8"/>
        <v>-598103.04838623083</v>
      </c>
    </row>
    <row r="40" spans="2:36" s="1" customFormat="1">
      <c r="B40" s="34" t="s">
        <v>312</v>
      </c>
      <c r="C40" s="34"/>
      <c r="D40" s="34"/>
      <c r="E40" s="55" t="s">
        <v>39</v>
      </c>
      <c r="F40" s="34"/>
      <c r="G40" s="61">
        <f>IF(G$2&gt;'Active Inputs'!$G$11,0,G38*100/G5)</f>
        <v>-4.9740122021828714</v>
      </c>
      <c r="H40" s="61">
        <f>IF(H$2&gt;'Active Inputs'!$G$11,0,H38*100/H5)</f>
        <v>-5.1002790329604739</v>
      </c>
      <c r="I40" s="61">
        <f>IF(I$2&gt;'Active Inputs'!$G$11,0,I38*100/I5)</f>
        <v>-5.2299768798607609</v>
      </c>
      <c r="J40" s="61">
        <f>IF(J$2&gt;'Active Inputs'!$G$11,0,J38*100/J5)</f>
        <v>-5.3632021122665652</v>
      </c>
      <c r="K40" s="61">
        <f>IF(K$2&gt;'Active Inputs'!$G$11,0,K38*100/K5)</f>
        <v>-5.5000538837724724</v>
      </c>
      <c r="L40" s="61">
        <f>IF(L$2&gt;'Active Inputs'!$G$11,0,L38*100/L5)</f>
        <v>-5.6406342149312181</v>
      </c>
      <c r="M40" s="61">
        <f>IF(M$2&gt;'Active Inputs'!$G$11,0,M38*100/M5)</f>
        <v>-5.785048078529206</v>
      </c>
      <c r="N40" s="61">
        <f>IF(N$2&gt;'Active Inputs'!$G$11,0,N38*100/N5)</f>
        <v>-5.9334034874705655</v>
      </c>
      <c r="O40" s="61">
        <f>IF(O$2&gt;'Active Inputs'!$G$11,0,O38*100/O5)</f>
        <v>-6.0858115853516326</v>
      </c>
      <c r="P40" s="61">
        <f>IF(P$2&gt;'Active Inputs'!$G$11,0,P38*100/P5)</f>
        <v>-6.2423867398104544</v>
      </c>
      <c r="Q40" s="61">
        <f>IF(Q$2&gt;'Active Inputs'!$G$11,0,Q38*100/Q5)</f>
        <v>-6.4032466387385929</v>
      </c>
      <c r="R40" s="61">
        <f>IF(R$2&gt;'Active Inputs'!$G$11,0,R38*100/R5)</f>
        <v>-6.5685123894453188</v>
      </c>
      <c r="S40" s="61">
        <f>IF(S$2&gt;'Active Inputs'!$G$11,0,S38*100/S5)</f>
        <v>-6.7383086208671967</v>
      </c>
      <c r="T40" s="61">
        <f>IF(T$2&gt;'Active Inputs'!$G$11,0,T38*100/T5)</f>
        <v>-6.9127635889190957</v>
      </c>
      <c r="U40" s="61">
        <f>IF(U$2&gt;'Active Inputs'!$G$11,0,U38*100/U5)</f>
        <v>-7.0920092850856493</v>
      </c>
      <c r="V40" s="61">
        <f>IF(V$2&gt;'Active Inputs'!$G$11,0,V38*100/V5)</f>
        <v>-7.2761815483555514</v>
      </c>
      <c r="W40" s="61">
        <f>IF(W$2&gt;'Active Inputs'!$G$11,0,W38*100/W5)</f>
        <v>-7.4654201806042044</v>
      </c>
      <c r="X40" s="61">
        <f>IF(X$2&gt;'Active Inputs'!$G$11,0,X38*100/X5)</f>
        <v>-7.6598690655338162</v>
      </c>
      <c r="Y40" s="61">
        <f>IF(Y$2&gt;'Active Inputs'!$G$11,0,Y38*100/Y5)</f>
        <v>-7.8596762912833924</v>
      </c>
      <c r="Z40" s="61">
        <f>IF(Z$2&gt;'Active Inputs'!$G$11,0,Z38*100/Z5)</f>
        <v>-8.0649942768249119</v>
      </c>
      <c r="AA40" s="61">
        <f>IF(AA$2&gt;'Active Inputs'!$G$11,0,AA38*100/AA5)</f>
        <v>-8.2759799022655347</v>
      </c>
      <c r="AB40" s="61">
        <f>IF(AB$2&gt;'Active Inputs'!$G$11,0,AB38*100/AB5)</f>
        <v>-8.4927946431797459</v>
      </c>
      <c r="AC40" s="61">
        <f>IF(AC$2&gt;'Active Inputs'!$G$11,0,AC38*100/AC5)</f>
        <v>-8.7156047090992406</v>
      </c>
      <c r="AD40" s="61">
        <f>IF(AD$2&gt;'Active Inputs'!$G$11,0,AD38*100/AD5)</f>
        <v>-8.9445811862925506</v>
      </c>
      <c r="AE40" s="61">
        <f>IF(AE$2&gt;'Active Inputs'!$G$11,0,AE38*100/AE5)</f>
        <v>-9.1799001849707285</v>
      </c>
      <c r="AF40" s="61">
        <f>IF(AF$2&gt;'Active Inputs'!$G$11,0,AF38*100/AF5)</f>
        <v>-9.4217429910597303</v>
      </c>
      <c r="AG40" s="61">
        <f>IF(AG$2&gt;'Active Inputs'!$G$11,0,AG38*100/AG5)</f>
        <v>-9.6702962226848364</v>
      </c>
      <c r="AH40" s="61">
        <f>IF(AH$2&gt;'Active Inputs'!$G$11,0,AH38*100/AH5)</f>
        <v>-9.9257519915170889</v>
      </c>
      <c r="AI40" s="61">
        <f>IF(AI$2&gt;'Active Inputs'!$G$11,0,AI38*100/AI5)</f>
        <v>-10.188308069136596</v>
      </c>
      <c r="AJ40" s="61">
        <f>IF(AJ$2&gt;'Active Inputs'!$G$11,0,AJ38*100/AJ5)</f>
        <v>-10.458168058572726</v>
      </c>
    </row>
    <row r="41" spans="2:36" s="1" customFormat="1">
      <c r="E41" s="55"/>
      <c r="G41" s="589"/>
      <c r="H41" s="589"/>
      <c r="I41" s="589"/>
      <c r="J41" s="589"/>
      <c r="K41" s="589"/>
      <c r="L41" s="589"/>
      <c r="M41" s="589"/>
    </row>
    <row r="42" spans="2:36" s="1" customFormat="1" ht="15.75">
      <c r="B42" s="26" t="s">
        <v>313</v>
      </c>
      <c r="C42" s="26"/>
      <c r="D42" s="26"/>
      <c r="E42" s="55" t="s">
        <v>47</v>
      </c>
      <c r="G42" s="33">
        <f>G23+G38</f>
        <v>904502.48097202997</v>
      </c>
      <c r="H42" s="33">
        <f t="shared" ref="H42:AJ42" si="9">H23+H38</f>
        <v>891775.68809147039</v>
      </c>
      <c r="I42" s="33">
        <f t="shared" si="9"/>
        <v>879034.94356579985</v>
      </c>
      <c r="J42" s="33">
        <f t="shared" si="9"/>
        <v>866171.60244105337</v>
      </c>
      <c r="K42" s="33">
        <f t="shared" si="9"/>
        <v>853181.93586879235</v>
      </c>
      <c r="L42" s="33">
        <f t="shared" si="9"/>
        <v>840062.12896344159</v>
      </c>
      <c r="M42" s="33">
        <f t="shared" si="9"/>
        <v>826808.27860350441</v>
      </c>
      <c r="N42" s="33">
        <f t="shared" si="9"/>
        <v>813416.39117513481</v>
      </c>
      <c r="O42" s="33">
        <f t="shared" si="9"/>
        <v>799882.38025649136</v>
      </c>
      <c r="P42" s="33">
        <f t="shared" si="9"/>
        <v>786202.0642412767</v>
      </c>
      <c r="Q42" s="33">
        <f t="shared" si="9"/>
        <v>772371.16389979259</v>
      </c>
      <c r="R42" s="33">
        <f t="shared" si="9"/>
        <v>757230.29987582169</v>
      </c>
      <c r="S42" s="33">
        <f t="shared" si="9"/>
        <v>741824.99011757877</v>
      </c>
      <c r="T42" s="33">
        <f t="shared" si="9"/>
        <v>727305.64724093839</v>
      </c>
      <c r="U42" s="33">
        <f t="shared" si="9"/>
        <v>712617.57582308841</v>
      </c>
      <c r="V42" s="33">
        <f t="shared" si="9"/>
        <v>697755.96962471085</v>
      </c>
      <c r="W42" s="33">
        <f t="shared" si="9"/>
        <v>682715.90873873641</v>
      </c>
      <c r="X42" s="33">
        <f t="shared" si="9"/>
        <v>667492.35666366515</v>
      </c>
      <c r="Y42" s="33">
        <f t="shared" si="9"/>
        <v>652080.15729938913</v>
      </c>
      <c r="Z42" s="33">
        <f t="shared" si="9"/>
        <v>636474.03186339419</v>
      </c>
      <c r="AA42" s="33">
        <f t="shared" si="9"/>
        <v>655919.08356262371</v>
      </c>
      <c r="AB42" s="33">
        <f t="shared" si="9"/>
        <v>665805.59244156489</v>
      </c>
      <c r="AC42" s="33">
        <f t="shared" si="9"/>
        <v>675029.64020103705</v>
      </c>
      <c r="AD42" s="33">
        <f t="shared" si="9"/>
        <v>684212.77443751181</v>
      </c>
      <c r="AE42" s="33">
        <f t="shared" si="9"/>
        <v>693668.3216091434</v>
      </c>
      <c r="AF42" s="33">
        <f t="shared" si="9"/>
        <v>703170.08594576549</v>
      </c>
      <c r="AG42" s="33">
        <f t="shared" si="9"/>
        <v>708413.86818287242</v>
      </c>
      <c r="AH42" s="33">
        <f t="shared" si="9"/>
        <v>690115.07491257798</v>
      </c>
      <c r="AI42" s="33">
        <f t="shared" si="9"/>
        <v>671573.45174814714</v>
      </c>
      <c r="AJ42" s="33">
        <f t="shared" si="9"/>
        <v>652782.28093038383</v>
      </c>
    </row>
    <row r="43" spans="2:36" s="1" customFormat="1" ht="15.75">
      <c r="B43" s="26"/>
      <c r="C43" s="26"/>
      <c r="D43" s="26"/>
      <c r="E43" s="55" t="s">
        <v>314</v>
      </c>
      <c r="F43" s="55" t="s">
        <v>315</v>
      </c>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row>
    <row r="44" spans="2:36" s="1" customFormat="1">
      <c r="B44" s="34" t="s">
        <v>316</v>
      </c>
      <c r="C44" s="34"/>
      <c r="D44" s="34"/>
      <c r="E44" s="35">
        <f>IF(OR('Active Inputs'!$G$50=0,'Active Inputs'!$G$50=""),"N/A",AVERAGE(G44:AJ44))</f>
        <v>1.2640552288900675</v>
      </c>
      <c r="F44" s="35">
        <f>IF(OR('Active Inputs'!$G$50=0,'Active Inputs'!$G$50=""),"N/A",MIN(G44:AJ44))</f>
        <v>1.1196971601451491</v>
      </c>
      <c r="G44" s="35">
        <f>IF(OR('Active Inputs'!$G$50=0,'Active Inputs'!$G$50=""),"N/A",IF(G$2&gt;'Active Inputs'!$G$51,"N/A",(G42+SUM(G50:G51))/-G91))</f>
        <v>1.4211954541239797</v>
      </c>
      <c r="H44" s="35">
        <f>IF(OR('Active Inputs'!$G$50=0,'Active Inputs'!$G$50=""),"N/A",IF(H$2&gt;'Active Inputs'!$G$51,"N/A",(H42+SUM(H50:H51))/-H91))</f>
        <v>1.3847004603012361</v>
      </c>
      <c r="I44" s="35">
        <f>IF(OR('Active Inputs'!$G$50=0,'Active Inputs'!$G$50=""),"N/A",IF(I$2&gt;'Active Inputs'!$G$51,"N/A",(I42+SUM(I50:I51))/-I91))</f>
        <v>1.3646816227823173</v>
      </c>
      <c r="J44" s="35">
        <f>IF(OR('Active Inputs'!$G$50=0,'Active Inputs'!$G$50=""),"N/A",IF(J$2&gt;'Active Inputs'!$G$51,"N/A",(J42+SUM(J50:J51))/-J91))</f>
        <v>1.3444701559086281</v>
      </c>
      <c r="K44" s="35">
        <f>IF(OR('Active Inputs'!$G$50=0,'Active Inputs'!$G$50=""),"N/A",IF(K$2&gt;'Active Inputs'!$G$51,"N/A",(K42+SUM(K50:K51))/-K91))</f>
        <v>1.3240602007438347</v>
      </c>
      <c r="L44" s="35">
        <f>IF(OR('Active Inputs'!$G$50=0,'Active Inputs'!$G$50=""),"N/A",IF(L$2&gt;'Active Inputs'!$G$51,"N/A",(L42+SUM(L50:L51))/-L91))</f>
        <v>1.3034457631661389</v>
      </c>
      <c r="M44" s="35">
        <f>IF(OR('Active Inputs'!$G$50=0,'Active Inputs'!$G$50=""),"N/A",IF(M$2&gt;'Active Inputs'!$G$51,"N/A",(M42+SUM(M50:M51))/-M91))</f>
        <v>1.2826207104134482</v>
      </c>
      <c r="N44" s="35">
        <f>IF(OR('Active Inputs'!$G$50=0,'Active Inputs'!$G$50=""),"N/A",IF(N$2&gt;'Active Inputs'!$G$51,"N/A",(N42+SUM(N50:N51))/-N91))</f>
        <v>1.2615787675379728</v>
      </c>
      <c r="O44" s="35">
        <f>IF(OR('Active Inputs'!$G$50=0,'Active Inputs'!$G$50=""),"N/A",IF(O$2&gt;'Active Inputs'!$G$51,"N/A",(O42+SUM(O50:O51))/-O91))</f>
        <v>1.2403135137677788</v>
      </c>
      <c r="P44" s="35">
        <f>IF(OR('Active Inputs'!$G$50=0,'Active Inputs'!$G$50=""),"N/A",IF(P$2&gt;'Active Inputs'!$G$51,"N/A",(P42+SUM(P50:P51))/-P91))</f>
        <v>1.2188183787727831</v>
      </c>
      <c r="Q44" s="35">
        <f>IF(OR('Active Inputs'!$G$50=0,'Active Inputs'!$G$50=""),"N/A",IF(Q$2&gt;'Active Inputs'!$G$51,"N/A",(Q42+SUM(Q50:Q51))/-Q91))</f>
        <v>1.1970866388325727</v>
      </c>
      <c r="R44" s="35">
        <f>IF(OR('Active Inputs'!$G$50=0,'Active Inputs'!$G$50=""),"N/A",IF(R$2&gt;'Active Inputs'!$G$51,"N/A",(R42+SUM(R50:R51))/-R91))</f>
        <v>1.1897947021128561</v>
      </c>
      <c r="S44" s="35">
        <f>IF(OR('Active Inputs'!$G$50=0,'Active Inputs'!$G$50=""),"N/A",IF(S$2&gt;'Active Inputs'!$G$51,"N/A",(S42+SUM(S50:S51))/-S91))</f>
        <v>1.1655891784593904</v>
      </c>
      <c r="T44" s="35">
        <f>IF(OR('Active Inputs'!$G$50=0,'Active Inputs'!$G$50=""),"N/A",IF(T$2&gt;'Active Inputs'!$G$51,"N/A",(T42+SUM(T50:T51))/-T91))</f>
        <v>1.1427757262829266</v>
      </c>
      <c r="U44" s="35">
        <f>IF(OR('Active Inputs'!$G$50=0,'Active Inputs'!$G$50=""),"N/A",IF(U$2&gt;'Active Inputs'!$G$51,"N/A",(U42+SUM(U50:U51))/-U91))</f>
        <v>1.1196971601451491</v>
      </c>
      <c r="V44" s="35" t="str">
        <f>IF(OR('Active Inputs'!$G$50=0,'Active Inputs'!$G$50=""),"N/A",IF(V$2&gt;'Active Inputs'!$G$51,"N/A",(V42+SUM(V50:V51))/-V91))</f>
        <v>N/A</v>
      </c>
      <c r="W44" s="35" t="str">
        <f>IF(OR('Active Inputs'!$G$50=0,'Active Inputs'!$G$50=""),"N/A",IF(W$2&gt;'Active Inputs'!$G$51,"N/A",(W42+SUM(W50:W51))/-W91))</f>
        <v>N/A</v>
      </c>
      <c r="X44" s="35" t="str">
        <f>IF(OR('Active Inputs'!$G$50=0,'Active Inputs'!$G$50=""),"N/A",IF(X$2&gt;'Active Inputs'!$G$51,"N/A",(X42+SUM(X50:X51))/-X91))</f>
        <v>N/A</v>
      </c>
      <c r="Y44" s="35" t="str">
        <f>IF(OR('Active Inputs'!$G$50=0,'Active Inputs'!$G$50=""),"N/A",IF(Y$2&gt;'Active Inputs'!$G$51,"N/A",(Y42+SUM(Y50:Y51))/-Y91))</f>
        <v>N/A</v>
      </c>
      <c r="Z44" s="35" t="str">
        <f>IF(OR('Active Inputs'!$G$50=0,'Active Inputs'!$G$50=""),"N/A",IF(Z$2&gt;'Active Inputs'!$G$51,"N/A",(Z42+SUM(Z50:Z51))/-Z91))</f>
        <v>N/A</v>
      </c>
      <c r="AA44" s="35" t="str">
        <f>IF(OR('Active Inputs'!$G$50=0,'Active Inputs'!$G$50=""),"N/A",IF(AA$2&gt;'Active Inputs'!$G$51,"N/A",(AA42+SUM(AA50:AA51))/-AA91))</f>
        <v>N/A</v>
      </c>
      <c r="AB44" s="35" t="str">
        <f>IF(OR('Active Inputs'!$G$50=0,'Active Inputs'!$G$50=""),"N/A",IF(AB$2&gt;'Active Inputs'!$G$51,"N/A",(AB42+SUM(AB50:AB51))/-AB91))</f>
        <v>N/A</v>
      </c>
      <c r="AC44" s="35" t="str">
        <f>IF(OR('Active Inputs'!$G$50=0,'Active Inputs'!$G$50=""),"N/A",IF(AC$2&gt;'Active Inputs'!$G$51,"N/A",(AC42+SUM(AC50:AC51))/-AC91))</f>
        <v>N/A</v>
      </c>
      <c r="AD44" s="35" t="str">
        <f>IF(OR('Active Inputs'!$G$50=0,'Active Inputs'!$G$50=""),"N/A",IF(AD$2&gt;'Active Inputs'!$G$51,"N/A",(AD42+SUM(AD50:AD51))/-AD91))</f>
        <v>N/A</v>
      </c>
      <c r="AE44" s="35" t="str">
        <f>IF(OR('Active Inputs'!$G$50=0,'Active Inputs'!$G$50=""),"N/A",IF(AE$2&gt;'Active Inputs'!$G$51,"N/A",(AE42+SUM(AE50:AE51))/-AE91))</f>
        <v>N/A</v>
      </c>
      <c r="AF44" s="35" t="str">
        <f>IF(OR('Active Inputs'!$G$50=0,'Active Inputs'!$G$50=""),"N/A",IF(AF$2&gt;'Active Inputs'!$G$51,"N/A",(AF42+SUM(AF50:AF51))/-AF91))</f>
        <v>N/A</v>
      </c>
      <c r="AG44" s="35" t="str">
        <f>IF(OR('Active Inputs'!$G$50=0,'Active Inputs'!$G$50=""),"N/A",IF(AG$2&gt;'Active Inputs'!$G$51,"N/A",(AG42+SUM(AG50:AG51))/-AG91))</f>
        <v>N/A</v>
      </c>
      <c r="AH44" s="35" t="str">
        <f>IF(OR('Active Inputs'!$G$50=0,'Active Inputs'!$G$50=""),"N/A",IF(AH$2&gt;'Active Inputs'!$G$51,"N/A",(AH42+SUM(AH50:AH51))/-AH91))</f>
        <v>N/A</v>
      </c>
      <c r="AI44" s="35" t="str">
        <f>IF(OR('Active Inputs'!$G$50=0,'Active Inputs'!$G$50=""),"N/A",IF(AI$2&gt;'Active Inputs'!$G$51,"N/A",(AI42+SUM(AI50:AI51))/-AI91))</f>
        <v>N/A</v>
      </c>
      <c r="AJ44" s="35" t="str">
        <f>IF(OR('Active Inputs'!$G$50=0,'Active Inputs'!$G$50=""),"N/A",IF(AJ$2&gt;'Active Inputs'!$G$51,"N/A",(AJ42+SUM(AJ50:AJ51))/-AJ91))</f>
        <v>N/A</v>
      </c>
    </row>
    <row r="45" spans="2:36" s="1" customFormat="1">
      <c r="B45" s="34" t="s">
        <v>317</v>
      </c>
      <c r="C45" s="34"/>
      <c r="D45" s="34"/>
      <c r="E45" s="55"/>
      <c r="F45" s="35"/>
      <c r="G45" s="339" t="str">
        <f>IF(G44=$F$44,G2,"")</f>
        <v/>
      </c>
      <c r="H45" s="339" t="str">
        <f t="shared" ref="H45:AJ45" si="10">IF(H44=$F$44,H2,"")</f>
        <v/>
      </c>
      <c r="I45" s="339" t="str">
        <f t="shared" si="10"/>
        <v/>
      </c>
      <c r="J45" s="339" t="str">
        <f t="shared" si="10"/>
        <v/>
      </c>
      <c r="K45" s="339" t="str">
        <f t="shared" si="10"/>
        <v/>
      </c>
      <c r="L45" s="339" t="str">
        <f t="shared" si="10"/>
        <v/>
      </c>
      <c r="M45" s="339" t="str">
        <f t="shared" si="10"/>
        <v/>
      </c>
      <c r="N45" s="339" t="str">
        <f t="shared" si="10"/>
        <v/>
      </c>
      <c r="O45" s="339" t="str">
        <f t="shared" si="10"/>
        <v/>
      </c>
      <c r="P45" s="339" t="str">
        <f t="shared" si="10"/>
        <v/>
      </c>
      <c r="Q45" s="339" t="str">
        <f t="shared" si="10"/>
        <v/>
      </c>
      <c r="R45" s="339" t="str">
        <f t="shared" si="10"/>
        <v/>
      </c>
      <c r="S45" s="339" t="str">
        <f t="shared" si="10"/>
        <v/>
      </c>
      <c r="T45" s="339" t="str">
        <f t="shared" si="10"/>
        <v/>
      </c>
      <c r="U45" s="339">
        <f>IF(U44=$F$44,U2,"")</f>
        <v>15</v>
      </c>
      <c r="V45" s="339" t="str">
        <f t="shared" si="10"/>
        <v/>
      </c>
      <c r="W45" s="339" t="str">
        <f t="shared" si="10"/>
        <v/>
      </c>
      <c r="X45" s="339" t="str">
        <f t="shared" si="10"/>
        <v/>
      </c>
      <c r="Y45" s="339" t="str">
        <f t="shared" si="10"/>
        <v/>
      </c>
      <c r="Z45" s="339" t="str">
        <f t="shared" si="10"/>
        <v/>
      </c>
      <c r="AA45" s="339" t="str">
        <f t="shared" si="10"/>
        <v/>
      </c>
      <c r="AB45" s="339" t="str">
        <f t="shared" si="10"/>
        <v/>
      </c>
      <c r="AC45" s="339" t="str">
        <f t="shared" si="10"/>
        <v/>
      </c>
      <c r="AD45" s="339" t="str">
        <f t="shared" si="10"/>
        <v/>
      </c>
      <c r="AE45" s="339" t="str">
        <f t="shared" si="10"/>
        <v/>
      </c>
      <c r="AF45" s="339" t="str">
        <f t="shared" si="10"/>
        <v/>
      </c>
      <c r="AG45" s="339" t="str">
        <f t="shared" si="10"/>
        <v/>
      </c>
      <c r="AH45" s="339" t="str">
        <f t="shared" si="10"/>
        <v/>
      </c>
      <c r="AI45" s="339" t="str">
        <f t="shared" si="10"/>
        <v/>
      </c>
      <c r="AJ45" s="339" t="str">
        <f t="shared" si="10"/>
        <v/>
      </c>
    </row>
    <row r="46" spans="2:36" s="1" customFormat="1">
      <c r="B46" s="29" t="s">
        <v>318</v>
      </c>
      <c r="C46" s="29"/>
      <c r="D46" s="29"/>
      <c r="E46" s="58"/>
      <c r="F46" s="29"/>
      <c r="G46" s="32">
        <f>G92</f>
        <v>-426202.42452433665</v>
      </c>
      <c r="H46" s="32">
        <f t="shared" ref="H46:AJ46" si="11">H92</f>
        <v>-410090.24625852524</v>
      </c>
      <c r="I46" s="32">
        <f t="shared" si="11"/>
        <v>-392743.25053379277</v>
      </c>
      <c r="J46" s="32">
        <f t="shared" si="11"/>
        <v>-374066.80246392457</v>
      </c>
      <c r="K46" s="32">
        <f t="shared" si="11"/>
        <v>-353959.0144618114</v>
      </c>
      <c r="L46" s="32">
        <f t="shared" si="11"/>
        <v>-332310.19040140323</v>
      </c>
      <c r="M46" s="32">
        <f t="shared" si="11"/>
        <v>-309002.22718092107</v>
      </c>
      <c r="N46" s="32">
        <f t="shared" si="11"/>
        <v>-283907.97042261175</v>
      </c>
      <c r="O46" s="32">
        <f t="shared" si="11"/>
        <v>-256890.52079412676</v>
      </c>
      <c r="P46" s="32">
        <f t="shared" si="11"/>
        <v>-227802.48716722833</v>
      </c>
      <c r="Q46" s="32">
        <f t="shared" si="11"/>
        <v>-196485.18253950006</v>
      </c>
      <c r="R46" s="32">
        <f t="shared" si="11"/>
        <v>-162767.75833248915</v>
      </c>
      <c r="S46" s="32">
        <f t="shared" si="11"/>
        <v>-126466.27234352732</v>
      </c>
      <c r="T46" s="32">
        <f t="shared" si="11"/>
        <v>-87382.685266529326</v>
      </c>
      <c r="U46" s="32">
        <f t="shared" si="11"/>
        <v>-45303.780307383662</v>
      </c>
      <c r="V46" s="32">
        <f t="shared" si="11"/>
        <v>0</v>
      </c>
      <c r="W46" s="32">
        <f t="shared" si="11"/>
        <v>0</v>
      </c>
      <c r="X46" s="32">
        <f t="shared" si="11"/>
        <v>0</v>
      </c>
      <c r="Y46" s="32">
        <f t="shared" si="11"/>
        <v>0</v>
      </c>
      <c r="Z46" s="32">
        <f t="shared" si="11"/>
        <v>0</v>
      </c>
      <c r="AA46" s="32">
        <f t="shared" si="11"/>
        <v>0</v>
      </c>
      <c r="AB46" s="32">
        <f t="shared" si="11"/>
        <v>0</v>
      </c>
      <c r="AC46" s="32">
        <f t="shared" si="11"/>
        <v>0</v>
      </c>
      <c r="AD46" s="32">
        <f t="shared" si="11"/>
        <v>0</v>
      </c>
      <c r="AE46" s="32">
        <f t="shared" si="11"/>
        <v>0</v>
      </c>
      <c r="AF46" s="32">
        <f t="shared" si="11"/>
        <v>0</v>
      </c>
      <c r="AG46" s="32">
        <f t="shared" si="11"/>
        <v>0</v>
      </c>
      <c r="AH46" s="32">
        <f t="shared" si="11"/>
        <v>0</v>
      </c>
      <c r="AI46" s="32">
        <f t="shared" si="11"/>
        <v>0</v>
      </c>
      <c r="AJ46" s="32">
        <f t="shared" si="11"/>
        <v>0</v>
      </c>
    </row>
    <row r="47" spans="2:36" s="1" customFormat="1" ht="15.75">
      <c r="B47" s="26" t="s">
        <v>319</v>
      </c>
      <c r="C47" s="26"/>
      <c r="D47" s="26"/>
      <c r="E47" s="55"/>
      <c r="F47" s="26"/>
      <c r="G47" s="33">
        <f>G42+G46</f>
        <v>478300.05644769332</v>
      </c>
      <c r="H47" s="33">
        <f t="shared" ref="H47:AJ47" si="12">H42+H46</f>
        <v>481685.44183294516</v>
      </c>
      <c r="I47" s="33">
        <f t="shared" si="12"/>
        <v>486291.69303200708</v>
      </c>
      <c r="J47" s="33">
        <f t="shared" si="12"/>
        <v>492104.7999771288</v>
      </c>
      <c r="K47" s="33">
        <f t="shared" si="12"/>
        <v>499222.92140698095</v>
      </c>
      <c r="L47" s="33">
        <f t="shared" si="12"/>
        <v>507751.93856203835</v>
      </c>
      <c r="M47" s="33">
        <f t="shared" si="12"/>
        <v>517806.05142258335</v>
      </c>
      <c r="N47" s="33">
        <f t="shared" si="12"/>
        <v>529508.420752523</v>
      </c>
      <c r="O47" s="33">
        <f t="shared" si="12"/>
        <v>542991.85946236458</v>
      </c>
      <c r="P47" s="33">
        <f t="shared" si="12"/>
        <v>558399.57707404834</v>
      </c>
      <c r="Q47" s="33">
        <f t="shared" si="12"/>
        <v>575885.98136029253</v>
      </c>
      <c r="R47" s="33">
        <f t="shared" si="12"/>
        <v>594462.54154333251</v>
      </c>
      <c r="S47" s="33">
        <f t="shared" si="12"/>
        <v>615358.71777405147</v>
      </c>
      <c r="T47" s="33">
        <f t="shared" si="12"/>
        <v>639922.96197440906</v>
      </c>
      <c r="U47" s="33">
        <f t="shared" si="12"/>
        <v>667313.79551570478</v>
      </c>
      <c r="V47" s="33">
        <f t="shared" si="12"/>
        <v>697755.96962471085</v>
      </c>
      <c r="W47" s="33">
        <f t="shared" si="12"/>
        <v>682715.90873873641</v>
      </c>
      <c r="X47" s="33">
        <f t="shared" si="12"/>
        <v>667492.35666366515</v>
      </c>
      <c r="Y47" s="33">
        <f t="shared" si="12"/>
        <v>652080.15729938913</v>
      </c>
      <c r="Z47" s="33">
        <f t="shared" si="12"/>
        <v>636474.03186339419</v>
      </c>
      <c r="AA47" s="33">
        <f t="shared" si="12"/>
        <v>655919.08356262371</v>
      </c>
      <c r="AB47" s="33">
        <f t="shared" si="12"/>
        <v>665805.59244156489</v>
      </c>
      <c r="AC47" s="33">
        <f t="shared" si="12"/>
        <v>675029.64020103705</v>
      </c>
      <c r="AD47" s="33">
        <f t="shared" si="12"/>
        <v>684212.77443751181</v>
      </c>
      <c r="AE47" s="33">
        <f t="shared" si="12"/>
        <v>693668.3216091434</v>
      </c>
      <c r="AF47" s="33">
        <f t="shared" si="12"/>
        <v>703170.08594576549</v>
      </c>
      <c r="AG47" s="33">
        <f t="shared" si="12"/>
        <v>708413.86818287242</v>
      </c>
      <c r="AH47" s="33">
        <f t="shared" si="12"/>
        <v>690115.07491257798</v>
      </c>
      <c r="AI47" s="33">
        <f t="shared" si="12"/>
        <v>671573.45174814714</v>
      </c>
      <c r="AJ47" s="33">
        <f t="shared" si="12"/>
        <v>652782.28093038383</v>
      </c>
    </row>
    <row r="48" spans="2:36" s="1" customFormat="1">
      <c r="E48" s="55"/>
    </row>
    <row r="49" spans="2:36" s="1" customFormat="1">
      <c r="B49" s="1" t="s">
        <v>320</v>
      </c>
      <c r="E49" s="55"/>
      <c r="G49" s="31">
        <f>G93</f>
        <v>-210235.35632232556</v>
      </c>
      <c r="H49" s="31">
        <f t="shared" ref="H49:AJ49" si="13">H93</f>
        <v>-226347.534588137</v>
      </c>
      <c r="I49" s="31">
        <f t="shared" si="13"/>
        <v>-243694.53031286949</v>
      </c>
      <c r="J49" s="31">
        <f t="shared" si="13"/>
        <v>-262370.97838273778</v>
      </c>
      <c r="K49" s="31">
        <f t="shared" si="13"/>
        <v>-282478.7663848509</v>
      </c>
      <c r="L49" s="31">
        <f t="shared" si="13"/>
        <v>-304127.590445259</v>
      </c>
      <c r="M49" s="31">
        <f t="shared" si="13"/>
        <v>-327435.55366574117</v>
      </c>
      <c r="N49" s="31">
        <f t="shared" si="13"/>
        <v>-352529.81042405061</v>
      </c>
      <c r="O49" s="31">
        <f t="shared" si="13"/>
        <v>-379547.26005253557</v>
      </c>
      <c r="P49" s="31">
        <f t="shared" si="13"/>
        <v>-408635.29367943387</v>
      </c>
      <c r="Q49" s="31">
        <f t="shared" si="13"/>
        <v>-439952.59830716223</v>
      </c>
      <c r="R49" s="31">
        <f t="shared" si="13"/>
        <v>-473670.02251417312</v>
      </c>
      <c r="S49" s="31">
        <f t="shared" si="13"/>
        <v>-509971.508503135</v>
      </c>
      <c r="T49" s="31">
        <f t="shared" si="13"/>
        <v>-549055.09558013279</v>
      </c>
      <c r="U49" s="31">
        <f t="shared" si="13"/>
        <v>-591134.00053927861</v>
      </c>
      <c r="V49" s="31">
        <f t="shared" si="13"/>
        <v>0</v>
      </c>
      <c r="W49" s="31">
        <f t="shared" si="13"/>
        <v>0</v>
      </c>
      <c r="X49" s="31">
        <f t="shared" si="13"/>
        <v>0</v>
      </c>
      <c r="Y49" s="31">
        <f t="shared" si="13"/>
        <v>0</v>
      </c>
      <c r="Z49" s="31">
        <f t="shared" si="13"/>
        <v>0</v>
      </c>
      <c r="AA49" s="31">
        <f t="shared" si="13"/>
        <v>0</v>
      </c>
      <c r="AB49" s="31">
        <f t="shared" si="13"/>
        <v>0</v>
      </c>
      <c r="AC49" s="31">
        <f t="shared" si="13"/>
        <v>0</v>
      </c>
      <c r="AD49" s="31">
        <f t="shared" si="13"/>
        <v>0</v>
      </c>
      <c r="AE49" s="31">
        <f t="shared" si="13"/>
        <v>0</v>
      </c>
      <c r="AF49" s="31">
        <f t="shared" si="13"/>
        <v>0</v>
      </c>
      <c r="AG49" s="31">
        <f t="shared" si="13"/>
        <v>0</v>
      </c>
      <c r="AH49" s="31">
        <f t="shared" si="13"/>
        <v>0</v>
      </c>
      <c r="AI49" s="31">
        <f t="shared" si="13"/>
        <v>0</v>
      </c>
      <c r="AJ49" s="31">
        <f t="shared" si="13"/>
        <v>0</v>
      </c>
    </row>
    <row r="50" spans="2:36" s="1" customFormat="1">
      <c r="B50" s="1" t="s">
        <v>321</v>
      </c>
      <c r="E50" s="55"/>
      <c r="G50" s="31">
        <f t="shared" ref="G50:AI50" si="14">-G265</f>
        <v>0</v>
      </c>
      <c r="H50" s="31">
        <f t="shared" si="14"/>
        <v>-10500</v>
      </c>
      <c r="I50" s="31">
        <f t="shared" si="14"/>
        <v>-10500</v>
      </c>
      <c r="J50" s="31">
        <f t="shared" si="14"/>
        <v>-10500</v>
      </c>
      <c r="K50" s="31">
        <f t="shared" si="14"/>
        <v>-10500</v>
      </c>
      <c r="L50" s="31">
        <f t="shared" si="14"/>
        <v>-10500</v>
      </c>
      <c r="M50" s="31">
        <f t="shared" si="14"/>
        <v>-10500</v>
      </c>
      <c r="N50" s="31">
        <f t="shared" si="14"/>
        <v>-10500</v>
      </c>
      <c r="O50" s="31">
        <f t="shared" si="14"/>
        <v>-10500</v>
      </c>
      <c r="P50" s="31">
        <f t="shared" si="14"/>
        <v>-10500</v>
      </c>
      <c r="Q50" s="31">
        <f t="shared" si="14"/>
        <v>-10500</v>
      </c>
      <c r="R50" s="31">
        <f t="shared" si="14"/>
        <v>105000</v>
      </c>
      <c r="S50" s="31">
        <f t="shared" si="14"/>
        <v>0</v>
      </c>
      <c r="T50" s="31">
        <f t="shared" si="14"/>
        <v>0</v>
      </c>
      <c r="U50" s="31">
        <f t="shared" si="14"/>
        <v>0</v>
      </c>
      <c r="V50" s="31">
        <f t="shared" si="14"/>
        <v>0</v>
      </c>
      <c r="W50" s="31">
        <f t="shared" si="14"/>
        <v>0</v>
      </c>
      <c r="X50" s="31">
        <f t="shared" si="14"/>
        <v>0</v>
      </c>
      <c r="Y50" s="31">
        <f t="shared" si="14"/>
        <v>0</v>
      </c>
      <c r="Z50" s="31">
        <f t="shared" si="14"/>
        <v>0</v>
      </c>
      <c r="AA50" s="31">
        <f t="shared" si="14"/>
        <v>0</v>
      </c>
      <c r="AB50" s="31">
        <f t="shared" si="14"/>
        <v>0</v>
      </c>
      <c r="AC50" s="31">
        <f t="shared" si="14"/>
        <v>0</v>
      </c>
      <c r="AD50" s="31">
        <f t="shared" si="14"/>
        <v>0</v>
      </c>
      <c r="AE50" s="31">
        <f t="shared" si="14"/>
        <v>0</v>
      </c>
      <c r="AF50" s="31">
        <f t="shared" si="14"/>
        <v>0</v>
      </c>
      <c r="AG50" s="31">
        <f t="shared" si="14"/>
        <v>0</v>
      </c>
      <c r="AH50" s="31">
        <f t="shared" si="14"/>
        <v>0</v>
      </c>
      <c r="AI50" s="31">
        <f t="shared" si="14"/>
        <v>0</v>
      </c>
      <c r="AJ50" s="31">
        <f t="shared" ref="AJ50" si="15">-AJ265</f>
        <v>0</v>
      </c>
    </row>
    <row r="51" spans="2:36" s="1" customFormat="1">
      <c r="B51" s="29" t="s">
        <v>322</v>
      </c>
      <c r="C51" s="29"/>
      <c r="D51" s="29"/>
      <c r="E51" s="58"/>
      <c r="F51" s="29"/>
      <c r="G51" s="32">
        <f t="shared" ref="G51:AI51" si="16">MIN(SUM(G257:G261),0)</f>
        <v>0</v>
      </c>
      <c r="H51" s="32">
        <f t="shared" si="16"/>
        <v>0</v>
      </c>
      <c r="I51" s="32">
        <f t="shared" si="16"/>
        <v>0</v>
      </c>
      <c r="J51" s="32">
        <f t="shared" si="16"/>
        <v>0</v>
      </c>
      <c r="K51" s="32">
        <f t="shared" si="16"/>
        <v>0</v>
      </c>
      <c r="L51" s="32">
        <f t="shared" si="16"/>
        <v>0</v>
      </c>
      <c r="M51" s="32">
        <f t="shared" si="16"/>
        <v>0</v>
      </c>
      <c r="N51" s="32">
        <f t="shared" si="16"/>
        <v>0</v>
      </c>
      <c r="O51" s="32">
        <f t="shared" si="16"/>
        <v>0</v>
      </c>
      <c r="P51" s="32">
        <f t="shared" si="16"/>
        <v>0</v>
      </c>
      <c r="Q51" s="32">
        <f t="shared" si="16"/>
        <v>0</v>
      </c>
      <c r="R51" s="32">
        <f t="shared" si="16"/>
        <v>-105000</v>
      </c>
      <c r="S51" s="32">
        <f t="shared" si="16"/>
        <v>0</v>
      </c>
      <c r="T51" s="32">
        <f t="shared" si="16"/>
        <v>0</v>
      </c>
      <c r="U51" s="32">
        <f t="shared" si="16"/>
        <v>0</v>
      </c>
      <c r="V51" s="32">
        <f t="shared" si="16"/>
        <v>0</v>
      </c>
      <c r="W51" s="32">
        <f t="shared" si="16"/>
        <v>0</v>
      </c>
      <c r="X51" s="32">
        <f t="shared" si="16"/>
        <v>0</v>
      </c>
      <c r="Y51" s="32">
        <f t="shared" si="16"/>
        <v>0</v>
      </c>
      <c r="Z51" s="32">
        <f t="shared" si="16"/>
        <v>0</v>
      </c>
      <c r="AA51" s="32">
        <f t="shared" si="16"/>
        <v>0</v>
      </c>
      <c r="AB51" s="32">
        <f t="shared" si="16"/>
        <v>0</v>
      </c>
      <c r="AC51" s="32">
        <f t="shared" si="16"/>
        <v>0</v>
      </c>
      <c r="AD51" s="32">
        <f t="shared" si="16"/>
        <v>0</v>
      </c>
      <c r="AE51" s="32">
        <f t="shared" si="16"/>
        <v>0</v>
      </c>
      <c r="AF51" s="32">
        <f t="shared" si="16"/>
        <v>0</v>
      </c>
      <c r="AG51" s="32">
        <f t="shared" si="16"/>
        <v>0</v>
      </c>
      <c r="AH51" s="32">
        <f t="shared" si="16"/>
        <v>0</v>
      </c>
      <c r="AI51" s="32">
        <f t="shared" si="16"/>
        <v>0</v>
      </c>
      <c r="AJ51" s="32">
        <f t="shared" ref="AJ51" si="17">MIN(SUM(AJ257:AJ261),0)</f>
        <v>0</v>
      </c>
    </row>
    <row r="52" spans="2:36" s="1" customFormat="1" ht="15.75">
      <c r="B52" s="36" t="s">
        <v>323</v>
      </c>
      <c r="C52" s="36"/>
      <c r="D52" s="36"/>
      <c r="E52" s="250"/>
      <c r="F52" s="250"/>
      <c r="G52" s="33">
        <f>G47+SUM(G49:G51)</f>
        <v>268064.70012536773</v>
      </c>
      <c r="H52" s="33">
        <f t="shared" ref="H52:AJ52" si="18">H47+SUM(H49:H51)</f>
        <v>244837.90724480816</v>
      </c>
      <c r="I52" s="33">
        <f t="shared" si="18"/>
        <v>232097.16271913759</v>
      </c>
      <c r="J52" s="33">
        <f t="shared" si="18"/>
        <v>219233.82159439102</v>
      </c>
      <c r="K52" s="33">
        <f t="shared" si="18"/>
        <v>206244.15502213006</v>
      </c>
      <c r="L52" s="33">
        <f t="shared" si="18"/>
        <v>193124.34811677935</v>
      </c>
      <c r="M52" s="33">
        <f t="shared" si="18"/>
        <v>179870.49775684217</v>
      </c>
      <c r="N52" s="33">
        <f t="shared" si="18"/>
        <v>166478.61032847239</v>
      </c>
      <c r="O52" s="33">
        <f t="shared" si="18"/>
        <v>152944.59940982901</v>
      </c>
      <c r="P52" s="33">
        <f t="shared" si="18"/>
        <v>139264.28339461447</v>
      </c>
      <c r="Q52" s="33">
        <f t="shared" si="18"/>
        <v>125433.3830531303</v>
      </c>
      <c r="R52" s="33">
        <f t="shared" si="18"/>
        <v>120792.51902915939</v>
      </c>
      <c r="S52" s="33">
        <f t="shared" si="18"/>
        <v>105387.20927091647</v>
      </c>
      <c r="T52" s="33">
        <f t="shared" si="18"/>
        <v>90867.866394276265</v>
      </c>
      <c r="U52" s="33">
        <f t="shared" si="18"/>
        <v>76179.794976426172</v>
      </c>
      <c r="V52" s="33">
        <f t="shared" si="18"/>
        <v>697755.96962471085</v>
      </c>
      <c r="W52" s="33">
        <f t="shared" si="18"/>
        <v>682715.90873873641</v>
      </c>
      <c r="X52" s="33">
        <f t="shared" si="18"/>
        <v>667492.35666366515</v>
      </c>
      <c r="Y52" s="33">
        <f t="shared" si="18"/>
        <v>652080.15729938913</v>
      </c>
      <c r="Z52" s="33">
        <f t="shared" si="18"/>
        <v>636474.03186339419</v>
      </c>
      <c r="AA52" s="33">
        <f t="shared" si="18"/>
        <v>655919.08356262371</v>
      </c>
      <c r="AB52" s="33">
        <f t="shared" si="18"/>
        <v>665805.59244156489</v>
      </c>
      <c r="AC52" s="33">
        <f t="shared" si="18"/>
        <v>675029.64020103705</v>
      </c>
      <c r="AD52" s="33">
        <f t="shared" si="18"/>
        <v>684212.77443751181</v>
      </c>
      <c r="AE52" s="33">
        <f t="shared" si="18"/>
        <v>693668.3216091434</v>
      </c>
      <c r="AF52" s="33">
        <f t="shared" si="18"/>
        <v>703170.08594576549</v>
      </c>
      <c r="AG52" s="33">
        <f t="shared" si="18"/>
        <v>708413.86818287242</v>
      </c>
      <c r="AH52" s="33">
        <f t="shared" si="18"/>
        <v>690115.07491257798</v>
      </c>
      <c r="AI52" s="33">
        <f t="shared" si="18"/>
        <v>671573.45174814714</v>
      </c>
      <c r="AJ52" s="33">
        <f t="shared" si="18"/>
        <v>652782.28093038383</v>
      </c>
    </row>
    <row r="53" spans="2:36" s="1" customFormat="1" ht="15.75">
      <c r="B53" s="26"/>
      <c r="C53" s="26"/>
      <c r="D53" s="26"/>
      <c r="G53" s="31"/>
    </row>
    <row r="54" spans="2:36" s="1" customFormat="1" ht="15.75">
      <c r="B54" s="15" t="s">
        <v>324</v>
      </c>
      <c r="C54" s="15"/>
      <c r="D54" s="15"/>
      <c r="F54" s="64"/>
      <c r="G54" s="31"/>
    </row>
    <row r="55" spans="2:36" s="1" customFormat="1">
      <c r="B55" s="1" t="s">
        <v>325</v>
      </c>
      <c r="F55" s="64">
        <f>-('Active Inputs'!$G$25-$F$88)</f>
        <v>-6799863.7901178924</v>
      </c>
      <c r="G55" s="31">
        <v>0</v>
      </c>
      <c r="H55" s="31">
        <v>0</v>
      </c>
      <c r="I55" s="31">
        <v>0</v>
      </c>
      <c r="J55" s="31">
        <v>0</v>
      </c>
      <c r="K55" s="31">
        <v>0</v>
      </c>
      <c r="L55" s="31">
        <v>0</v>
      </c>
      <c r="M55" s="31">
        <v>0</v>
      </c>
      <c r="N55" s="31">
        <v>0</v>
      </c>
      <c r="O55" s="31">
        <v>0</v>
      </c>
      <c r="P55" s="31">
        <v>0</v>
      </c>
      <c r="Q55" s="31">
        <v>0</v>
      </c>
      <c r="R55" s="31">
        <v>0</v>
      </c>
      <c r="S55" s="31">
        <v>0</v>
      </c>
      <c r="T55" s="31">
        <v>0</v>
      </c>
      <c r="U55" s="31">
        <v>0</v>
      </c>
      <c r="V55" s="31">
        <v>0</v>
      </c>
      <c r="W55" s="31">
        <v>0</v>
      </c>
      <c r="X55" s="31">
        <v>0</v>
      </c>
      <c r="Y55" s="31">
        <v>0</v>
      </c>
      <c r="Z55" s="31">
        <v>0</v>
      </c>
      <c r="AA55" s="31">
        <v>0</v>
      </c>
      <c r="AB55" s="31">
        <v>0</v>
      </c>
      <c r="AC55" s="31">
        <v>0</v>
      </c>
      <c r="AD55" s="31">
        <v>0</v>
      </c>
      <c r="AE55" s="31">
        <v>0</v>
      </c>
      <c r="AF55" s="31">
        <v>0</v>
      </c>
      <c r="AG55" s="31">
        <v>0</v>
      </c>
      <c r="AH55" s="31">
        <v>0</v>
      </c>
      <c r="AI55" s="31">
        <v>0</v>
      </c>
      <c r="AJ55" s="31">
        <v>0</v>
      </c>
    </row>
    <row r="56" spans="2:36" s="1" customFormat="1">
      <c r="B56" s="29" t="s">
        <v>323</v>
      </c>
      <c r="C56" s="29"/>
      <c r="D56" s="29"/>
      <c r="E56" s="29"/>
      <c r="F56" s="29"/>
      <c r="G56" s="620">
        <f>G52</f>
        <v>268064.70012536773</v>
      </c>
      <c r="H56" s="620">
        <f t="shared" ref="H56:AJ56" si="19">H52</f>
        <v>244837.90724480816</v>
      </c>
      <c r="I56" s="620">
        <f t="shared" si="19"/>
        <v>232097.16271913759</v>
      </c>
      <c r="J56" s="620">
        <f t="shared" si="19"/>
        <v>219233.82159439102</v>
      </c>
      <c r="K56" s="620">
        <f t="shared" si="19"/>
        <v>206244.15502213006</v>
      </c>
      <c r="L56" s="620">
        <f t="shared" si="19"/>
        <v>193124.34811677935</v>
      </c>
      <c r="M56" s="620">
        <f t="shared" si="19"/>
        <v>179870.49775684217</v>
      </c>
      <c r="N56" s="620">
        <f t="shared" si="19"/>
        <v>166478.61032847239</v>
      </c>
      <c r="O56" s="620">
        <f t="shared" si="19"/>
        <v>152944.59940982901</v>
      </c>
      <c r="P56" s="620">
        <f t="shared" si="19"/>
        <v>139264.28339461447</v>
      </c>
      <c r="Q56" s="620">
        <f t="shared" si="19"/>
        <v>125433.3830531303</v>
      </c>
      <c r="R56" s="620">
        <f t="shared" si="19"/>
        <v>120792.51902915939</v>
      </c>
      <c r="S56" s="620">
        <f t="shared" si="19"/>
        <v>105387.20927091647</v>
      </c>
      <c r="T56" s="620">
        <f t="shared" si="19"/>
        <v>90867.866394276265</v>
      </c>
      <c r="U56" s="620">
        <f t="shared" si="19"/>
        <v>76179.794976426172</v>
      </c>
      <c r="V56" s="620">
        <f t="shared" si="19"/>
        <v>697755.96962471085</v>
      </c>
      <c r="W56" s="620">
        <f t="shared" si="19"/>
        <v>682715.90873873641</v>
      </c>
      <c r="X56" s="620">
        <f t="shared" si="19"/>
        <v>667492.35666366515</v>
      </c>
      <c r="Y56" s="620">
        <f t="shared" si="19"/>
        <v>652080.15729938913</v>
      </c>
      <c r="Z56" s="620">
        <f t="shared" si="19"/>
        <v>636474.03186339419</v>
      </c>
      <c r="AA56" s="620">
        <f t="shared" si="19"/>
        <v>655919.08356262371</v>
      </c>
      <c r="AB56" s="620">
        <f t="shared" si="19"/>
        <v>665805.59244156489</v>
      </c>
      <c r="AC56" s="620">
        <f t="shared" si="19"/>
        <v>675029.64020103705</v>
      </c>
      <c r="AD56" s="620">
        <f t="shared" si="19"/>
        <v>684212.77443751181</v>
      </c>
      <c r="AE56" s="620">
        <f t="shared" si="19"/>
        <v>693668.3216091434</v>
      </c>
      <c r="AF56" s="620">
        <f t="shared" si="19"/>
        <v>703170.08594576549</v>
      </c>
      <c r="AG56" s="620">
        <f t="shared" si="19"/>
        <v>708413.86818287242</v>
      </c>
      <c r="AH56" s="620">
        <f t="shared" si="19"/>
        <v>690115.07491257798</v>
      </c>
      <c r="AI56" s="620">
        <f t="shared" si="19"/>
        <v>671573.45174814714</v>
      </c>
      <c r="AJ56" s="620">
        <f t="shared" si="19"/>
        <v>652782.28093038383</v>
      </c>
    </row>
    <row r="57" spans="2:36" s="1" customFormat="1" ht="15.75">
      <c r="B57" s="36" t="s">
        <v>326</v>
      </c>
      <c r="C57" s="36"/>
      <c r="D57" s="36"/>
      <c r="E57" s="313"/>
      <c r="F57" s="31">
        <f t="shared" ref="F57:AJ57" si="20">SUM(F55:F56)</f>
        <v>-6799863.7901178924</v>
      </c>
      <c r="G57" s="31">
        <f t="shared" si="20"/>
        <v>268064.70012536773</v>
      </c>
      <c r="H57" s="31">
        <f t="shared" si="20"/>
        <v>244837.90724480816</v>
      </c>
      <c r="I57" s="31">
        <f t="shared" si="20"/>
        <v>232097.16271913759</v>
      </c>
      <c r="J57" s="31">
        <f t="shared" si="20"/>
        <v>219233.82159439102</v>
      </c>
      <c r="K57" s="31">
        <f t="shared" si="20"/>
        <v>206244.15502213006</v>
      </c>
      <c r="L57" s="31">
        <f t="shared" si="20"/>
        <v>193124.34811677935</v>
      </c>
      <c r="M57" s="31">
        <f t="shared" si="20"/>
        <v>179870.49775684217</v>
      </c>
      <c r="N57" s="31">
        <f t="shared" si="20"/>
        <v>166478.61032847239</v>
      </c>
      <c r="O57" s="31">
        <f t="shared" si="20"/>
        <v>152944.59940982901</v>
      </c>
      <c r="P57" s="31">
        <f t="shared" si="20"/>
        <v>139264.28339461447</v>
      </c>
      <c r="Q57" s="31">
        <f t="shared" si="20"/>
        <v>125433.3830531303</v>
      </c>
      <c r="R57" s="31">
        <f t="shared" si="20"/>
        <v>120792.51902915939</v>
      </c>
      <c r="S57" s="31">
        <f t="shared" si="20"/>
        <v>105387.20927091647</v>
      </c>
      <c r="T57" s="31">
        <f t="shared" si="20"/>
        <v>90867.866394276265</v>
      </c>
      <c r="U57" s="31">
        <f t="shared" si="20"/>
        <v>76179.794976426172</v>
      </c>
      <c r="V57" s="31">
        <f t="shared" si="20"/>
        <v>697755.96962471085</v>
      </c>
      <c r="W57" s="31">
        <f t="shared" si="20"/>
        <v>682715.90873873641</v>
      </c>
      <c r="X57" s="31">
        <f t="shared" si="20"/>
        <v>667492.35666366515</v>
      </c>
      <c r="Y57" s="31">
        <f t="shared" si="20"/>
        <v>652080.15729938913</v>
      </c>
      <c r="Z57" s="31">
        <f t="shared" si="20"/>
        <v>636474.03186339419</v>
      </c>
      <c r="AA57" s="31">
        <f t="shared" si="20"/>
        <v>655919.08356262371</v>
      </c>
      <c r="AB57" s="31">
        <f t="shared" si="20"/>
        <v>665805.59244156489</v>
      </c>
      <c r="AC57" s="31">
        <f t="shared" si="20"/>
        <v>675029.64020103705</v>
      </c>
      <c r="AD57" s="31">
        <f t="shared" si="20"/>
        <v>684212.77443751181</v>
      </c>
      <c r="AE57" s="31">
        <f t="shared" si="20"/>
        <v>693668.3216091434</v>
      </c>
      <c r="AF57" s="31">
        <f t="shared" si="20"/>
        <v>703170.08594576549</v>
      </c>
      <c r="AG57" s="31">
        <f t="shared" si="20"/>
        <v>708413.86818287242</v>
      </c>
      <c r="AH57" s="31">
        <f t="shared" si="20"/>
        <v>690115.07491257798</v>
      </c>
      <c r="AI57" s="31">
        <f t="shared" si="20"/>
        <v>671573.45174814714</v>
      </c>
      <c r="AJ57" s="31">
        <f t="shared" si="20"/>
        <v>652782.28093038383</v>
      </c>
    </row>
    <row r="58" spans="2:36" s="1" customFormat="1">
      <c r="B58" s="37" t="s">
        <v>327</v>
      </c>
      <c r="C58" s="37"/>
      <c r="D58" s="37"/>
      <c r="E58" s="31"/>
      <c r="F58" s="62"/>
      <c r="G58" s="299">
        <f>IF(ISERROR(IRR($F57:G57)),"NA",IRR($F57:G57))</f>
        <v>-0.96057793091165433</v>
      </c>
      <c r="H58" s="299">
        <f>IF(ISERROR(IRR($F57:H57)),"NA",IRR($F57:H57))</f>
        <v>-0.78951469907045269</v>
      </c>
      <c r="I58" s="299">
        <f>IF(ISERROR(IRR($F57:I57)),"NA",IRR($F57:I57))</f>
        <v>-0.62375763777554116</v>
      </c>
      <c r="J58" s="299">
        <f>IF(ISERROR(IRR($F57:J57)),"NA",IRR($F57:J57))</f>
        <v>-0.4981717258957219</v>
      </c>
      <c r="K58" s="299">
        <f>IF(ISERROR(IRR($F57:K57)),"NA",IRR($F57:K57))</f>
        <v>-0.40593709297030978</v>
      </c>
      <c r="L58" s="299">
        <f>IF(ISERROR(IRR($F57:L57)),"NA",IRR($F57:L57))</f>
        <v>-0.3375212006649102</v>
      </c>
      <c r="M58" s="299">
        <f>IF(ISERROR(IRR($F57:M57)),"NA",IRR($F57:M57))</f>
        <v>-0.28584307137249221</v>
      </c>
      <c r="N58" s="299">
        <f>IF(ISERROR(IRR($F57:N57)),"NA",IRR($F57:N57))</f>
        <v>-0.24609394879355773</v>
      </c>
      <c r="O58" s="299">
        <f>IF(ISERROR(IRR($F57:O57)),"NA",IRR($F57:O57))</f>
        <v>-0.21503482189815859</v>
      </c>
      <c r="P58" s="299">
        <f>IF(ISERROR(IRR($F57:P57)),"NA",IRR($F57:P57))</f>
        <v>-0.19045586152760818</v>
      </c>
      <c r="Q58" s="299">
        <f>IF(ISERROR(IRR($F57:Q57)),"NA",IRR($F57:Q57))</f>
        <v>-0.17082235161700476</v>
      </c>
      <c r="R58" s="299">
        <f>IF(ISERROR(IRR($F57:R57)),"NA",IRR($F57:R57))</f>
        <v>-0.15390029062557509</v>
      </c>
      <c r="S58" s="299">
        <f>IF(ISERROR(IRR($F57:S57)),"NA",IRR($F57:S57))</f>
        <v>-0.1405191321984548</v>
      </c>
      <c r="T58" s="299">
        <f>IF(ISERROR(IRR($F57:T57)),"NA",IRR($F57:T57))</f>
        <v>-0.12982228552205033</v>
      </c>
      <c r="U58" s="299">
        <f>IF(ISERROR(IRR($F57:U57)),"NA",IRR($F57:U57))</f>
        <v>-0.12133624989697578</v>
      </c>
      <c r="V58" s="299">
        <f>IF(ISERROR(IRR($F57:V57)),"NA",IRR($F57:V57))</f>
        <v>-7.4321973676278907E-2</v>
      </c>
      <c r="W58" s="299">
        <f>IF(ISERROR(IRR($F57:W57)),"NA",IRR($F57:W57))</f>
        <v>-4.9704470206506146E-2</v>
      </c>
      <c r="X58" s="299">
        <f>IF(ISERROR(IRR($F57:X57)),"NA",IRR($F57:X57))</f>
        <v>-3.3083462312391232E-2</v>
      </c>
      <c r="Y58" s="299">
        <f>IF(ISERROR(IRR($F57:Y57)),"NA",IRR($F57:Y57))</f>
        <v>-2.0769604435673772E-2</v>
      </c>
      <c r="Z58" s="299">
        <f>IF(ISERROR(IRR($F57:Z57)),"NA",IRR($F57:Z57))</f>
        <v>-1.1184183507508272E-2</v>
      </c>
      <c r="AA58" s="299">
        <f>IF(ISERROR(IRR($F57:AA57)),"NA",IRR($F57:AA57))</f>
        <v>-3.09119911610789E-3</v>
      </c>
      <c r="AB58" s="299">
        <f>IF(ISERROR(IRR($F57:AB57)),"NA",IRR($F57:AB57))</f>
        <v>3.7446350866428002E-3</v>
      </c>
      <c r="AC58" s="299">
        <f>IF(ISERROR(IRR($F57:AC57)),"NA",IRR($F57:AC57))</f>
        <v>9.5894662426780908E-3</v>
      </c>
      <c r="AD58" s="299">
        <f>IF(ISERROR(IRR($F57:AD57)),"NA",IRR($F57:AD57))</f>
        <v>1.4639704872750903E-2</v>
      </c>
      <c r="AE58" s="299">
        <f>IF(ISERROR(IRR($F57:AE57)),"NA",IRR($F57:AE57))</f>
        <v>1.9042820667690252E-2</v>
      </c>
      <c r="AF58" s="299">
        <f>IF(ISERROR(IRR($F57:AF57)),"NA",IRR($F57:AF57))</f>
        <v>2.2909587413626697E-2</v>
      </c>
      <c r="AG58" s="299">
        <f>IF(ISERROR(IRR($F57:AG57)),"NA",IRR($F57:AG57))</f>
        <v>2.6306794393906596E-2</v>
      </c>
      <c r="AH58" s="299">
        <f>IF(ISERROR(IRR($F57:AH57)),"NA",IRR($F57:AH57))</f>
        <v>2.9214908776538984E-2</v>
      </c>
      <c r="AI58" s="299">
        <f>IF(ISERROR(IRR($F57:AI57)),"NA",IRR($F57:AI57))</f>
        <v>3.1721812168271635E-2</v>
      </c>
      <c r="AJ58" s="299">
        <f>IF(ISERROR(IRR($F57:AJ57)),"NA",IRR($F57:AJ57))</f>
        <v>3.3895210794725017E-2</v>
      </c>
    </row>
    <row r="59" spans="2:36" s="1" customFormat="1">
      <c r="B59" s="37"/>
      <c r="C59" s="37"/>
      <c r="D59" s="37"/>
      <c r="E59" s="31"/>
      <c r="F59" s="62"/>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row>
    <row r="60" spans="2:36" s="1" customFormat="1">
      <c r="B60" s="260" t="s">
        <v>328</v>
      </c>
      <c r="C60" s="260"/>
      <c r="D60" s="260"/>
      <c r="F60" s="63"/>
      <c r="G60" s="31">
        <f t="shared" ref="G60:AJ60" si="21">-G148</f>
        <v>-2033553.4605256224</v>
      </c>
      <c r="H60" s="31">
        <f t="shared" si="21"/>
        <v>-3259404.5736183324</v>
      </c>
      <c r="I60" s="31">
        <f t="shared" si="21"/>
        <v>-1966765.7192806413</v>
      </c>
      <c r="J60" s="31">
        <f t="shared" si="21"/>
        <v>-1190594.222913966</v>
      </c>
      <c r="K60" s="31">
        <f t="shared" si="21"/>
        <v>-1188976.7175628</v>
      </c>
      <c r="L60" s="31">
        <f t="shared" si="21"/>
        <v>-606716.80426903034</v>
      </c>
      <c r="M60" s="31">
        <f t="shared" si="21"/>
        <v>-25234.133806340324</v>
      </c>
      <c r="N60" s="31">
        <f t="shared" si="21"/>
        <v>-25234.133806340324</v>
      </c>
      <c r="O60" s="31">
        <f t="shared" si="21"/>
        <v>-25255.14036934248</v>
      </c>
      <c r="P60" s="31">
        <f t="shared" si="21"/>
        <v>-25234.133806340324</v>
      </c>
      <c r="Q60" s="31">
        <f t="shared" si="21"/>
        <v>-25255.14036934248</v>
      </c>
      <c r="R60" s="31">
        <f t="shared" si="21"/>
        <v>-46234.133806340324</v>
      </c>
      <c r="S60" s="31">
        <f t="shared" si="21"/>
        <v>-58855.14036934248</v>
      </c>
      <c r="T60" s="31">
        <f t="shared" si="21"/>
        <v>-45394.133806340324</v>
      </c>
      <c r="U60" s="31">
        <f t="shared" si="21"/>
        <v>-37351.14036934248</v>
      </c>
      <c r="V60" s="31">
        <f t="shared" si="21"/>
        <v>-31133.1977207042</v>
      </c>
      <c r="W60" s="31">
        <f t="shared" si="21"/>
        <v>-18888.261635068073</v>
      </c>
      <c r="X60" s="31">
        <f t="shared" si="21"/>
        <v>-12840.261635068073</v>
      </c>
      <c r="Y60" s="31">
        <f t="shared" si="21"/>
        <v>-12840.261635068073</v>
      </c>
      <c r="Z60" s="31">
        <f t="shared" si="21"/>
        <v>-12840.261635068073</v>
      </c>
      <c r="AA60" s="31">
        <f t="shared" si="21"/>
        <v>-6420.1308175340364</v>
      </c>
      <c r="AB60" s="31">
        <f t="shared" si="21"/>
        <v>0</v>
      </c>
      <c r="AC60" s="31">
        <f t="shared" si="21"/>
        <v>0</v>
      </c>
      <c r="AD60" s="31">
        <f t="shared" si="21"/>
        <v>0</v>
      </c>
      <c r="AE60" s="31">
        <f t="shared" si="21"/>
        <v>0</v>
      </c>
      <c r="AF60" s="31">
        <f t="shared" si="21"/>
        <v>0</v>
      </c>
      <c r="AG60" s="31">
        <f t="shared" si="21"/>
        <v>0</v>
      </c>
      <c r="AH60" s="31">
        <f t="shared" si="21"/>
        <v>0</v>
      </c>
      <c r="AI60" s="31">
        <f t="shared" si="21"/>
        <v>0</v>
      </c>
      <c r="AJ60" s="31">
        <f t="shared" si="21"/>
        <v>0</v>
      </c>
    </row>
    <row r="61" spans="2:36" s="1" customFormat="1">
      <c r="B61" s="306" t="s">
        <v>329</v>
      </c>
      <c r="C61" s="306"/>
      <c r="D61" s="306"/>
      <c r="E61" s="29"/>
      <c r="F61" s="261"/>
      <c r="G61" s="32">
        <f>-G197</f>
        <v>-2033553.4605256224</v>
      </c>
      <c r="H61" s="32">
        <f t="shared" ref="H61:AJ61" si="22">-H197</f>
        <v>-3259404.5736183324</v>
      </c>
      <c r="I61" s="32">
        <f t="shared" si="22"/>
        <v>-1966765.7192806413</v>
      </c>
      <c r="J61" s="32">
        <f t="shared" si="22"/>
        <v>-1190594.222913966</v>
      </c>
      <c r="K61" s="32">
        <f t="shared" si="22"/>
        <v>-1188976.7175628</v>
      </c>
      <c r="L61" s="32">
        <f t="shared" si="22"/>
        <v>-606716.80426903034</v>
      </c>
      <c r="M61" s="32">
        <f t="shared" si="22"/>
        <v>-25234.133806340324</v>
      </c>
      <c r="N61" s="32">
        <f t="shared" si="22"/>
        <v>-25234.133806340324</v>
      </c>
      <c r="O61" s="32">
        <f t="shared" si="22"/>
        <v>-25255.14036934248</v>
      </c>
      <c r="P61" s="32">
        <f t="shared" si="22"/>
        <v>-25234.133806340324</v>
      </c>
      <c r="Q61" s="32">
        <f t="shared" si="22"/>
        <v>-25255.14036934248</v>
      </c>
      <c r="R61" s="32">
        <f t="shared" si="22"/>
        <v>-46234.133806340324</v>
      </c>
      <c r="S61" s="32">
        <f t="shared" si="22"/>
        <v>-58855.14036934248</v>
      </c>
      <c r="T61" s="32">
        <f t="shared" si="22"/>
        <v>-45394.133806340324</v>
      </c>
      <c r="U61" s="32">
        <f t="shared" si="22"/>
        <v>-37351.14036934248</v>
      </c>
      <c r="V61" s="32">
        <f t="shared" si="22"/>
        <v>-31133.1977207042</v>
      </c>
      <c r="W61" s="32">
        <f t="shared" si="22"/>
        <v>-18888.261635068073</v>
      </c>
      <c r="X61" s="32">
        <f t="shared" si="22"/>
        <v>-12840.261635068073</v>
      </c>
      <c r="Y61" s="32">
        <f t="shared" si="22"/>
        <v>-12840.261635068073</v>
      </c>
      <c r="Z61" s="32">
        <f t="shared" si="22"/>
        <v>-12840.261635068073</v>
      </c>
      <c r="AA61" s="32">
        <f t="shared" si="22"/>
        <v>-6420.1308175340364</v>
      </c>
      <c r="AB61" s="32">
        <f t="shared" si="22"/>
        <v>0</v>
      </c>
      <c r="AC61" s="32">
        <f t="shared" si="22"/>
        <v>0</v>
      </c>
      <c r="AD61" s="32">
        <f t="shared" si="22"/>
        <v>0</v>
      </c>
      <c r="AE61" s="32">
        <f t="shared" si="22"/>
        <v>0</v>
      </c>
      <c r="AF61" s="32">
        <f t="shared" si="22"/>
        <v>0</v>
      </c>
      <c r="AG61" s="32">
        <f t="shared" si="22"/>
        <v>0</v>
      </c>
      <c r="AH61" s="32">
        <f t="shared" si="22"/>
        <v>0</v>
      </c>
      <c r="AI61" s="32">
        <f t="shared" si="22"/>
        <v>0</v>
      </c>
      <c r="AJ61" s="32">
        <f t="shared" si="22"/>
        <v>0</v>
      </c>
    </row>
    <row r="62" spans="2:36" s="1" customFormat="1" ht="15.75">
      <c r="B62" s="26" t="s">
        <v>330</v>
      </c>
      <c r="C62" s="26"/>
      <c r="D62" s="26"/>
      <c r="F62" s="63"/>
      <c r="G62" s="31">
        <f>IF('Active Inputs'!$G$72="No",0,(G$47+G60))</f>
        <v>-1555253.404077929</v>
      </c>
      <c r="H62" s="31">
        <f>IF('Active Inputs'!$G$72="No",0,(H$47+H$60))</f>
        <v>-2777719.1317853872</v>
      </c>
      <c r="I62" s="31">
        <f>IF('Active Inputs'!$G$72="No",0,(I$47+I$60))</f>
        <v>-1480474.0262486343</v>
      </c>
      <c r="J62" s="31">
        <f>IF('Active Inputs'!$G$72="No",0,(J$47+J$60))</f>
        <v>-698489.42293683719</v>
      </c>
      <c r="K62" s="31">
        <f>IF('Active Inputs'!$G$72="No",0,(K$47+K$60))</f>
        <v>-689753.79615581909</v>
      </c>
      <c r="L62" s="31">
        <f>IF('Active Inputs'!$G$72="No",0,(L$47+L$60))</f>
        <v>-98964.865706991986</v>
      </c>
      <c r="M62" s="31">
        <f>IF('Active Inputs'!$G$72="No",0,(M$47+M$60))</f>
        <v>492571.91761624301</v>
      </c>
      <c r="N62" s="31">
        <f>IF('Active Inputs'!$G$72="No",0,(N$47+N$60))</f>
        <v>504274.28694618266</v>
      </c>
      <c r="O62" s="31">
        <f>IF('Active Inputs'!$G$72="No",0,(O$47+O$60))</f>
        <v>517736.71909302211</v>
      </c>
      <c r="P62" s="31">
        <f>IF('Active Inputs'!$G$72="No",0,(P$47+P$60))</f>
        <v>533165.44326770806</v>
      </c>
      <c r="Q62" s="31">
        <f>IF('Active Inputs'!$G$72="No",0,(Q$47+Q$60))</f>
        <v>550630.84099095</v>
      </c>
      <c r="R62" s="31">
        <f>IF('Active Inputs'!$G$72="No",0,(R$47+R$60))</f>
        <v>548228.40773699223</v>
      </c>
      <c r="S62" s="31">
        <f>IF('Active Inputs'!$G$72="No",0,(S$47+S$60))</f>
        <v>556503.57740470895</v>
      </c>
      <c r="T62" s="31">
        <f>IF('Active Inputs'!$G$72="No",0,(T$47+T$60))</f>
        <v>594528.82816806878</v>
      </c>
      <c r="U62" s="31">
        <f>IF('Active Inputs'!$G$72="No",0,(U$47+U$60))</f>
        <v>629962.65514636226</v>
      </c>
      <c r="V62" s="31">
        <f>IF('Active Inputs'!$G$72="No",0,(V$47+V$60))</f>
        <v>666622.7719040066</v>
      </c>
      <c r="W62" s="31">
        <f>IF('Active Inputs'!$G$72="No",0,(W$47+W$60))</f>
        <v>663827.64710366831</v>
      </c>
      <c r="X62" s="31">
        <f>IF('Active Inputs'!$G$72="No",0,(X$47+X$60))</f>
        <v>654652.09502859705</v>
      </c>
      <c r="Y62" s="31">
        <f>IF('Active Inputs'!$G$72="No",0,(Y$47+Y$60))</f>
        <v>639239.89566432103</v>
      </c>
      <c r="Z62" s="31">
        <f>IF('Active Inputs'!$G$72="No",0,(Z$47+Z$60))</f>
        <v>623633.77022832609</v>
      </c>
      <c r="AA62" s="31">
        <f>IF('Active Inputs'!$G$72="No",0,(AA$47+AA$60))</f>
        <v>649498.95274508966</v>
      </c>
      <c r="AB62" s="31">
        <f>IF('Active Inputs'!$G$72="No",0,(AB$47+AB$60))</f>
        <v>665805.59244156489</v>
      </c>
      <c r="AC62" s="31">
        <f>IF('Active Inputs'!$G$72="No",0,(AC$47+AC$60))</f>
        <v>675029.64020103705</v>
      </c>
      <c r="AD62" s="31">
        <f>IF('Active Inputs'!$G$72="No",0,(AD$47+AD$60))</f>
        <v>684212.77443751181</v>
      </c>
      <c r="AE62" s="31">
        <f>IF('Active Inputs'!$G$72="No",0,(AE$47+AE$60))</f>
        <v>693668.3216091434</v>
      </c>
      <c r="AF62" s="31">
        <f>IF('Active Inputs'!$G$72="No",0,(AF$47+AF$60))</f>
        <v>703170.08594576549</v>
      </c>
      <c r="AG62" s="31">
        <f>IF('Active Inputs'!$G$72="No",0,(AG$47+AG$60))</f>
        <v>708413.86818287242</v>
      </c>
      <c r="AH62" s="31">
        <f>IF('Active Inputs'!$G$72="No",0,(AH$47+AH$60))</f>
        <v>690115.07491257798</v>
      </c>
      <c r="AI62" s="31">
        <f>IF('Active Inputs'!$G$72="No",0,(AI$47+AI$60))</f>
        <v>671573.45174814714</v>
      </c>
      <c r="AJ62" s="31">
        <f>IF('Active Inputs'!$G$72="No",0,(AJ$47+AJ$60))</f>
        <v>652782.28093038383</v>
      </c>
    </row>
    <row r="63" spans="2:36" s="1" customFormat="1" ht="15.75">
      <c r="B63" s="26" t="s">
        <v>331</v>
      </c>
      <c r="C63" s="26"/>
      <c r="D63" s="26"/>
      <c r="F63" s="63"/>
      <c r="G63" s="31">
        <f>IF('Active Inputs'!$G$72="No",0,(G$47+G61))</f>
        <v>-1555253.404077929</v>
      </c>
      <c r="H63" s="31">
        <f>IF('Active Inputs'!$G$72="No",0,(H$47+H61))</f>
        <v>-2777719.1317853872</v>
      </c>
      <c r="I63" s="31">
        <f>IF('Active Inputs'!$G$72="No",0,(I$47+I61))</f>
        <v>-1480474.0262486343</v>
      </c>
      <c r="J63" s="31">
        <f>IF('Active Inputs'!$G$72="No",0,(J$47+J61))</f>
        <v>-698489.42293683719</v>
      </c>
      <c r="K63" s="31">
        <f>IF('Active Inputs'!$G$72="No",0,(K$47+K61))</f>
        <v>-689753.79615581909</v>
      </c>
      <c r="L63" s="31">
        <f>IF('Active Inputs'!$G$72="No",0,(L$47+L61))</f>
        <v>-98964.865706991986</v>
      </c>
      <c r="M63" s="31">
        <f>IF('Active Inputs'!$G$72="No",0,(M$47+M61))</f>
        <v>492571.91761624301</v>
      </c>
      <c r="N63" s="31">
        <f>IF('Active Inputs'!$G$72="No",0,(N$47+N61))</f>
        <v>504274.28694618266</v>
      </c>
      <c r="O63" s="31">
        <f>IF('Active Inputs'!$G$72="No",0,(O$47+O61))</f>
        <v>517736.71909302211</v>
      </c>
      <c r="P63" s="31">
        <f>IF('Active Inputs'!$G$72="No",0,(P$47+P61))</f>
        <v>533165.44326770806</v>
      </c>
      <c r="Q63" s="31">
        <f>IF('Active Inputs'!$G$72="No",0,(Q$47+Q61))</f>
        <v>550630.84099095</v>
      </c>
      <c r="R63" s="31">
        <f>IF('Active Inputs'!$G$72="No",0,(R$47+R61))</f>
        <v>548228.40773699223</v>
      </c>
      <c r="S63" s="31">
        <f>IF('Active Inputs'!$G$72="No",0,(S$47+S61))</f>
        <v>556503.57740470895</v>
      </c>
      <c r="T63" s="31">
        <f>IF('Active Inputs'!$G$72="No",0,(T$47+T61))</f>
        <v>594528.82816806878</v>
      </c>
      <c r="U63" s="31">
        <f>IF('Active Inputs'!$G$72="No",0,(U$47+U61))</f>
        <v>629962.65514636226</v>
      </c>
      <c r="V63" s="31">
        <f>IF('Active Inputs'!$G$72="No",0,(V$47+V61))</f>
        <v>666622.7719040066</v>
      </c>
      <c r="W63" s="31">
        <f>IF('Active Inputs'!$G$72="No",0,(W$47+W61))</f>
        <v>663827.64710366831</v>
      </c>
      <c r="X63" s="31">
        <f>IF('Active Inputs'!$G$72="No",0,(X$47+X61))</f>
        <v>654652.09502859705</v>
      </c>
      <c r="Y63" s="31">
        <f>IF('Active Inputs'!$G$72="No",0,(Y$47+Y61))</f>
        <v>639239.89566432103</v>
      </c>
      <c r="Z63" s="31">
        <f>IF('Active Inputs'!$G$72="No",0,(Z$47+Z61))</f>
        <v>623633.77022832609</v>
      </c>
      <c r="AA63" s="31">
        <f>IF('Active Inputs'!$G$72="No",0,(AA$47+AA61))</f>
        <v>649498.95274508966</v>
      </c>
      <c r="AB63" s="31">
        <f>IF('Active Inputs'!$G$72="No",0,(AB$47+AB61))</f>
        <v>665805.59244156489</v>
      </c>
      <c r="AC63" s="31">
        <f>IF('Active Inputs'!$G$72="No",0,(AC$47+AC61))</f>
        <v>675029.64020103705</v>
      </c>
      <c r="AD63" s="31">
        <f>IF('Active Inputs'!$G$72="No",0,(AD$47+AD61))</f>
        <v>684212.77443751181</v>
      </c>
      <c r="AE63" s="31">
        <f>IF('Active Inputs'!$G$72="No",0,(AE$47+AE61))</f>
        <v>693668.3216091434</v>
      </c>
      <c r="AF63" s="31">
        <f>IF('Active Inputs'!$G$72="No",0,(AF$47+AF61))</f>
        <v>703170.08594576549</v>
      </c>
      <c r="AG63" s="31">
        <f>IF('Active Inputs'!$G$72="No",0,(AG$47+AG61))</f>
        <v>708413.86818287242</v>
      </c>
      <c r="AH63" s="31">
        <f>IF('Active Inputs'!$G$72="No",0,(AH$47+AH61))</f>
        <v>690115.07491257798</v>
      </c>
      <c r="AI63" s="31">
        <f>IF('Active Inputs'!$G$72="No",0,(AI$47+AI61))</f>
        <v>671573.45174814714</v>
      </c>
      <c r="AJ63" s="31">
        <f>IF('Active Inputs'!$G$72="No",0,(AJ$47+AJ61))</f>
        <v>652782.28093038383</v>
      </c>
    </row>
    <row r="64" spans="2:36" s="1" customFormat="1" ht="15.75">
      <c r="B64" s="36"/>
      <c r="C64" s="36"/>
      <c r="D64" s="36"/>
      <c r="F64" s="63"/>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row>
    <row r="65" spans="2:36" s="1" customFormat="1" ht="15.75">
      <c r="B65" s="26" t="s">
        <v>332</v>
      </c>
      <c r="C65" s="26"/>
      <c r="D65" s="26"/>
      <c r="F65" s="262" t="str">
        <f>'Active Inputs'!G74</f>
        <v>As Generated</v>
      </c>
      <c r="G65" s="31">
        <f t="shared" ref="G65:AJ65" si="23">IF($F$65="as generated",G$62,G$212)</f>
        <v>-1555253.404077929</v>
      </c>
      <c r="H65" s="31">
        <f t="shared" si="23"/>
        <v>-2777719.1317853872</v>
      </c>
      <c r="I65" s="31">
        <f t="shared" si="23"/>
        <v>-1480474.0262486343</v>
      </c>
      <c r="J65" s="31">
        <f t="shared" si="23"/>
        <v>-698489.42293683719</v>
      </c>
      <c r="K65" s="31">
        <f t="shared" si="23"/>
        <v>-689753.79615581909</v>
      </c>
      <c r="L65" s="31">
        <f t="shared" si="23"/>
        <v>-98964.865706991986</v>
      </c>
      <c r="M65" s="31">
        <f t="shared" si="23"/>
        <v>492571.91761624301</v>
      </c>
      <c r="N65" s="31">
        <f t="shared" si="23"/>
        <v>504274.28694618266</v>
      </c>
      <c r="O65" s="31">
        <f t="shared" si="23"/>
        <v>517736.71909302211</v>
      </c>
      <c r="P65" s="31">
        <f t="shared" si="23"/>
        <v>533165.44326770806</v>
      </c>
      <c r="Q65" s="31">
        <f t="shared" si="23"/>
        <v>550630.84099095</v>
      </c>
      <c r="R65" s="31">
        <f t="shared" si="23"/>
        <v>548228.40773699223</v>
      </c>
      <c r="S65" s="31">
        <f t="shared" si="23"/>
        <v>556503.57740470895</v>
      </c>
      <c r="T65" s="31">
        <f t="shared" si="23"/>
        <v>594528.82816806878</v>
      </c>
      <c r="U65" s="31">
        <f t="shared" si="23"/>
        <v>629962.65514636226</v>
      </c>
      <c r="V65" s="31">
        <f t="shared" si="23"/>
        <v>666622.7719040066</v>
      </c>
      <c r="W65" s="31">
        <f t="shared" si="23"/>
        <v>663827.64710366831</v>
      </c>
      <c r="X65" s="31">
        <f t="shared" si="23"/>
        <v>654652.09502859705</v>
      </c>
      <c r="Y65" s="31">
        <f t="shared" si="23"/>
        <v>639239.89566432103</v>
      </c>
      <c r="Z65" s="31">
        <f t="shared" si="23"/>
        <v>623633.77022832609</v>
      </c>
      <c r="AA65" s="31">
        <f t="shared" si="23"/>
        <v>649498.95274508966</v>
      </c>
      <c r="AB65" s="31">
        <f t="shared" si="23"/>
        <v>665805.59244156489</v>
      </c>
      <c r="AC65" s="31">
        <f t="shared" si="23"/>
        <v>675029.64020103705</v>
      </c>
      <c r="AD65" s="31">
        <f t="shared" si="23"/>
        <v>684212.77443751181</v>
      </c>
      <c r="AE65" s="31">
        <f t="shared" si="23"/>
        <v>693668.3216091434</v>
      </c>
      <c r="AF65" s="31">
        <f t="shared" si="23"/>
        <v>703170.08594576549</v>
      </c>
      <c r="AG65" s="31">
        <f t="shared" si="23"/>
        <v>708413.86818287242</v>
      </c>
      <c r="AH65" s="31">
        <f t="shared" si="23"/>
        <v>690115.07491257798</v>
      </c>
      <c r="AI65" s="31">
        <f t="shared" si="23"/>
        <v>671573.45174814714</v>
      </c>
      <c r="AJ65" s="31">
        <f t="shared" si="23"/>
        <v>652782.28093038383</v>
      </c>
    </row>
    <row r="66" spans="2:36" s="1" customFormat="1" ht="15.75">
      <c r="B66" s="26" t="s">
        <v>333</v>
      </c>
      <c r="C66" s="26"/>
      <c r="D66" s="26"/>
      <c r="F66" s="262" t="str">
        <f>'Active Inputs'!G76</f>
        <v>As Generated</v>
      </c>
      <c r="G66" s="31">
        <f t="shared" ref="G66:AJ66" si="24">IF($F$66="as generated",G$63,G$221)</f>
        <v>-1555253.404077929</v>
      </c>
      <c r="H66" s="31">
        <f t="shared" si="24"/>
        <v>-2777719.1317853872</v>
      </c>
      <c r="I66" s="31">
        <f t="shared" si="24"/>
        <v>-1480474.0262486343</v>
      </c>
      <c r="J66" s="31">
        <f t="shared" si="24"/>
        <v>-698489.42293683719</v>
      </c>
      <c r="K66" s="31">
        <f t="shared" si="24"/>
        <v>-689753.79615581909</v>
      </c>
      <c r="L66" s="31">
        <f t="shared" si="24"/>
        <v>-98964.865706991986</v>
      </c>
      <c r="M66" s="31">
        <f t="shared" si="24"/>
        <v>492571.91761624301</v>
      </c>
      <c r="N66" s="31">
        <f t="shared" si="24"/>
        <v>504274.28694618266</v>
      </c>
      <c r="O66" s="31">
        <f t="shared" si="24"/>
        <v>517736.71909302211</v>
      </c>
      <c r="P66" s="31">
        <f t="shared" si="24"/>
        <v>533165.44326770806</v>
      </c>
      <c r="Q66" s="31">
        <f t="shared" si="24"/>
        <v>550630.84099095</v>
      </c>
      <c r="R66" s="31">
        <f t="shared" si="24"/>
        <v>548228.40773699223</v>
      </c>
      <c r="S66" s="31">
        <f t="shared" si="24"/>
        <v>556503.57740470895</v>
      </c>
      <c r="T66" s="31">
        <f t="shared" si="24"/>
        <v>594528.82816806878</v>
      </c>
      <c r="U66" s="31">
        <f t="shared" si="24"/>
        <v>629962.65514636226</v>
      </c>
      <c r="V66" s="31">
        <f t="shared" si="24"/>
        <v>666622.7719040066</v>
      </c>
      <c r="W66" s="31">
        <f t="shared" si="24"/>
        <v>663827.64710366831</v>
      </c>
      <c r="X66" s="31">
        <f t="shared" si="24"/>
        <v>654652.09502859705</v>
      </c>
      <c r="Y66" s="31">
        <f t="shared" si="24"/>
        <v>639239.89566432103</v>
      </c>
      <c r="Z66" s="31">
        <f t="shared" si="24"/>
        <v>623633.77022832609</v>
      </c>
      <c r="AA66" s="31">
        <f t="shared" si="24"/>
        <v>649498.95274508966</v>
      </c>
      <c r="AB66" s="31">
        <f t="shared" si="24"/>
        <v>665805.59244156489</v>
      </c>
      <c r="AC66" s="31">
        <f t="shared" si="24"/>
        <v>675029.64020103705</v>
      </c>
      <c r="AD66" s="31">
        <f t="shared" si="24"/>
        <v>684212.77443751181</v>
      </c>
      <c r="AE66" s="31">
        <f t="shared" si="24"/>
        <v>693668.3216091434</v>
      </c>
      <c r="AF66" s="31">
        <f t="shared" si="24"/>
        <v>703170.08594576549</v>
      </c>
      <c r="AG66" s="31">
        <f t="shared" si="24"/>
        <v>708413.86818287242</v>
      </c>
      <c r="AH66" s="31">
        <f t="shared" si="24"/>
        <v>690115.07491257798</v>
      </c>
      <c r="AI66" s="31">
        <f t="shared" si="24"/>
        <v>671573.45174814714</v>
      </c>
      <c r="AJ66" s="31">
        <f t="shared" si="24"/>
        <v>652782.28093038383</v>
      </c>
    </row>
    <row r="67" spans="2:36" s="1" customFormat="1">
      <c r="B67" s="260"/>
      <c r="C67" s="260"/>
      <c r="D67" s="260"/>
      <c r="F67" s="63"/>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row>
    <row r="68" spans="2:36" s="1" customFormat="1">
      <c r="B68" s="1" t="s">
        <v>334</v>
      </c>
      <c r="E68" s="250"/>
      <c r="G68" s="598">
        <f>IF('Active Inputs'!$G$72="No",0,-(G$65+MIN(G69,0))*'Active Inputs'!$G$73)</f>
        <v>326603.21485636506</v>
      </c>
      <c r="H68" s="598">
        <f>IF('Active Inputs'!$G$72="No",0,-(H$65+MIN(H69,0))*'Active Inputs'!$G$73)</f>
        <v>583321.01767493133</v>
      </c>
      <c r="I68" s="598">
        <f>IF('Active Inputs'!$G$72="No",0,-(I$65+MIN(I69,0))*'Active Inputs'!$G$73)</f>
        <v>310899.5455122132</v>
      </c>
      <c r="J68" s="598">
        <f>IF('Active Inputs'!$G$72="No",0,-(J$65+MIN(J69,0))*'Active Inputs'!$G$73)</f>
        <v>146682.77881673581</v>
      </c>
      <c r="K68" s="598">
        <f>IF('Active Inputs'!$G$72="No",0,-(K$65+MIN(K69,0))*'Active Inputs'!$G$73)</f>
        <v>144848.29719272201</v>
      </c>
      <c r="L68" s="598">
        <f>IF('Active Inputs'!$G$72="No",0,-(L$65+MIN(L69,0))*'Active Inputs'!$G$73)</f>
        <v>20782.621798468317</v>
      </c>
      <c r="M68" s="598">
        <f>IF('Active Inputs'!$G$72="No",0,-(M$65+MIN(M69,0))*'Active Inputs'!$G$73)</f>
        <v>-94130.493456464043</v>
      </c>
      <c r="N68" s="598">
        <f>IF('Active Inputs'!$G$72="No",0,-(N$65+MIN(N69,0))*'Active Inputs'!$G$73)</f>
        <v>-96366.816235415507</v>
      </c>
      <c r="O68" s="598">
        <f>IF('Active Inputs'!$G$72="No",0,-(O$65+MIN(O69,0))*'Active Inputs'!$G$73)</f>
        <v>-98939.487018676518</v>
      </c>
      <c r="P68" s="598">
        <f>IF('Active Inputs'!$G$72="No",0,-(P$65+MIN(P69,0))*'Active Inputs'!$G$73)</f>
        <v>-101887.91620845901</v>
      </c>
      <c r="Q68" s="598">
        <f>IF('Active Inputs'!$G$72="No",0,-(Q$65+MIN(Q69,0))*'Active Inputs'!$G$73)</f>
        <v>-105225.55371337055</v>
      </c>
      <c r="R68" s="598">
        <f>IF('Active Inputs'!$G$72="No",0,-(R$65+MIN(R69,0))*'Active Inputs'!$G$73)</f>
        <v>-104766.44871853921</v>
      </c>
      <c r="S68" s="598">
        <f>IF('Active Inputs'!$G$72="No",0,-(S$65+MIN(S69,0))*'Active Inputs'!$G$73)</f>
        <v>-106347.83364203987</v>
      </c>
      <c r="T68" s="598">
        <f>IF('Active Inputs'!$G$72="No",0,-(T$65+MIN(T69,0))*'Active Inputs'!$G$73)</f>
        <v>-113614.45906291793</v>
      </c>
      <c r="U68" s="598">
        <f>IF('Active Inputs'!$G$72="No",0,-(U$65+MIN(U69,0))*'Active Inputs'!$G$73)</f>
        <v>-120385.86339846984</v>
      </c>
      <c r="V68" s="598">
        <f>IF('Active Inputs'!$G$72="No",0,-(V$65+MIN(V69,0))*'Active Inputs'!$G$73)</f>
        <v>-127391.61171085565</v>
      </c>
      <c r="W68" s="598">
        <f>IF('Active Inputs'!$G$72="No",0,-(W$65+MIN(W69,0))*'Active Inputs'!$G$73)</f>
        <v>-126857.46336151101</v>
      </c>
      <c r="X68" s="598">
        <f>IF('Active Inputs'!$G$72="No",0,-(X$65+MIN(X69,0))*'Active Inputs'!$G$73)</f>
        <v>-125104.01535996491</v>
      </c>
      <c r="Y68" s="598">
        <f>IF('Active Inputs'!$G$72="No",0,-(Y$65+MIN(Y69,0))*'Active Inputs'!$G$73)</f>
        <v>-122158.74406145174</v>
      </c>
      <c r="Z68" s="598">
        <f>IF('Active Inputs'!$G$72="No",0,-(Z$65+MIN(Z69,0))*'Active Inputs'!$G$73)</f>
        <v>-119176.41349063312</v>
      </c>
      <c r="AA68" s="598">
        <f>IF('Active Inputs'!$G$72="No",0,-(AA$65+MIN(AA69,0))*'Active Inputs'!$G$73)</f>
        <v>-124119.24986958662</v>
      </c>
      <c r="AB68" s="598">
        <f>IF('Active Inputs'!$G$72="No",0,-(AB$65+MIN(AB69,0))*'Active Inputs'!$G$73)</f>
        <v>-127235.44871558304</v>
      </c>
      <c r="AC68" s="598">
        <f>IF('Active Inputs'!$G$72="No",0,-(AC$65+MIN(AC69,0))*'Active Inputs'!$G$73)</f>
        <v>-128998.16424241818</v>
      </c>
      <c r="AD68" s="598">
        <f>IF('Active Inputs'!$G$72="No",0,-(AD$65+MIN(AD69,0))*'Active Inputs'!$G$73)</f>
        <v>-130753.0611950085</v>
      </c>
      <c r="AE68" s="598">
        <f>IF('Active Inputs'!$G$72="No",0,-(AE$65+MIN(AE69,0))*'Active Inputs'!$G$73)</f>
        <v>-132560.01625950728</v>
      </c>
      <c r="AF68" s="598">
        <f>IF('Active Inputs'!$G$72="No",0,-(AF$65+MIN(AF69,0))*'Active Inputs'!$G$73)</f>
        <v>-134375.80342423578</v>
      </c>
      <c r="AG68" s="598">
        <f>IF('Active Inputs'!$G$72="No",0,-(AG$65+MIN(AG69,0))*'Active Inputs'!$G$73)</f>
        <v>-135377.8902097469</v>
      </c>
      <c r="AH68" s="598">
        <f>IF('Active Inputs'!$G$72="No",0,-(AH$65+MIN(AH69,0))*'Active Inputs'!$G$73)</f>
        <v>-131880.99081579366</v>
      </c>
      <c r="AI68" s="598">
        <f>IF('Active Inputs'!$G$72="No",0,-(AI$65+MIN(AI69,0))*'Active Inputs'!$G$73)</f>
        <v>-128337.6866290709</v>
      </c>
      <c r="AJ68" s="598">
        <f>IF('Active Inputs'!$G$72="No",0,-(AJ$65+MIN(AJ69,0))*'Active Inputs'!$G$73)</f>
        <v>-124746.69388579634</v>
      </c>
    </row>
    <row r="69" spans="2:36" s="1" customFormat="1">
      <c r="B69" s="1" t="s">
        <v>335</v>
      </c>
      <c r="G69" s="31">
        <f>IF('Active Inputs'!$G$72="No",0,-(G$66-IF(AND('Active Inputs'!$Q$39="Cash",'Active Inputs'!$Q$40="No"),'Cash Flow'!G$21,0))*'Active Inputs'!$G$75)</f>
        <v>139972.8063670136</v>
      </c>
      <c r="H69" s="31">
        <f>IF('Active Inputs'!$G$72="No",0,-(H$66-IF(AND('Active Inputs'!$Q$39="Cash",'Active Inputs'!$Q$40="No"),'Cash Flow'!H$21,0))*'Active Inputs'!$G$75)</f>
        <v>249994.72186068483</v>
      </c>
      <c r="I69" s="31">
        <f>IF('Active Inputs'!$G$72="No",0,-(I$66-IF(AND('Active Inputs'!$Q$39="Cash",'Active Inputs'!$Q$40="No"),'Cash Flow'!I$21,0))*'Active Inputs'!$G$75)</f>
        <v>133242.66236237707</v>
      </c>
      <c r="J69" s="31">
        <f>IF('Active Inputs'!$G$72="No",0,-(J$66-IF(AND('Active Inputs'!$Q$39="Cash",'Active Inputs'!$Q$40="No"),'Cash Flow'!J$21,0))*'Active Inputs'!$G$75)</f>
        <v>62864.048064315342</v>
      </c>
      <c r="K69" s="31">
        <f>IF('Active Inputs'!$G$72="No",0,-(K$66-IF(AND('Active Inputs'!$Q$39="Cash",'Active Inputs'!$Q$40="No"),'Cash Flow'!K$21,0))*'Active Inputs'!$G$75)</f>
        <v>62077.841654023716</v>
      </c>
      <c r="L69" s="31">
        <f>IF('Active Inputs'!$G$72="No",0,-(L$66-IF(AND('Active Inputs'!$Q$39="Cash",'Active Inputs'!$Q$40="No"),'Cash Flow'!L$21,0))*'Active Inputs'!$G$75)</f>
        <v>8906.8379136292788</v>
      </c>
      <c r="M69" s="31">
        <f>IF('Active Inputs'!$G$72="No",0,-(M$66-IF(AND('Active Inputs'!$Q$39="Cash",'Active Inputs'!$Q$40="No"),'Cash Flow'!M$21,0))*'Active Inputs'!$G$75)</f>
        <v>-44331.472585461866</v>
      </c>
      <c r="N69" s="31">
        <f>IF('Active Inputs'!$G$72="No",0,-(N$66-IF(AND('Active Inputs'!$Q$39="Cash",'Active Inputs'!$Q$40="No"),'Cash Flow'!N$21,0))*'Active Inputs'!$G$75)</f>
        <v>-45384.685825156441</v>
      </c>
      <c r="O69" s="31">
        <f>IF('Active Inputs'!$G$72="No",0,-(O$66-IF(AND('Active Inputs'!$Q$39="Cash",'Active Inputs'!$Q$40="No"),'Cash Flow'!O$21,0))*'Active Inputs'!$G$75)</f>
        <v>-46596.30471837199</v>
      </c>
      <c r="P69" s="31">
        <f>IF('Active Inputs'!$G$72="No",0,-(P$66-IF(AND('Active Inputs'!$Q$39="Cash",'Active Inputs'!$Q$40="No"),'Cash Flow'!P$21,0))*'Active Inputs'!$G$75)</f>
        <v>-47984.889894093722</v>
      </c>
      <c r="Q69" s="31">
        <f>IF('Active Inputs'!$G$72="No",0,-(Q$66-IF(AND('Active Inputs'!$Q$39="Cash",'Active Inputs'!$Q$40="No"),'Cash Flow'!Q$21,0))*'Active Inputs'!$G$75)</f>
        <v>-49556.775689185495</v>
      </c>
      <c r="R69" s="31">
        <f>IF('Active Inputs'!$G$72="No",0,-(R$66-IF(AND('Active Inputs'!$Q$39="Cash",'Active Inputs'!$Q$40="No"),'Cash Flow'!R$21,0))*'Active Inputs'!$G$75)</f>
        <v>-49340.556696329302</v>
      </c>
      <c r="S69" s="31">
        <f>IF('Active Inputs'!$G$72="No",0,-(S$66-IF(AND('Active Inputs'!$Q$39="Cash",'Active Inputs'!$Q$40="No"),'Cash Flow'!S$21,0))*'Active Inputs'!$G$75)</f>
        <v>-50085.321966423806</v>
      </c>
      <c r="T69" s="31">
        <f>IF('Active Inputs'!$G$72="No",0,-(T$66-IF(AND('Active Inputs'!$Q$39="Cash",'Active Inputs'!$Q$40="No"),'Cash Flow'!T$21,0))*'Active Inputs'!$G$75)</f>
        <v>-53507.594535126191</v>
      </c>
      <c r="U69" s="31">
        <f>IF('Active Inputs'!$G$72="No",0,-(U$66-IF(AND('Active Inputs'!$Q$39="Cash",'Active Inputs'!$Q$40="No"),'Cash Flow'!U$21,0))*'Active Inputs'!$G$75)</f>
        <v>-56696.638963172598</v>
      </c>
      <c r="V69" s="31">
        <f>IF('Active Inputs'!$G$72="No",0,-(V$66-IF(AND('Active Inputs'!$Q$39="Cash",'Active Inputs'!$Q$40="No"),'Cash Flow'!V$21,0))*'Active Inputs'!$G$75)</f>
        <v>-59996.049471360595</v>
      </c>
      <c r="W69" s="31">
        <f>IF('Active Inputs'!$G$72="No",0,-(W$66-IF(AND('Active Inputs'!$Q$39="Cash",'Active Inputs'!$Q$40="No"),'Cash Flow'!W$21,0))*'Active Inputs'!$G$75)</f>
        <v>-59744.488239330145</v>
      </c>
      <c r="X69" s="31">
        <f>IF('Active Inputs'!$G$72="No",0,-(X$66-IF(AND('Active Inputs'!$Q$39="Cash",'Active Inputs'!$Q$40="No"),'Cash Flow'!X$21,0))*'Active Inputs'!$G$75)</f>
        <v>-58918.688552573731</v>
      </c>
      <c r="Y69" s="31">
        <f>IF('Active Inputs'!$G$72="No",0,-(Y$66-IF(AND('Active Inputs'!$Q$39="Cash",'Active Inputs'!$Q$40="No"),'Cash Flow'!Y$21,0))*'Active Inputs'!$G$75)</f>
        <v>-57531.590609788887</v>
      </c>
      <c r="Z69" s="31">
        <f>IF('Active Inputs'!$G$72="No",0,-(Z$66-IF(AND('Active Inputs'!$Q$39="Cash",'Active Inputs'!$Q$40="No"),'Cash Flow'!Z$21,0))*'Active Inputs'!$G$75)</f>
        <v>-56127.039320549346</v>
      </c>
      <c r="AA69" s="31">
        <f>IF('Active Inputs'!$G$72="No",0,-(AA$66-IF(AND('Active Inputs'!$Q$39="Cash",'Active Inputs'!$Q$40="No"),'Cash Flow'!AA$21,0))*'Active Inputs'!$G$75)</f>
        <v>-58454.905747058066</v>
      </c>
      <c r="AB69" s="31">
        <f>IF('Active Inputs'!$G$72="No",0,-(AB$66-IF(AND('Active Inputs'!$Q$39="Cash",'Active Inputs'!$Q$40="No"),'Cash Flow'!AB$21,0))*'Active Inputs'!$G$75)</f>
        <v>-59922.503319740841</v>
      </c>
      <c r="AC69" s="31">
        <f>IF('Active Inputs'!$G$72="No",0,-(AC$66-IF(AND('Active Inputs'!$Q$39="Cash",'Active Inputs'!$Q$40="No"),'Cash Flow'!AC$21,0))*'Active Inputs'!$G$75)</f>
        <v>-60752.667618093335</v>
      </c>
      <c r="AD69" s="31">
        <f>IF('Active Inputs'!$G$72="No",0,-(AD$66-IF(AND('Active Inputs'!$Q$39="Cash",'Active Inputs'!$Q$40="No"),'Cash Flow'!AD$21,0))*'Active Inputs'!$G$75)</f>
        <v>-61579.149699376059</v>
      </c>
      <c r="AE69" s="31">
        <f>IF('Active Inputs'!$G$72="No",0,-(AE$66-IF(AND('Active Inputs'!$Q$39="Cash",'Active Inputs'!$Q$40="No"),'Cash Flow'!AE$21,0))*'Active Inputs'!$G$75)</f>
        <v>-62430.148944822904</v>
      </c>
      <c r="AF69" s="31">
        <f>IF('Active Inputs'!$G$72="No",0,-(AF$66-IF(AND('Active Inputs'!$Q$39="Cash",'Active Inputs'!$Q$40="No"),'Cash Flow'!AF$21,0))*'Active Inputs'!$G$75)</f>
        <v>-63285.307735118891</v>
      </c>
      <c r="AG69" s="31">
        <f>IF('Active Inputs'!$G$72="No",0,-(AG$66-IF(AND('Active Inputs'!$Q$39="Cash",'Active Inputs'!$Q$40="No"),'Cash Flow'!AG$21,0))*'Active Inputs'!$G$75)</f>
        <v>-63757.248136458518</v>
      </c>
      <c r="AH69" s="31">
        <f>IF('Active Inputs'!$G$72="No",0,-(AH$66-IF(AND('Active Inputs'!$Q$39="Cash",'Active Inputs'!$Q$40="No"),'Cash Flow'!AH$21,0))*'Active Inputs'!$G$75)</f>
        <v>-62110.356742132019</v>
      </c>
      <c r="AI69" s="31">
        <f>IF('Active Inputs'!$G$72="No",0,-(AI$66-IF(AND('Active Inputs'!$Q$39="Cash",'Active Inputs'!$Q$40="No"),'Cash Flow'!AI$21,0))*'Active Inputs'!$G$75)</f>
        <v>-60441.610657333244</v>
      </c>
      <c r="AJ69" s="31">
        <f>IF('Active Inputs'!$G$72="No",0,-(AJ$66-IF(AND('Active Inputs'!$Q$39="Cash",'Active Inputs'!$Q$40="No"),'Cash Flow'!AJ$21,0))*'Active Inputs'!$G$75)</f>
        <v>-58750.405283734544</v>
      </c>
    </row>
    <row r="70" spans="2:36" s="1" customFormat="1">
      <c r="B70" s="1" t="s">
        <v>336</v>
      </c>
      <c r="E70" s="250"/>
      <c r="G70" s="31">
        <f>IF(AND('Active Inputs'!$Q$18="Cost-Based",'Active Inputs'!$Q$19="Cash Grant",G$2=1),'Active Inputs'!$Q$22,IF('Active Inputs'!$G$74="as generated",'Cash Flow'!G$228,-G$235))</f>
        <v>3528577.9667638787</v>
      </c>
      <c r="H70" s="31">
        <f>IF(AND('Active Inputs'!$Q$18="Cost-Based",'Active Inputs'!$Q$19="Cash Grant",H$2=1),'Active Inputs'!$Q$22,IF('Active Inputs'!$G$74="as generated",'Cash Flow'!H$228,-H$235))</f>
        <v>0</v>
      </c>
      <c r="I70" s="31">
        <f>IF(AND('Active Inputs'!$Q$18="Cost-Based",'Active Inputs'!$Q$19="Cash Grant",I$2=1),'Active Inputs'!$Q$22,IF('Active Inputs'!$G$74="as generated",'Cash Flow'!I$228,-I$235))</f>
        <v>0</v>
      </c>
      <c r="J70" s="31">
        <f>IF(AND('Active Inputs'!$Q$18="Cost-Based",'Active Inputs'!$Q$19="Cash Grant",J$2=1),'Active Inputs'!$Q$22,IF('Active Inputs'!$G$74="as generated",'Cash Flow'!J$228,-J$235))</f>
        <v>0</v>
      </c>
      <c r="K70" s="31">
        <f>IF(AND('Active Inputs'!$Q$18="Cost-Based",'Active Inputs'!$Q$19="Cash Grant",K$2=1),'Active Inputs'!$Q$22,IF('Active Inputs'!$G$74="as generated",'Cash Flow'!K$228,-K$235))</f>
        <v>0</v>
      </c>
      <c r="L70" s="31">
        <f>IF(AND('Active Inputs'!$Q$18="Cost-Based",'Active Inputs'!$Q$19="Cash Grant",L$2=1),'Active Inputs'!$Q$22,IF('Active Inputs'!$G$74="as generated",'Cash Flow'!L$228,-L$235))</f>
        <v>0</v>
      </c>
      <c r="M70" s="31">
        <f>IF(AND('Active Inputs'!$Q$18="Cost-Based",'Active Inputs'!$Q$19="Cash Grant",M$2=1),'Active Inputs'!$Q$22,IF('Active Inputs'!$G$74="as generated",'Cash Flow'!M$228,-M$235))</f>
        <v>0</v>
      </c>
      <c r="N70" s="31">
        <f>IF(AND('Active Inputs'!$Q$18="Cost-Based",'Active Inputs'!$Q$19="Cash Grant",N$2=1),'Active Inputs'!$Q$22,IF('Active Inputs'!$G$74="as generated",'Cash Flow'!N$228,-N$235))</f>
        <v>0</v>
      </c>
      <c r="O70" s="31">
        <f>IF(AND('Active Inputs'!$Q$18="Cost-Based",'Active Inputs'!$Q$19="Cash Grant",O$2=1),'Active Inputs'!$Q$22,IF('Active Inputs'!$G$74="as generated",'Cash Flow'!O$228,-O$235))</f>
        <v>0</v>
      </c>
      <c r="P70" s="31">
        <f>IF(AND('Active Inputs'!$Q$18="Cost-Based",'Active Inputs'!$Q$19="Cash Grant",P$2=1),'Active Inputs'!$Q$22,IF('Active Inputs'!$G$74="as generated",'Cash Flow'!P$228,-P$235))</f>
        <v>0</v>
      </c>
      <c r="Q70" s="31">
        <f>IF(AND('Active Inputs'!$Q$18="Cost-Based",'Active Inputs'!$Q$19="Cash Grant",Q$2=1),'Active Inputs'!$Q$22,IF('Active Inputs'!$G$74="as generated",'Cash Flow'!Q$228,-Q$235))</f>
        <v>0</v>
      </c>
      <c r="R70" s="31">
        <f>IF(AND('Active Inputs'!$Q$18="Cost-Based",'Active Inputs'!$Q$19="Cash Grant",R$2=1),'Active Inputs'!$Q$22,IF('Active Inputs'!$G$74="as generated",'Cash Flow'!R$228,-R$235))</f>
        <v>0</v>
      </c>
      <c r="S70" s="31">
        <f>IF(AND('Active Inputs'!$Q$18="Cost-Based",'Active Inputs'!$Q$19="Cash Grant",S$2=1),'Active Inputs'!$Q$22,IF('Active Inputs'!$G$74="as generated",'Cash Flow'!S$228,-S$235))</f>
        <v>0</v>
      </c>
      <c r="T70" s="31">
        <f>IF(AND('Active Inputs'!$Q$18="Cost-Based",'Active Inputs'!$Q$19="Cash Grant",T$2=1),'Active Inputs'!$Q$22,IF('Active Inputs'!$G$74="as generated",'Cash Flow'!T$228,-T$235))</f>
        <v>0</v>
      </c>
      <c r="U70" s="31">
        <f>IF(AND('Active Inputs'!$Q$18="Cost-Based",'Active Inputs'!$Q$19="Cash Grant",U$2=1),'Active Inputs'!$Q$22,IF('Active Inputs'!$G$74="as generated",'Cash Flow'!U$228,-U$235))</f>
        <v>0</v>
      </c>
      <c r="V70" s="31">
        <f>IF(AND('Active Inputs'!$Q$18="Cost-Based",'Active Inputs'!$Q$19="Cash Grant",V$2=1),'Active Inputs'!$Q$22,IF('Active Inputs'!$G$74="as generated",'Cash Flow'!V$228,-V$235))</f>
        <v>0</v>
      </c>
      <c r="W70" s="31">
        <f>IF(AND('Active Inputs'!$Q$18="Cost-Based",'Active Inputs'!$Q$19="Cash Grant",W$2=1),'Active Inputs'!$Q$22,IF('Active Inputs'!$G$74="as generated",'Cash Flow'!W$228,-W$235))</f>
        <v>0</v>
      </c>
      <c r="X70" s="31">
        <f>IF(AND('Active Inputs'!$Q$18="Cost-Based",'Active Inputs'!$Q$19="Cash Grant",X$2=1),'Active Inputs'!$Q$22,IF('Active Inputs'!$G$74="as generated",'Cash Flow'!X$228,-X$235))</f>
        <v>0</v>
      </c>
      <c r="Y70" s="31">
        <f>IF(AND('Active Inputs'!$Q$18="Cost-Based",'Active Inputs'!$Q$19="Cash Grant",Y$2=1),'Active Inputs'!$Q$22,IF('Active Inputs'!$G$74="as generated",'Cash Flow'!Y$228,-Y$235))</f>
        <v>0</v>
      </c>
      <c r="Z70" s="31">
        <f>IF(AND('Active Inputs'!$Q$18="Cost-Based",'Active Inputs'!$Q$19="Cash Grant",Z$2=1),'Active Inputs'!$Q$22,IF('Active Inputs'!$G$74="as generated",'Cash Flow'!Z$228,-Z$235))</f>
        <v>0</v>
      </c>
      <c r="AA70" s="31">
        <f>IF(AND('Active Inputs'!$Q$18="Cost-Based",'Active Inputs'!$Q$19="Cash Grant",AA$2=1),'Active Inputs'!$Q$22,IF('Active Inputs'!$G$74="as generated",'Cash Flow'!AA$228,-AA$235))</f>
        <v>0</v>
      </c>
      <c r="AB70" s="31">
        <f>IF(AND('Active Inputs'!$Q$18="Cost-Based",'Active Inputs'!$Q$19="Cash Grant",AB$2=1),'Active Inputs'!$Q$22,IF('Active Inputs'!$G$74="as generated",'Cash Flow'!AB$228,-AB$235))</f>
        <v>0</v>
      </c>
      <c r="AC70" s="31">
        <f>IF(AND('Active Inputs'!$Q$18="Cost-Based",'Active Inputs'!$Q$19="Cash Grant",AC$2=1),'Active Inputs'!$Q$22,IF('Active Inputs'!$G$74="as generated",'Cash Flow'!AC$228,-AC$235))</f>
        <v>0</v>
      </c>
      <c r="AD70" s="31">
        <f>IF(AND('Active Inputs'!$Q$18="Cost-Based",'Active Inputs'!$Q$19="Cash Grant",AD$2=1),'Active Inputs'!$Q$22,IF('Active Inputs'!$G$74="as generated",'Cash Flow'!AD$228,-AD$235))</f>
        <v>0</v>
      </c>
      <c r="AE70" s="31">
        <f>IF(AND('Active Inputs'!$Q$18="Cost-Based",'Active Inputs'!$Q$19="Cash Grant",AE$2=1),'Active Inputs'!$Q$22,IF('Active Inputs'!$G$74="as generated",'Cash Flow'!AE$228,-AE$235))</f>
        <v>0</v>
      </c>
      <c r="AF70" s="31">
        <f>IF(AND('Active Inputs'!$Q$18="Cost-Based",'Active Inputs'!$Q$19="Cash Grant",AF$2=1),'Active Inputs'!$Q$22,IF('Active Inputs'!$G$74="as generated",'Cash Flow'!AF$228,-AF$235))</f>
        <v>0</v>
      </c>
      <c r="AG70" s="31">
        <f>IF(AND('Active Inputs'!$Q$18="Cost-Based",'Active Inputs'!$Q$19="Cash Grant",AG$2=1),'Active Inputs'!$Q$22,IF('Active Inputs'!$G$74="as generated",'Cash Flow'!AG$228,-AG$235))</f>
        <v>0</v>
      </c>
      <c r="AH70" s="31">
        <f>IF(AND('Active Inputs'!$Q$18="Cost-Based",'Active Inputs'!$Q$19="Cash Grant",AH$2=1),'Active Inputs'!$Q$22,IF('Active Inputs'!$G$74="as generated",'Cash Flow'!AH$228,-AH$235))</f>
        <v>0</v>
      </c>
      <c r="AI70" s="31">
        <f>IF(AND('Active Inputs'!$Q$18="Cost-Based",'Active Inputs'!$Q$19="Cash Grant",AI$2=1),'Active Inputs'!$Q$22,IF('Active Inputs'!$G$74="as generated",'Cash Flow'!AI$228,-AI$235))</f>
        <v>0</v>
      </c>
      <c r="AJ70" s="31">
        <f>IF(AND('Active Inputs'!$Q$18="Cost-Based",'Active Inputs'!$Q$19="Cash Grant",AJ$2=1),'Active Inputs'!$Q$22,IF('Active Inputs'!$G$74="as generated",'Cash Flow'!AJ$228,-AJ$235))</f>
        <v>0</v>
      </c>
    </row>
    <row r="71" spans="2:36" s="1" customFormat="1">
      <c r="B71" s="29" t="s">
        <v>337</v>
      </c>
      <c r="C71" s="29"/>
      <c r="D71" s="29"/>
      <c r="E71" s="251"/>
      <c r="F71" s="29"/>
      <c r="G71" s="32">
        <f>IF('Active Inputs'!$G$76="as generated",'Cash Flow'!G$242,-G$249)</f>
        <v>0</v>
      </c>
      <c r="H71" s="32">
        <f>IF('Active Inputs'!$G$76="as generated",'Cash Flow'!H$242,-H$249)</f>
        <v>0</v>
      </c>
      <c r="I71" s="32">
        <f>IF('Active Inputs'!$G$76="as generated",'Cash Flow'!I$242,-I$249)</f>
        <v>0</v>
      </c>
      <c r="J71" s="32">
        <f>IF('Active Inputs'!$G$76="as generated",'Cash Flow'!J$242,-J$249)</f>
        <v>0</v>
      </c>
      <c r="K71" s="32">
        <f>IF('Active Inputs'!$G$76="as generated",'Cash Flow'!K$242,-K$249)</f>
        <v>0</v>
      </c>
      <c r="L71" s="32">
        <f>IF('Active Inputs'!$G$76="as generated",'Cash Flow'!L$242,-L$249)</f>
        <v>0</v>
      </c>
      <c r="M71" s="32">
        <f>IF('Active Inputs'!$G$76="as generated",'Cash Flow'!M$242,-M$249)</f>
        <v>0</v>
      </c>
      <c r="N71" s="32">
        <f>IF('Active Inputs'!$G$76="as generated",'Cash Flow'!N$242,-N$249)</f>
        <v>0</v>
      </c>
      <c r="O71" s="32">
        <f>IF('Active Inputs'!$G$76="as generated",'Cash Flow'!O$242,-O$249)</f>
        <v>0</v>
      </c>
      <c r="P71" s="32">
        <f>IF('Active Inputs'!$G$76="as generated",'Cash Flow'!P$242,-P$249)</f>
        <v>0</v>
      </c>
      <c r="Q71" s="32">
        <f>IF('Active Inputs'!$G$76="as generated",'Cash Flow'!Q$242,-Q$249)</f>
        <v>0</v>
      </c>
      <c r="R71" s="32">
        <f>IF('Active Inputs'!$G$76="as generated",'Cash Flow'!R$242,-R$249)</f>
        <v>0</v>
      </c>
      <c r="S71" s="32">
        <f>IF('Active Inputs'!$G$76="as generated",'Cash Flow'!S$242,-S$249)</f>
        <v>0</v>
      </c>
      <c r="T71" s="32">
        <f>IF('Active Inputs'!$G$76="as generated",'Cash Flow'!T$242,-T$249)</f>
        <v>0</v>
      </c>
      <c r="U71" s="32">
        <f>IF('Active Inputs'!$G$76="as generated",'Cash Flow'!U$242,-U$249)</f>
        <v>0</v>
      </c>
      <c r="V71" s="32">
        <f>IF('Active Inputs'!$G$76="as generated",'Cash Flow'!V$242,-V$249)</f>
        <v>0</v>
      </c>
      <c r="W71" s="32">
        <f>IF('Active Inputs'!$G$76="as generated",'Cash Flow'!W$242,-W$249)</f>
        <v>0</v>
      </c>
      <c r="X71" s="32">
        <f>IF('Active Inputs'!$G$76="as generated",'Cash Flow'!X$242,-X$249)</f>
        <v>0</v>
      </c>
      <c r="Y71" s="32">
        <f>IF('Active Inputs'!$G$76="as generated",'Cash Flow'!Y$242,-Y$249)</f>
        <v>0</v>
      </c>
      <c r="Z71" s="32">
        <f>IF('Active Inputs'!$G$76="as generated",'Cash Flow'!Z$242,-Z$249)</f>
        <v>0</v>
      </c>
      <c r="AA71" s="32">
        <f>IF('Active Inputs'!$G$76="as generated",'Cash Flow'!AA$242,-AA$249)</f>
        <v>0</v>
      </c>
      <c r="AB71" s="32">
        <f>IF('Active Inputs'!$G$76="as generated",'Cash Flow'!AB$242,-AB$249)</f>
        <v>0</v>
      </c>
      <c r="AC71" s="32">
        <f>IF('Active Inputs'!$G$76="as generated",'Cash Flow'!AC$242,-AC$249)</f>
        <v>0</v>
      </c>
      <c r="AD71" s="32">
        <f>IF('Active Inputs'!$G$76="as generated",'Cash Flow'!AD$242,-AD$249)</f>
        <v>0</v>
      </c>
      <c r="AE71" s="32">
        <f>IF('Active Inputs'!$G$76="as generated",'Cash Flow'!AE$242,-AE$249)</f>
        <v>0</v>
      </c>
      <c r="AF71" s="32">
        <f>IF('Active Inputs'!$G$76="as generated",'Cash Flow'!AF$242,-AF$249)</f>
        <v>0</v>
      </c>
      <c r="AG71" s="32">
        <f>IF('Active Inputs'!$G$76="as generated",'Cash Flow'!AG$242,-AG$249)</f>
        <v>0</v>
      </c>
      <c r="AH71" s="32">
        <f>IF('Active Inputs'!$G$76="as generated",'Cash Flow'!AH$242,-AH$249)</f>
        <v>0</v>
      </c>
      <c r="AI71" s="32">
        <f>IF('Active Inputs'!$G$76="as generated",'Cash Flow'!AI$242,-AI$249)</f>
        <v>0</v>
      </c>
      <c r="AJ71" s="32">
        <f>IF('Active Inputs'!$G$76="as generated",'Cash Flow'!AJ$242,-AJ$249)</f>
        <v>0</v>
      </c>
    </row>
    <row r="72" spans="2:36" s="1" customFormat="1" ht="15.75">
      <c r="B72" s="26" t="s">
        <v>338</v>
      </c>
      <c r="C72" s="26"/>
      <c r="D72" s="26"/>
      <c r="E72" s="31"/>
      <c r="F72" s="33">
        <f t="shared" ref="F72:AJ72" si="25">F57+SUM(F68:F71)</f>
        <v>-6799863.7901178924</v>
      </c>
      <c r="G72" s="33">
        <f t="shared" si="25"/>
        <v>4263218.6881126249</v>
      </c>
      <c r="H72" s="33">
        <f t="shared" si="25"/>
        <v>1078153.6467804243</v>
      </c>
      <c r="I72" s="33">
        <f t="shared" si="25"/>
        <v>676239.37059372792</v>
      </c>
      <c r="J72" s="33">
        <f t="shared" si="25"/>
        <v>428780.6484754422</v>
      </c>
      <c r="K72" s="33">
        <f t="shared" si="25"/>
        <v>413170.29386887577</v>
      </c>
      <c r="L72" s="33">
        <f t="shared" si="25"/>
        <v>222813.80782887695</v>
      </c>
      <c r="M72" s="33">
        <f t="shared" si="25"/>
        <v>41408.531714916258</v>
      </c>
      <c r="N72" s="33">
        <f t="shared" si="25"/>
        <v>24727.108267900447</v>
      </c>
      <c r="O72" s="33">
        <f t="shared" si="25"/>
        <v>7408.8076727805019</v>
      </c>
      <c r="P72" s="33">
        <f t="shared" si="25"/>
        <v>-10608.522707938275</v>
      </c>
      <c r="Q72" s="33">
        <f t="shared" si="25"/>
        <v>-29348.946349425765</v>
      </c>
      <c r="R72" s="33">
        <f t="shared" si="25"/>
        <v>-33314.486385709111</v>
      </c>
      <c r="S72" s="33">
        <f t="shared" si="25"/>
        <v>-51045.946337547211</v>
      </c>
      <c r="T72" s="33">
        <f t="shared" si="25"/>
        <v>-76254.187203767855</v>
      </c>
      <c r="U72" s="33">
        <f t="shared" si="25"/>
        <v>-100902.70738521626</v>
      </c>
      <c r="V72" s="33">
        <f t="shared" si="25"/>
        <v>510368.3084424946</v>
      </c>
      <c r="W72" s="33">
        <f t="shared" si="25"/>
        <v>496113.95713789528</v>
      </c>
      <c r="X72" s="33">
        <f t="shared" si="25"/>
        <v>483469.6527511265</v>
      </c>
      <c r="Y72" s="33">
        <f t="shared" si="25"/>
        <v>472389.82262814848</v>
      </c>
      <c r="Z72" s="33">
        <f t="shared" si="25"/>
        <v>461170.57905221172</v>
      </c>
      <c r="AA72" s="33">
        <f t="shared" si="25"/>
        <v>473344.92794597906</v>
      </c>
      <c r="AB72" s="33">
        <f t="shared" si="25"/>
        <v>478647.640406241</v>
      </c>
      <c r="AC72" s="33">
        <f t="shared" si="25"/>
        <v>485278.80834052555</v>
      </c>
      <c r="AD72" s="33">
        <f t="shared" si="25"/>
        <v>491880.56354312727</v>
      </c>
      <c r="AE72" s="33">
        <f t="shared" si="25"/>
        <v>498678.15640481323</v>
      </c>
      <c r="AF72" s="33">
        <f t="shared" si="25"/>
        <v>505508.97478641081</v>
      </c>
      <c r="AG72" s="33">
        <f t="shared" si="25"/>
        <v>509278.72983666701</v>
      </c>
      <c r="AH72" s="33">
        <f t="shared" si="25"/>
        <v>496123.72735465231</v>
      </c>
      <c r="AI72" s="33">
        <f t="shared" si="25"/>
        <v>482794.15446174296</v>
      </c>
      <c r="AJ72" s="33">
        <f t="shared" si="25"/>
        <v>469285.18176085292</v>
      </c>
    </row>
    <row r="73" spans="2:36" s="1" customFormat="1" ht="15.75">
      <c r="B73" s="37" t="s">
        <v>339</v>
      </c>
      <c r="C73" s="37"/>
      <c r="D73" s="37"/>
      <c r="E73" s="31"/>
      <c r="F73" s="33"/>
      <c r="G73" s="299">
        <f>IF(ISERROR(IRR($F72:G72)),"NA",IRR($F72:G72))</f>
        <v>-0.37304351679686942</v>
      </c>
      <c r="H73" s="299">
        <f>IF(ISERROR(IRR($F72:H72)),"NA",IRR($F72:H72))</f>
        <v>-0.17974390683569186</v>
      </c>
      <c r="I73" s="299">
        <f>IF(ISERROR(IRR($F72:I72)),"NA",IRR($F72:I72))</f>
        <v>-8.2218988130618897E-2</v>
      </c>
      <c r="J73" s="299">
        <f>IF(ISERROR(IRR($F72:J72)),"NA",IRR($F72:J72))</f>
        <v>-3.2993333506743716E-2</v>
      </c>
      <c r="K73" s="299">
        <f>IF(ISERROR(IRR($F72:K72)),"NA",IRR($F72:K72))</f>
        <v>4.9250013998469733E-3</v>
      </c>
      <c r="L73" s="299">
        <f>IF(ISERROR(IRR($F72:L72)),"NA",IRR($F72:L72))</f>
        <v>2.1716854664827201E-2</v>
      </c>
      <c r="M73" s="299">
        <f>IF(ISERROR(IRR($F72:M72)),"NA",IRR($F72:M72))</f>
        <v>2.4533402967843898E-2</v>
      </c>
      <c r="N73" s="299">
        <f>IF(ISERROR(IRR($F72:N72)),"NA",IRR($F72:N72))</f>
        <v>2.6137278770174577E-2</v>
      </c>
      <c r="O73" s="299">
        <f>IF(ISERROR(IRR($F72:O72)),"NA",IRR($F72:O72))</f>
        <v>2.6599762256959592E-2</v>
      </c>
      <c r="P73" s="299">
        <f>IF(ISERROR(IRR($F72:P72)),"NA",IRR($F72:P72))</f>
        <v>2.5953485317234959E-2</v>
      </c>
      <c r="Q73" s="299">
        <f>IF(ISERROR(IRR($F72:Q72)),"NA",IRR($F72:Q72))</f>
        <v>2.417435339078744E-2</v>
      </c>
      <c r="R73" s="299">
        <f>IF(ISERROR(IRR($F72:R72)),"NA",IRR($F72:R72))</f>
        <v>2.2130406992382445E-2</v>
      </c>
      <c r="S73" s="299">
        <f>IF(ISERROR(IRR($F72:S72)),"NA",IRR($F72:S72))</f>
        <v>1.8890228710267021E-2</v>
      </c>
      <c r="T73" s="299">
        <f>IF(ISERROR(IRR($F72:T72)),"NA",IRR($F72:T72))</f>
        <v>1.3637814380841107E-2</v>
      </c>
      <c r="U73" s="299">
        <f>IF(ISERROR(IRR($F72:U72)),"NA",IRR($F72:U72))</f>
        <v>5.4319135556550879E-3</v>
      </c>
      <c r="V73" s="299">
        <f>IF(ISERROR(IRR($F72:V72)),"NA",IRR($F72:V72))</f>
        <v>3.4988045714384075E-2</v>
      </c>
      <c r="W73" s="299">
        <f>IF(ISERROR(IRR($F72:W72)),"NA",IRR($F72:W72))</f>
        <v>5.0603354828809399E-2</v>
      </c>
      <c r="X73" s="299">
        <f>IF(ISERROR(IRR($F72:X72)),"NA",IRR($F72:X72))</f>
        <v>6.1048209530242481E-2</v>
      </c>
      <c r="Y73" s="299">
        <f>IF(ISERROR(IRR($F72:Y72)),"NA",IRR($F72:Y72))</f>
        <v>6.8680779785373458E-2</v>
      </c>
      <c r="Z73" s="299">
        <f>IF(ISERROR(IRR($F72:Z72)),"NA",IRR($F72:Z72))</f>
        <v>7.4516644441706248E-2</v>
      </c>
      <c r="AA73" s="299">
        <f>IF(ISERROR(IRR($F72:AA72)),"NA",IRR($F72:AA72))</f>
        <v>7.9332274267978287E-2</v>
      </c>
      <c r="AB73" s="299">
        <f>IF(ISERROR(IRR($F72:AB72)),"NA",IRR($F72:AB72))</f>
        <v>8.3311056520452675E-2</v>
      </c>
      <c r="AC73" s="299">
        <f>IF(ISERROR(IRR($F72:AC72)),"NA",IRR($F72:AC72))</f>
        <v>8.6650401040867076E-2</v>
      </c>
      <c r="AD73" s="299">
        <f>IF(ISERROR(IRR($F72:AD72)),"NA",IRR($F72:AD72))</f>
        <v>8.9481074747114642E-2</v>
      </c>
      <c r="AE73" s="299">
        <f>IF(ISERROR(IRR($F72:AE72)),"NA",IRR($F72:AE72))</f>
        <v>9.190104506562502E-2</v>
      </c>
      <c r="AF73" s="299">
        <f>IF(ISERROR(IRR($F72:AF72)),"NA",IRR($F72:AF72))</f>
        <v>9.398395618573363E-2</v>
      </c>
      <c r="AG73" s="299">
        <f>IF(ISERROR(IRR($F72:AG72)),"NA",IRR($F72:AG72))</f>
        <v>9.5776503752062592E-2</v>
      </c>
      <c r="AH73" s="299">
        <f>IF(ISERROR(IRR($F72:AH72)),"NA",IRR($F72:AH72))</f>
        <v>9.7277610450476004E-2</v>
      </c>
      <c r="AI73" s="299">
        <f>IF(ISERROR(IRR($F72:AI72)),"NA",IRR($F72:AI72))</f>
        <v>9.8541233509908732E-2</v>
      </c>
      <c r="AJ73" s="299">
        <f>IF(ISERROR(IRR($F72:AJ72)),"NA",IRR($F72:AJ72))</f>
        <v>9.9609404872547103E-2</v>
      </c>
    </row>
    <row r="74" spans="2:36" s="1" customFormat="1" ht="15.75">
      <c r="B74" s="37"/>
      <c r="C74" s="37"/>
      <c r="D74" s="37"/>
      <c r="E74" s="607" t="s">
        <v>340</v>
      </c>
      <c r="F74" s="33"/>
      <c r="G74" s="608">
        <f>F72+G72</f>
        <v>-2536645.1020052675</v>
      </c>
      <c r="H74" s="608">
        <f>G74+H72</f>
        <v>-1458491.4552248432</v>
      </c>
      <c r="I74" s="608">
        <f t="shared" ref="I74:Q74" si="26">H74+I72</f>
        <v>-782252.08463111531</v>
      </c>
      <c r="J74" s="608">
        <f t="shared" si="26"/>
        <v>-353471.43615567312</v>
      </c>
      <c r="K74" s="608">
        <f t="shared" si="26"/>
        <v>59698.857713202655</v>
      </c>
      <c r="L74" s="608">
        <f t="shared" si="26"/>
        <v>282512.6655420796</v>
      </c>
      <c r="M74" s="608">
        <f t="shared" si="26"/>
        <v>323921.19725699583</v>
      </c>
      <c r="N74" s="608">
        <f t="shared" si="26"/>
        <v>348648.30552489625</v>
      </c>
      <c r="O74" s="608">
        <f t="shared" si="26"/>
        <v>356057.11319767672</v>
      </c>
      <c r="P74" s="608">
        <f t="shared" si="26"/>
        <v>345448.59048973845</v>
      </c>
      <c r="Q74" s="608">
        <f t="shared" si="26"/>
        <v>316099.64414031268</v>
      </c>
      <c r="R74" s="608">
        <f t="shared" ref="R74:AJ74" si="27">Q74+R72</f>
        <v>282785.15775460354</v>
      </c>
      <c r="S74" s="608">
        <f t="shared" si="27"/>
        <v>231739.21141705633</v>
      </c>
      <c r="T74" s="608">
        <f t="shared" si="27"/>
        <v>155485.02421328847</v>
      </c>
      <c r="U74" s="608">
        <f t="shared" si="27"/>
        <v>54582.316828072217</v>
      </c>
      <c r="V74" s="608">
        <f t="shared" si="27"/>
        <v>564950.62527056679</v>
      </c>
      <c r="W74" s="608">
        <f t="shared" si="27"/>
        <v>1061064.5824084622</v>
      </c>
      <c r="X74" s="608">
        <f t="shared" si="27"/>
        <v>1544534.2351595887</v>
      </c>
      <c r="Y74" s="608">
        <f t="shared" si="27"/>
        <v>2016924.0577877373</v>
      </c>
      <c r="Z74" s="608">
        <f t="shared" si="27"/>
        <v>2478094.6368399491</v>
      </c>
      <c r="AA74" s="608">
        <f t="shared" si="27"/>
        <v>2951439.564785928</v>
      </c>
      <c r="AB74" s="608">
        <f t="shared" si="27"/>
        <v>3430087.2051921692</v>
      </c>
      <c r="AC74" s="608">
        <f t="shared" si="27"/>
        <v>3915366.0135326949</v>
      </c>
      <c r="AD74" s="608">
        <f t="shared" si="27"/>
        <v>4407246.5770758223</v>
      </c>
      <c r="AE74" s="608">
        <f t="shared" si="27"/>
        <v>4905924.7334806351</v>
      </c>
      <c r="AF74" s="608">
        <f t="shared" si="27"/>
        <v>5411433.7082670461</v>
      </c>
      <c r="AG74" s="608">
        <f t="shared" si="27"/>
        <v>5920712.4381037131</v>
      </c>
      <c r="AH74" s="608">
        <f t="shared" si="27"/>
        <v>6416836.1654583653</v>
      </c>
      <c r="AI74" s="608">
        <f t="shared" si="27"/>
        <v>6899630.3199201087</v>
      </c>
      <c r="AJ74" s="608">
        <f t="shared" si="27"/>
        <v>7368915.5016809618</v>
      </c>
    </row>
    <row r="75" spans="2:36" s="1" customFormat="1" ht="16.5" thickBot="1">
      <c r="B75" s="26"/>
      <c r="C75" s="26"/>
      <c r="D75" s="26"/>
      <c r="E75" s="607" t="s">
        <v>341</v>
      </c>
      <c r="F75" s="609">
        <f>MAX(G75:AJ75)</f>
        <v>5</v>
      </c>
      <c r="G75" s="610" t="str">
        <f t="shared" ref="G75:AJ75" si="28">IF(AND(G74&gt;0,F74&lt;0),G2,"")</f>
        <v/>
      </c>
      <c r="H75" s="610" t="str">
        <f t="shared" si="28"/>
        <v/>
      </c>
      <c r="I75" s="610" t="str">
        <f t="shared" si="28"/>
        <v/>
      </c>
      <c r="J75" s="610" t="str">
        <f>IF(AND(J74&gt;0,I74&lt;0),J2,"")</f>
        <v/>
      </c>
      <c r="K75" s="610">
        <f t="shared" si="28"/>
        <v>5</v>
      </c>
      <c r="L75" s="610" t="str">
        <f t="shared" si="28"/>
        <v/>
      </c>
      <c r="M75" s="610" t="str">
        <f t="shared" si="28"/>
        <v/>
      </c>
      <c r="N75" s="610" t="str">
        <f t="shared" si="28"/>
        <v/>
      </c>
      <c r="O75" s="610" t="str">
        <f t="shared" si="28"/>
        <v/>
      </c>
      <c r="P75" s="610" t="str">
        <f t="shared" si="28"/>
        <v/>
      </c>
      <c r="Q75" s="609" t="str">
        <f t="shared" si="28"/>
        <v/>
      </c>
      <c r="R75" s="610" t="str">
        <f t="shared" si="28"/>
        <v/>
      </c>
      <c r="S75" s="610" t="str">
        <f t="shared" si="28"/>
        <v/>
      </c>
      <c r="T75" s="610" t="str">
        <f t="shared" si="28"/>
        <v/>
      </c>
      <c r="U75" s="610" t="str">
        <f t="shared" si="28"/>
        <v/>
      </c>
      <c r="V75" s="610" t="str">
        <f t="shared" si="28"/>
        <v/>
      </c>
      <c r="W75" s="610" t="str">
        <f t="shared" si="28"/>
        <v/>
      </c>
      <c r="X75" s="610" t="str">
        <f t="shared" si="28"/>
        <v/>
      </c>
      <c r="Y75" s="610" t="str">
        <f t="shared" si="28"/>
        <v/>
      </c>
      <c r="Z75" s="610" t="str">
        <f t="shared" si="28"/>
        <v/>
      </c>
      <c r="AA75" s="610" t="str">
        <f t="shared" si="28"/>
        <v/>
      </c>
      <c r="AB75" s="610" t="str">
        <f t="shared" si="28"/>
        <v/>
      </c>
      <c r="AC75" s="610" t="str">
        <f t="shared" si="28"/>
        <v/>
      </c>
      <c r="AD75" s="610" t="str">
        <f t="shared" si="28"/>
        <v/>
      </c>
      <c r="AE75" s="610" t="str">
        <f t="shared" si="28"/>
        <v/>
      </c>
      <c r="AF75" s="610" t="str">
        <f t="shared" si="28"/>
        <v/>
      </c>
      <c r="AG75" s="610" t="str">
        <f t="shared" si="28"/>
        <v/>
      </c>
      <c r="AH75" s="610" t="str">
        <f t="shared" si="28"/>
        <v/>
      </c>
      <c r="AI75" s="610" t="str">
        <f t="shared" si="28"/>
        <v/>
      </c>
      <c r="AJ75" s="610" t="str">
        <f t="shared" si="28"/>
        <v/>
      </c>
    </row>
    <row r="76" spans="2:36" s="1" customFormat="1" ht="16.5" thickBot="1">
      <c r="B76" s="811" t="s">
        <v>342</v>
      </c>
      <c r="C76" s="812"/>
      <c r="D76" s="422">
        <f>IRR(F57:AJ57)</f>
        <v>3.3895210794725017E-2</v>
      </c>
      <c r="F76" s="33"/>
      <c r="G76" s="379" t="s">
        <v>343</v>
      </c>
      <c r="H76" s="388"/>
      <c r="I76" s="388"/>
      <c r="J76" s="389"/>
      <c r="K76" s="388"/>
      <c r="L76" s="33"/>
      <c r="O76" s="33"/>
      <c r="P76" s="33"/>
      <c r="Q76" s="33"/>
      <c r="R76" s="33"/>
      <c r="S76" s="33"/>
      <c r="T76" s="33"/>
      <c r="U76" s="33"/>
      <c r="V76" s="33"/>
      <c r="W76" s="33"/>
      <c r="X76" s="33"/>
      <c r="Y76" s="33"/>
      <c r="Z76" s="33"/>
      <c r="AA76" s="33"/>
      <c r="AB76" s="33"/>
      <c r="AC76" s="33"/>
      <c r="AD76" s="33"/>
      <c r="AE76" s="33"/>
      <c r="AF76" s="33"/>
      <c r="AG76" s="33"/>
      <c r="AH76" s="33"/>
      <c r="AI76" s="33"/>
      <c r="AJ76" s="33"/>
    </row>
    <row r="77" spans="2:36" s="1" customFormat="1" ht="16.5" thickBot="1">
      <c r="B77" s="651" t="s">
        <v>344</v>
      </c>
      <c r="C77" s="652"/>
      <c r="D77" s="422">
        <f>IRR(F72:AJ72)</f>
        <v>9.9609404872547103E-2</v>
      </c>
      <c r="F77" s="33"/>
      <c r="G77" s="381" t="s">
        <v>345</v>
      </c>
      <c r="H77" s="390"/>
      <c r="I77" s="386"/>
      <c r="J77" s="387"/>
      <c r="K77" s="387"/>
      <c r="L77" s="33"/>
      <c r="O77" s="33"/>
      <c r="P77" s="33"/>
      <c r="Q77" s="33"/>
      <c r="R77" s="33"/>
      <c r="S77" s="33"/>
      <c r="T77" s="33"/>
      <c r="U77" s="33"/>
      <c r="V77" s="33"/>
      <c r="W77" s="33"/>
      <c r="X77" s="33"/>
      <c r="Y77" s="33"/>
      <c r="Z77" s="33"/>
      <c r="AA77" s="33"/>
      <c r="AB77" s="33"/>
      <c r="AC77" s="33"/>
      <c r="AD77" s="33"/>
      <c r="AE77" s="33"/>
      <c r="AF77" s="33"/>
      <c r="AG77" s="33"/>
      <c r="AH77" s="33"/>
      <c r="AI77" s="33"/>
      <c r="AJ77" s="33"/>
    </row>
    <row r="78" spans="2:36" s="1" customFormat="1" ht="16.5" thickBot="1">
      <c r="B78" s="813">
        <f>'Active Inputs'!$G$61</f>
        <v>0.10025000000000001</v>
      </c>
      <c r="C78" s="814"/>
      <c r="D78" s="423">
        <f>NPV('Active Inputs'!$G$61,'Cash Flow'!F72:AJ72)</f>
        <v>-15063.207288856929</v>
      </c>
      <c r="G78" s="380">
        <f>AVERAGE(R269:S269)</f>
        <v>18.650000000000009</v>
      </c>
      <c r="H78" s="390"/>
      <c r="I78" s="386"/>
      <c r="J78" s="391"/>
      <c r="K78" s="386"/>
    </row>
    <row r="79" spans="2:36" s="1" customFormat="1" ht="16.5" thickBot="1">
      <c r="B79" s="39"/>
      <c r="C79" s="39"/>
      <c r="D79" s="39"/>
      <c r="E79" s="40"/>
      <c r="F79" s="268"/>
      <c r="G79" s="249"/>
      <c r="H79" s="268"/>
      <c r="I79" s="268"/>
      <c r="J79" s="268"/>
      <c r="K79" s="268"/>
      <c r="L79" s="268"/>
      <c r="M79" s="268"/>
      <c r="N79" s="268"/>
      <c r="O79" s="268"/>
      <c r="P79" s="268"/>
      <c r="Q79" s="268"/>
      <c r="R79" s="268"/>
      <c r="S79" s="268"/>
      <c r="T79" s="268"/>
      <c r="U79" s="268"/>
      <c r="V79" s="268"/>
      <c r="W79" s="268"/>
      <c r="X79" s="268"/>
      <c r="Y79" s="268"/>
      <c r="Z79" s="268"/>
      <c r="AA79" s="268"/>
      <c r="AB79" s="268"/>
      <c r="AC79" s="268"/>
      <c r="AD79" s="268"/>
      <c r="AE79" s="268"/>
      <c r="AF79" s="268"/>
      <c r="AG79" s="268"/>
      <c r="AH79" s="268"/>
      <c r="AI79" s="268"/>
      <c r="AJ79" s="268"/>
    </row>
    <row r="80" spans="2:36" s="1" customFormat="1" ht="15.75">
      <c r="B80" s="41"/>
      <c r="C80" s="41"/>
      <c r="D80" s="41"/>
      <c r="E80" s="42"/>
      <c r="F80" s="42"/>
      <c r="G80" s="43"/>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row>
    <row r="81" spans="2:36" s="1" customFormat="1">
      <c r="B81" s="44" t="s">
        <v>346</v>
      </c>
      <c r="C81" s="44"/>
      <c r="D81" s="44"/>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row>
    <row r="82" spans="2:36" s="1" customFormat="1" ht="15.75" thickBot="1">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row>
    <row r="83" spans="2:36" s="1" customFormat="1" ht="15.75">
      <c r="B83" s="188"/>
      <c r="C83" s="188"/>
      <c r="D83" s="188"/>
      <c r="E83" s="188"/>
      <c r="F83" s="188"/>
      <c r="G83" s="650"/>
      <c r="H83" s="210"/>
      <c r="I83" s="188"/>
      <c r="J83" s="188"/>
      <c r="K83" s="188"/>
      <c r="L83" s="188"/>
      <c r="M83" s="188"/>
      <c r="N83" s="188"/>
      <c r="O83" s="188"/>
      <c r="P83" s="188"/>
      <c r="Q83" s="188"/>
      <c r="R83" s="188"/>
      <c r="S83" s="188"/>
      <c r="T83" s="188"/>
      <c r="U83" s="188"/>
      <c r="V83" s="188"/>
      <c r="W83" s="188"/>
      <c r="X83" s="188"/>
      <c r="Y83" s="188"/>
      <c r="Z83" s="188"/>
      <c r="AA83" s="188"/>
      <c r="AB83" s="188"/>
      <c r="AC83" s="188"/>
      <c r="AD83" s="188"/>
      <c r="AE83" s="188"/>
      <c r="AF83" s="188"/>
      <c r="AG83" s="188"/>
      <c r="AH83" s="188"/>
      <c r="AI83" s="188"/>
      <c r="AJ83" s="188"/>
    </row>
    <row r="84" spans="2:36" s="1" customFormat="1" ht="15.75">
      <c r="B84" s="187" t="s">
        <v>347</v>
      </c>
      <c r="C84" s="187"/>
      <c r="D84" s="187"/>
      <c r="E84" s="188"/>
      <c r="F84" s="188"/>
      <c r="G84" s="188"/>
      <c r="H84" s="188"/>
      <c r="I84" s="188"/>
      <c r="J84" s="188"/>
      <c r="K84" s="188"/>
      <c r="L84" s="188"/>
      <c r="M84" s="188"/>
      <c r="N84" s="188"/>
      <c r="O84" s="188"/>
      <c r="P84" s="188"/>
      <c r="Q84" s="188"/>
      <c r="R84" s="188"/>
      <c r="S84" s="188"/>
      <c r="T84" s="188"/>
      <c r="U84" s="188"/>
      <c r="V84" s="188"/>
      <c r="W84" s="188"/>
      <c r="X84" s="188"/>
      <c r="Y84" s="188"/>
      <c r="Z84" s="188"/>
      <c r="AA84" s="188"/>
      <c r="AB84" s="188"/>
      <c r="AC84" s="188"/>
      <c r="AD84" s="188"/>
      <c r="AE84" s="188"/>
      <c r="AF84" s="188"/>
      <c r="AG84" s="188"/>
      <c r="AH84" s="188"/>
      <c r="AI84" s="188"/>
      <c r="AJ84" s="188"/>
    </row>
    <row r="85" spans="2:36" s="1" customFormat="1" ht="15.75">
      <c r="B85" s="211" t="s">
        <v>348</v>
      </c>
      <c r="C85" s="211"/>
      <c r="D85" s="211"/>
      <c r="E85" s="212"/>
      <c r="F85" s="213"/>
      <c r="G85" s="214"/>
      <c r="H85" s="214"/>
      <c r="I85" s="214"/>
      <c r="J85" s="214"/>
      <c r="K85" s="214"/>
      <c r="L85" s="214"/>
      <c r="M85" s="214"/>
      <c r="N85" s="214"/>
      <c r="O85" s="214"/>
      <c r="P85" s="214"/>
      <c r="Q85" s="214"/>
      <c r="R85" s="214"/>
      <c r="S85" s="214"/>
      <c r="T85" s="214"/>
      <c r="U85" s="214"/>
      <c r="V85" s="214"/>
      <c r="W85" s="214"/>
      <c r="X85" s="214"/>
      <c r="Y85" s="214"/>
      <c r="Z85" s="214"/>
      <c r="AA85" s="214"/>
      <c r="AB85" s="214"/>
      <c r="AC85" s="214"/>
      <c r="AD85" s="214"/>
      <c r="AE85" s="214"/>
      <c r="AF85" s="214"/>
      <c r="AG85" s="214"/>
      <c r="AH85" s="214"/>
      <c r="AI85" s="214"/>
      <c r="AJ85" s="214"/>
    </row>
    <row r="86" spans="2:36" s="1" customFormat="1">
      <c r="B86" s="212" t="s">
        <v>349</v>
      </c>
      <c r="C86" s="212"/>
      <c r="D86" s="212"/>
      <c r="E86" s="212"/>
      <c r="F86" s="213">
        <f>IF('Active Inputs'!$G$14="Simple",'Active Inputs'!$G$25,IF('Active Inputs'!$G$14="Intermediate",SUM('Active Inputs'!G16:G19)-'Active Inputs'!G24,'Complex Inputs'!C26+'Complex Inputs'!C51+'Complex Inputs'!C76+'Complex Inputs'!C101))</f>
        <v>12252006.829041246</v>
      </c>
      <c r="G86" s="214"/>
      <c r="H86" s="214"/>
      <c r="I86" s="214"/>
      <c r="J86" s="214"/>
      <c r="K86" s="214"/>
      <c r="L86" s="214"/>
      <c r="M86" s="214"/>
      <c r="N86" s="214"/>
      <c r="O86" s="214"/>
      <c r="P86" s="214"/>
      <c r="Q86" s="214"/>
      <c r="R86" s="214"/>
      <c r="S86" s="214"/>
      <c r="T86" s="214"/>
      <c r="U86" s="214"/>
      <c r="V86" s="214"/>
      <c r="W86" s="214"/>
      <c r="X86" s="214"/>
      <c r="Y86" s="214"/>
      <c r="Z86" s="214"/>
      <c r="AA86" s="214"/>
      <c r="AB86" s="214"/>
      <c r="AC86" s="214"/>
      <c r="AD86" s="214"/>
      <c r="AE86" s="214"/>
      <c r="AF86" s="214"/>
      <c r="AG86" s="214"/>
      <c r="AH86" s="214"/>
      <c r="AI86" s="214"/>
      <c r="AJ86" s="214"/>
    </row>
    <row r="87" spans="2:36" s="1" customFormat="1">
      <c r="B87" s="212" t="s">
        <v>350</v>
      </c>
      <c r="C87" s="212"/>
      <c r="D87" s="212"/>
      <c r="E87" s="212"/>
      <c r="F87" s="215">
        <f>'Active Inputs'!$G$50</f>
        <v>0.44500000000000001</v>
      </c>
      <c r="G87" s="214"/>
      <c r="H87" s="214"/>
      <c r="I87" s="214"/>
      <c r="J87" s="214"/>
      <c r="K87" s="214"/>
      <c r="L87" s="214"/>
      <c r="M87" s="214"/>
      <c r="N87" s="214"/>
      <c r="O87" s="214"/>
      <c r="P87" s="214"/>
      <c r="Q87" s="214"/>
      <c r="R87" s="214"/>
      <c r="S87" s="214"/>
      <c r="T87" s="214"/>
      <c r="U87" s="214"/>
      <c r="V87" s="214"/>
      <c r="W87" s="214"/>
      <c r="X87" s="214"/>
      <c r="Y87" s="214"/>
      <c r="Z87" s="214"/>
      <c r="AA87" s="214"/>
      <c r="AB87" s="214"/>
      <c r="AC87" s="214"/>
      <c r="AD87" s="214"/>
      <c r="AE87" s="214"/>
      <c r="AF87" s="214"/>
      <c r="AG87" s="214"/>
      <c r="AH87" s="214"/>
      <c r="AI87" s="214"/>
      <c r="AJ87" s="214"/>
    </row>
    <row r="88" spans="2:36" s="1" customFormat="1">
      <c r="B88" s="212" t="s">
        <v>351</v>
      </c>
      <c r="C88" s="212"/>
      <c r="D88" s="212"/>
      <c r="E88" s="212"/>
      <c r="F88" s="216">
        <f>F86*F87+'Active Inputs'!$G$53*'Active Inputs'!$G$50*SUM('Active Inputs'!$G$16:$G$19)</f>
        <v>5561185.8997018216</v>
      </c>
      <c r="G88" s="214"/>
      <c r="H88" s="214"/>
      <c r="I88" s="214"/>
      <c r="J88" s="214"/>
      <c r="K88" s="214"/>
      <c r="L88" s="214"/>
      <c r="M88" s="214"/>
      <c r="N88" s="214"/>
      <c r="O88" s="214"/>
      <c r="P88" s="214"/>
      <c r="Q88" s="214"/>
      <c r="R88" s="214"/>
      <c r="S88" s="214"/>
      <c r="T88" s="214"/>
      <c r="U88" s="214"/>
      <c r="V88" s="214"/>
      <c r="W88" s="214"/>
      <c r="X88" s="214"/>
      <c r="Y88" s="214"/>
      <c r="Z88" s="214"/>
      <c r="AA88" s="214"/>
      <c r="AB88" s="214"/>
      <c r="AC88" s="214"/>
      <c r="AD88" s="214"/>
      <c r="AE88" s="214"/>
      <c r="AF88" s="214"/>
      <c r="AG88" s="214"/>
      <c r="AH88" s="214"/>
      <c r="AI88" s="214"/>
      <c r="AJ88" s="214"/>
    </row>
    <row r="89" spans="2:36" s="1" customFormat="1">
      <c r="B89" s="217"/>
      <c r="C89" s="217"/>
      <c r="D89" s="217"/>
      <c r="E89" s="217"/>
      <c r="F89" s="218"/>
      <c r="G89" s="214"/>
      <c r="H89" s="214"/>
      <c r="I89" s="214"/>
      <c r="J89" s="214"/>
      <c r="K89" s="214"/>
      <c r="L89" s="214"/>
      <c r="M89" s="214"/>
      <c r="N89" s="214"/>
      <c r="O89" s="214"/>
      <c r="P89" s="214"/>
      <c r="Q89" s="214"/>
      <c r="R89" s="214"/>
      <c r="S89" s="214"/>
      <c r="T89" s="214"/>
      <c r="U89" s="214"/>
      <c r="V89" s="214"/>
      <c r="W89" s="214"/>
      <c r="X89" s="214"/>
      <c r="Y89" s="214"/>
      <c r="Z89" s="214"/>
      <c r="AA89" s="214"/>
      <c r="AB89" s="214"/>
      <c r="AC89" s="214"/>
      <c r="AD89" s="214"/>
      <c r="AE89" s="214"/>
      <c r="AF89" s="214"/>
      <c r="AG89" s="214"/>
      <c r="AH89" s="214"/>
      <c r="AI89" s="214"/>
      <c r="AJ89" s="214"/>
    </row>
    <row r="90" spans="2:36" s="1" customFormat="1" ht="15.75">
      <c r="B90" s="211" t="s">
        <v>352</v>
      </c>
      <c r="C90" s="211"/>
      <c r="D90" s="211"/>
      <c r="E90" s="211"/>
      <c r="F90" s="218"/>
      <c r="G90" s="214"/>
      <c r="H90" s="214"/>
      <c r="I90" s="214"/>
      <c r="J90" s="214"/>
      <c r="K90" s="214"/>
      <c r="L90" s="214"/>
      <c r="M90" s="214"/>
      <c r="N90" s="214"/>
      <c r="O90" s="214"/>
      <c r="P90" s="214"/>
      <c r="Q90" s="214"/>
      <c r="R90" s="214"/>
      <c r="S90" s="214"/>
      <c r="T90" s="214"/>
      <c r="U90" s="214"/>
      <c r="V90" s="214"/>
      <c r="W90" s="214"/>
      <c r="X90" s="214"/>
      <c r="Y90" s="214"/>
      <c r="Z90" s="214"/>
      <c r="AA90" s="214"/>
      <c r="AB90" s="214"/>
      <c r="AC90" s="214"/>
      <c r="AD90" s="214"/>
      <c r="AE90" s="214"/>
      <c r="AF90" s="214"/>
      <c r="AG90" s="214"/>
      <c r="AH90" s="214"/>
      <c r="AI90" s="214"/>
      <c r="AJ90" s="214"/>
    </row>
    <row r="91" spans="2:36" s="1" customFormat="1" ht="15.75">
      <c r="B91" s="219" t="s">
        <v>353</v>
      </c>
      <c r="C91" s="219"/>
      <c r="D91" s="219"/>
      <c r="E91" s="219"/>
      <c r="F91" s="220">
        <v>0</v>
      </c>
      <c r="G91" s="221">
        <f>SUM(G92:G93)</f>
        <v>-636437.78084666224</v>
      </c>
      <c r="H91" s="221">
        <f t="shared" ref="H91:AJ91" si="29">SUM(H92:H93)</f>
        <v>-636437.78084666224</v>
      </c>
      <c r="I91" s="221">
        <f t="shared" si="29"/>
        <v>-636437.78084666224</v>
      </c>
      <c r="J91" s="221">
        <f t="shared" si="29"/>
        <v>-636437.78084666235</v>
      </c>
      <c r="K91" s="221">
        <f t="shared" si="29"/>
        <v>-636437.78084666235</v>
      </c>
      <c r="L91" s="221">
        <f t="shared" si="29"/>
        <v>-636437.78084666224</v>
      </c>
      <c r="M91" s="221">
        <f t="shared" si="29"/>
        <v>-636437.78084666224</v>
      </c>
      <c r="N91" s="221">
        <f t="shared" si="29"/>
        <v>-636437.78084666235</v>
      </c>
      <c r="O91" s="221">
        <f t="shared" si="29"/>
        <v>-636437.78084666235</v>
      </c>
      <c r="P91" s="221">
        <f t="shared" si="29"/>
        <v>-636437.78084666224</v>
      </c>
      <c r="Q91" s="221">
        <f t="shared" si="29"/>
        <v>-636437.78084666235</v>
      </c>
      <c r="R91" s="221">
        <f t="shared" si="29"/>
        <v>-636437.78084666224</v>
      </c>
      <c r="S91" s="221">
        <f t="shared" si="29"/>
        <v>-636437.78084666235</v>
      </c>
      <c r="T91" s="221">
        <f t="shared" si="29"/>
        <v>-636437.78084666212</v>
      </c>
      <c r="U91" s="221">
        <f t="shared" si="29"/>
        <v>-636437.78084666224</v>
      </c>
      <c r="V91" s="221">
        <f t="shared" si="29"/>
        <v>0</v>
      </c>
      <c r="W91" s="221">
        <f t="shared" si="29"/>
        <v>0</v>
      </c>
      <c r="X91" s="221">
        <f t="shared" si="29"/>
        <v>0</v>
      </c>
      <c r="Y91" s="221">
        <f t="shared" si="29"/>
        <v>0</v>
      </c>
      <c r="Z91" s="221">
        <f t="shared" si="29"/>
        <v>0</v>
      </c>
      <c r="AA91" s="221">
        <f t="shared" si="29"/>
        <v>0</v>
      </c>
      <c r="AB91" s="221">
        <f t="shared" si="29"/>
        <v>0</v>
      </c>
      <c r="AC91" s="221">
        <f t="shared" si="29"/>
        <v>0</v>
      </c>
      <c r="AD91" s="221">
        <f t="shared" si="29"/>
        <v>0</v>
      </c>
      <c r="AE91" s="221">
        <f t="shared" si="29"/>
        <v>0</v>
      </c>
      <c r="AF91" s="221">
        <f t="shared" si="29"/>
        <v>0</v>
      </c>
      <c r="AG91" s="221">
        <f t="shared" si="29"/>
        <v>0</v>
      </c>
      <c r="AH91" s="221">
        <f t="shared" si="29"/>
        <v>0</v>
      </c>
      <c r="AI91" s="221">
        <f t="shared" si="29"/>
        <v>0</v>
      </c>
      <c r="AJ91" s="221">
        <f t="shared" si="29"/>
        <v>0</v>
      </c>
    </row>
    <row r="92" spans="2:36" s="1" customFormat="1" ht="15.75">
      <c r="B92" s="219" t="s">
        <v>354</v>
      </c>
      <c r="C92" s="219"/>
      <c r="D92" s="219"/>
      <c r="E92" s="219"/>
      <c r="F92" s="220">
        <v>0</v>
      </c>
      <c r="G92" s="221">
        <f>IF(G$2&gt;'Active Inputs'!$G$51,0,IPMT('Active Inputs'!$G$52,G$2,'Active Inputs'!$G$51,$F$88))</f>
        <v>-426202.42452433665</v>
      </c>
      <c r="H92" s="221">
        <f>IF(H$2&gt;'Active Inputs'!$G$51,0,IPMT('Active Inputs'!$G$52,H$2,'Active Inputs'!$G$51,$F$88))</f>
        <v>-410090.24625852524</v>
      </c>
      <c r="I92" s="221">
        <f>IF(I$2&gt;'Active Inputs'!$G$51,0,IPMT('Active Inputs'!$G$52,I$2,'Active Inputs'!$G$51,$F$88))</f>
        <v>-392743.25053379277</v>
      </c>
      <c r="J92" s="221">
        <f>IF(J$2&gt;'Active Inputs'!$G$51,0,IPMT('Active Inputs'!$G$52,J$2,'Active Inputs'!$G$51,$F$88))</f>
        <v>-374066.80246392457</v>
      </c>
      <c r="K92" s="221">
        <f>IF(K$2&gt;'Active Inputs'!$G$51,0,IPMT('Active Inputs'!$G$52,K$2,'Active Inputs'!$G$51,$F$88))</f>
        <v>-353959.0144618114</v>
      </c>
      <c r="L92" s="221">
        <f>IF(L$2&gt;'Active Inputs'!$G$51,0,IPMT('Active Inputs'!$G$52,L$2,'Active Inputs'!$G$51,$F$88))</f>
        <v>-332310.19040140323</v>
      </c>
      <c r="M92" s="221">
        <f>IF(M$2&gt;'Active Inputs'!$G$51,0,IPMT('Active Inputs'!$G$52,M$2,'Active Inputs'!$G$51,$F$88))</f>
        <v>-309002.22718092107</v>
      </c>
      <c r="N92" s="221">
        <f>IF(N$2&gt;'Active Inputs'!$G$51,0,IPMT('Active Inputs'!$G$52,N$2,'Active Inputs'!$G$51,$F$88))</f>
        <v>-283907.97042261175</v>
      </c>
      <c r="O92" s="221">
        <f>IF(O$2&gt;'Active Inputs'!$G$51,0,IPMT('Active Inputs'!$G$52,O$2,'Active Inputs'!$G$51,$F$88))</f>
        <v>-256890.52079412676</v>
      </c>
      <c r="P92" s="221">
        <f>IF(P$2&gt;'Active Inputs'!$G$51,0,IPMT('Active Inputs'!$G$52,P$2,'Active Inputs'!$G$51,$F$88))</f>
        <v>-227802.48716722833</v>
      </c>
      <c r="Q92" s="221">
        <f>IF(Q$2&gt;'Active Inputs'!$G$51,0,IPMT('Active Inputs'!$G$52,Q$2,'Active Inputs'!$G$51,$F$88))</f>
        <v>-196485.18253950006</v>
      </c>
      <c r="R92" s="221">
        <f>IF(R$2&gt;'Active Inputs'!$G$51,0,IPMT('Active Inputs'!$G$52,R$2,'Active Inputs'!$G$51,$F$88))</f>
        <v>-162767.75833248915</v>
      </c>
      <c r="S92" s="221">
        <f>IF(S$2&gt;'Active Inputs'!$G$51,0,IPMT('Active Inputs'!$G$52,S$2,'Active Inputs'!$G$51,$F$88))</f>
        <v>-126466.27234352732</v>
      </c>
      <c r="T92" s="221">
        <f>IF(T$2&gt;'Active Inputs'!$G$51,0,IPMT('Active Inputs'!$G$52,T$2,'Active Inputs'!$G$51,$F$88))</f>
        <v>-87382.685266529326</v>
      </c>
      <c r="U92" s="221">
        <f>IF(U$2&gt;'Active Inputs'!$G$51,0,IPMT('Active Inputs'!$G$52,U$2,'Active Inputs'!$G$51,$F$88))</f>
        <v>-45303.780307383662</v>
      </c>
      <c r="V92" s="221">
        <f>IF(V$2&gt;'Active Inputs'!$G$51,0,IPMT('Active Inputs'!$G$52,V$2,'Active Inputs'!$G$51,$F$88))</f>
        <v>0</v>
      </c>
      <c r="W92" s="221">
        <f>IF(W$2&gt;'Active Inputs'!$G$51,0,IPMT('Active Inputs'!$G$52,W$2,'Active Inputs'!$G$51,$F$88))</f>
        <v>0</v>
      </c>
      <c r="X92" s="221">
        <f>IF(X$2&gt;'Active Inputs'!$G$51,0,IPMT('Active Inputs'!$G$52,X$2,'Active Inputs'!$G$51,$F$88))</f>
        <v>0</v>
      </c>
      <c r="Y92" s="221">
        <f>IF(Y$2&gt;'Active Inputs'!$G$51,0,IPMT('Active Inputs'!$G$52,Y$2,'Active Inputs'!$G$51,$F$88))</f>
        <v>0</v>
      </c>
      <c r="Z92" s="221">
        <f>IF(Z$2&gt;'Active Inputs'!$G$51,0,IPMT('Active Inputs'!$G$52,Z$2,'Active Inputs'!$G$51,$F$88))</f>
        <v>0</v>
      </c>
      <c r="AA92" s="221">
        <f>IF(AA$2&gt;'Active Inputs'!$G$51,0,IPMT('Active Inputs'!$G$52,AA$2,'Active Inputs'!$G$51,$F$88))</f>
        <v>0</v>
      </c>
      <c r="AB92" s="221">
        <f>IF(AB$2&gt;'Active Inputs'!$G$51,0,IPMT('Active Inputs'!$G$52,AB$2,'Active Inputs'!$G$51,$F$88))</f>
        <v>0</v>
      </c>
      <c r="AC92" s="221">
        <f>IF(AC$2&gt;'Active Inputs'!$G$51,0,IPMT('Active Inputs'!$G$52,AC$2,'Active Inputs'!$G$51,$F$88))</f>
        <v>0</v>
      </c>
      <c r="AD92" s="221">
        <f>IF(AD$2&gt;'Active Inputs'!$G$51,0,IPMT('Active Inputs'!$G$52,AD$2,'Active Inputs'!$G$51,$F$88))</f>
        <v>0</v>
      </c>
      <c r="AE92" s="221">
        <f>IF(AE$2&gt;'Active Inputs'!$G$51,0,IPMT('Active Inputs'!$G$52,AE$2,'Active Inputs'!$G$51,$F$88))</f>
        <v>0</v>
      </c>
      <c r="AF92" s="221">
        <f>IF(AF$2&gt;'Active Inputs'!$G$51,0,IPMT('Active Inputs'!$G$52,AF$2,'Active Inputs'!$G$51,$F$88))</f>
        <v>0</v>
      </c>
      <c r="AG92" s="221">
        <f>IF(AG$2&gt;'Active Inputs'!$G$51,0,IPMT('Active Inputs'!$G$52,AG$2,'Active Inputs'!$G$51,$F$88))</f>
        <v>0</v>
      </c>
      <c r="AH92" s="221">
        <f>IF(AH$2&gt;'Active Inputs'!$G$51,0,IPMT('Active Inputs'!$G$52,AH$2,'Active Inputs'!$G$51,$F$88))</f>
        <v>0</v>
      </c>
      <c r="AI92" s="221">
        <f>IF(AI$2&gt;'Active Inputs'!$G$51,0,IPMT('Active Inputs'!$G$52,AI$2,'Active Inputs'!$G$51,$F$88))</f>
        <v>0</v>
      </c>
      <c r="AJ92" s="221">
        <f>IF(AJ$2&gt;'Active Inputs'!$G$51,0,IPMT('Active Inputs'!$G$52,AJ$2,'Active Inputs'!$G$51,$F$88))</f>
        <v>0</v>
      </c>
    </row>
    <row r="93" spans="2:36" s="1" customFormat="1">
      <c r="B93" s="219" t="s">
        <v>355</v>
      </c>
      <c r="C93" s="219"/>
      <c r="D93" s="219"/>
      <c r="E93" s="219"/>
      <c r="F93" s="213">
        <f>MIN(MAX(0,F91-F92),F$96)</f>
        <v>0</v>
      </c>
      <c r="G93" s="221">
        <f>IF(G$2&gt;'Active Inputs'!$G$51,0,PPMT('Active Inputs'!$G$52,G$2,'Active Inputs'!$G$51,$F$88))</f>
        <v>-210235.35632232556</v>
      </c>
      <c r="H93" s="221">
        <f>IF(H$2&gt;'Active Inputs'!$G$51,0,PPMT('Active Inputs'!$G$52,H$2,'Active Inputs'!$G$51,$F$88))</f>
        <v>-226347.534588137</v>
      </c>
      <c r="I93" s="221">
        <f>IF(I$2&gt;'Active Inputs'!$G$51,0,PPMT('Active Inputs'!$G$52,I$2,'Active Inputs'!$G$51,$F$88))</f>
        <v>-243694.53031286949</v>
      </c>
      <c r="J93" s="221">
        <f>IF(J$2&gt;'Active Inputs'!$G$51,0,PPMT('Active Inputs'!$G$52,J$2,'Active Inputs'!$G$51,$F$88))</f>
        <v>-262370.97838273778</v>
      </c>
      <c r="K93" s="221">
        <f>IF(K$2&gt;'Active Inputs'!$G$51,0,PPMT('Active Inputs'!$G$52,K$2,'Active Inputs'!$G$51,$F$88))</f>
        <v>-282478.7663848509</v>
      </c>
      <c r="L93" s="221">
        <f>IF(L$2&gt;'Active Inputs'!$G$51,0,PPMT('Active Inputs'!$G$52,L$2,'Active Inputs'!$G$51,$F$88))</f>
        <v>-304127.590445259</v>
      </c>
      <c r="M93" s="221">
        <f>IF(M$2&gt;'Active Inputs'!$G$51,0,PPMT('Active Inputs'!$G$52,M$2,'Active Inputs'!$G$51,$F$88))</f>
        <v>-327435.55366574117</v>
      </c>
      <c r="N93" s="221">
        <f>IF(N$2&gt;'Active Inputs'!$G$51,0,PPMT('Active Inputs'!$G$52,N$2,'Active Inputs'!$G$51,$F$88))</f>
        <v>-352529.81042405061</v>
      </c>
      <c r="O93" s="221">
        <f>IF(O$2&gt;'Active Inputs'!$G$51,0,PPMT('Active Inputs'!$G$52,O$2,'Active Inputs'!$G$51,$F$88))</f>
        <v>-379547.26005253557</v>
      </c>
      <c r="P93" s="221">
        <f>IF(P$2&gt;'Active Inputs'!$G$51,0,PPMT('Active Inputs'!$G$52,P$2,'Active Inputs'!$G$51,$F$88))</f>
        <v>-408635.29367943387</v>
      </c>
      <c r="Q93" s="221">
        <f>IF(Q$2&gt;'Active Inputs'!$G$51,0,PPMT('Active Inputs'!$G$52,Q$2,'Active Inputs'!$G$51,$F$88))</f>
        <v>-439952.59830716223</v>
      </c>
      <c r="R93" s="221">
        <f>IF(R$2&gt;'Active Inputs'!$G$51,0,PPMT('Active Inputs'!$G$52,R$2,'Active Inputs'!$G$51,$F$88))</f>
        <v>-473670.02251417312</v>
      </c>
      <c r="S93" s="221">
        <f>IF(S$2&gt;'Active Inputs'!$G$51,0,PPMT('Active Inputs'!$G$52,S$2,'Active Inputs'!$G$51,$F$88))</f>
        <v>-509971.508503135</v>
      </c>
      <c r="T93" s="221">
        <f>IF(T$2&gt;'Active Inputs'!$G$51,0,PPMT('Active Inputs'!$G$52,T$2,'Active Inputs'!$G$51,$F$88))</f>
        <v>-549055.09558013279</v>
      </c>
      <c r="U93" s="221">
        <f>IF(U$2&gt;'Active Inputs'!$G$51,0,PPMT('Active Inputs'!$G$52,U$2,'Active Inputs'!$G$51,$F$88))</f>
        <v>-591134.00053927861</v>
      </c>
      <c r="V93" s="221">
        <f>IF(V$2&gt;'Active Inputs'!$G$51,0,PPMT('Active Inputs'!$G$52,V$2,'Active Inputs'!$G$51,$F$88))</f>
        <v>0</v>
      </c>
      <c r="W93" s="221">
        <f>IF(W$2&gt;'Active Inputs'!$G$51,0,PPMT('Active Inputs'!$G$52,W$2,'Active Inputs'!$G$51,$F$88))</f>
        <v>0</v>
      </c>
      <c r="X93" s="221">
        <f>IF(X$2&gt;'Active Inputs'!$G$51,0,PPMT('Active Inputs'!$G$52,X$2,'Active Inputs'!$G$51,$F$88))</f>
        <v>0</v>
      </c>
      <c r="Y93" s="221">
        <f>IF(Y$2&gt;'Active Inputs'!$G$51,0,PPMT('Active Inputs'!$G$52,Y$2,'Active Inputs'!$G$51,$F$88))</f>
        <v>0</v>
      </c>
      <c r="Z93" s="221">
        <f>IF(Z$2&gt;'Active Inputs'!$G$51,0,PPMT('Active Inputs'!$G$52,Z$2,'Active Inputs'!$G$51,$F$88))</f>
        <v>0</v>
      </c>
      <c r="AA93" s="221">
        <f>IF(AA$2&gt;'Active Inputs'!$G$51,0,PPMT('Active Inputs'!$G$52,AA$2,'Active Inputs'!$G$51,$F$88))</f>
        <v>0</v>
      </c>
      <c r="AB93" s="221">
        <f>IF(AB$2&gt;'Active Inputs'!$G$51,0,PPMT('Active Inputs'!$G$52,AB$2,'Active Inputs'!$G$51,$F$88))</f>
        <v>0</v>
      </c>
      <c r="AC93" s="221">
        <f>IF(AC$2&gt;'Active Inputs'!$G$51,0,PPMT('Active Inputs'!$G$52,AC$2,'Active Inputs'!$G$51,$F$88))</f>
        <v>0</v>
      </c>
      <c r="AD93" s="221">
        <f>IF(AD$2&gt;'Active Inputs'!$G$51,0,PPMT('Active Inputs'!$G$52,AD$2,'Active Inputs'!$G$51,$F$88))</f>
        <v>0</v>
      </c>
      <c r="AE93" s="221">
        <f>IF(AE$2&gt;'Active Inputs'!$G$51,0,PPMT('Active Inputs'!$G$52,AE$2,'Active Inputs'!$G$51,$F$88))</f>
        <v>0</v>
      </c>
      <c r="AF93" s="221">
        <f>IF(AF$2&gt;'Active Inputs'!$G$51,0,PPMT('Active Inputs'!$G$52,AF$2,'Active Inputs'!$G$51,$F$88))</f>
        <v>0</v>
      </c>
      <c r="AG93" s="221">
        <f>IF(AG$2&gt;'Active Inputs'!$G$51,0,PPMT('Active Inputs'!$G$52,AG$2,'Active Inputs'!$G$51,$F$88))</f>
        <v>0</v>
      </c>
      <c r="AH93" s="221">
        <f>IF(AH$2&gt;'Active Inputs'!$G$51,0,PPMT('Active Inputs'!$G$52,AH$2,'Active Inputs'!$G$51,$F$88))</f>
        <v>0</v>
      </c>
      <c r="AI93" s="221">
        <f>IF(AI$2&gt;'Active Inputs'!$G$51,0,PPMT('Active Inputs'!$G$52,AI$2,'Active Inputs'!$G$51,$F$88))</f>
        <v>0</v>
      </c>
      <c r="AJ93" s="221">
        <f>IF(AJ$2&gt;'Active Inputs'!$G$51,0,PPMT('Active Inputs'!$G$52,AJ$2,'Active Inputs'!$G$51,$F$88))</f>
        <v>0</v>
      </c>
    </row>
    <row r="94" spans="2:36" s="1" customFormat="1" ht="15.75">
      <c r="B94" s="211"/>
      <c r="C94" s="211"/>
      <c r="D94" s="211"/>
      <c r="E94" s="211"/>
      <c r="F94" s="218"/>
      <c r="G94" s="214"/>
      <c r="H94" s="214"/>
      <c r="I94" s="214"/>
      <c r="J94" s="214"/>
      <c r="K94" s="214"/>
      <c r="L94" s="214"/>
      <c r="M94" s="214"/>
      <c r="N94" s="214"/>
      <c r="O94" s="214"/>
      <c r="P94" s="214"/>
      <c r="Q94" s="214"/>
      <c r="R94" s="214"/>
      <c r="S94" s="214"/>
      <c r="T94" s="214"/>
      <c r="U94" s="214"/>
      <c r="V94" s="214"/>
      <c r="W94" s="214"/>
      <c r="X94" s="214"/>
      <c r="Y94" s="214"/>
      <c r="Z94" s="214"/>
      <c r="AA94" s="214"/>
      <c r="AB94" s="214"/>
      <c r="AC94" s="214"/>
      <c r="AD94" s="214"/>
      <c r="AE94" s="214"/>
      <c r="AF94" s="214"/>
      <c r="AG94" s="214"/>
      <c r="AH94" s="214"/>
      <c r="AI94" s="214"/>
      <c r="AJ94" s="214"/>
    </row>
    <row r="95" spans="2:36" s="1" customFormat="1" ht="15.75">
      <c r="B95" s="211" t="s">
        <v>356</v>
      </c>
      <c r="C95" s="211"/>
      <c r="D95" s="211"/>
      <c r="E95" s="212"/>
      <c r="F95" s="222"/>
      <c r="G95" s="222"/>
      <c r="H95" s="222"/>
      <c r="I95" s="222"/>
      <c r="J95" s="222"/>
      <c r="K95" s="222"/>
      <c r="L95" s="222"/>
      <c r="M95" s="222"/>
      <c r="N95" s="222"/>
      <c r="O95" s="222"/>
      <c r="P95" s="222"/>
      <c r="Q95" s="222"/>
      <c r="R95" s="222"/>
      <c r="S95" s="222"/>
      <c r="T95" s="222"/>
      <c r="U95" s="222"/>
      <c r="V95" s="222"/>
      <c r="W95" s="222"/>
      <c r="X95" s="222"/>
      <c r="Y95" s="222"/>
      <c r="Z95" s="222"/>
      <c r="AA95" s="222"/>
      <c r="AB95" s="222"/>
      <c r="AC95" s="222"/>
      <c r="AD95" s="222"/>
      <c r="AE95" s="222"/>
      <c r="AF95" s="222"/>
      <c r="AG95" s="222"/>
      <c r="AH95" s="222"/>
      <c r="AI95" s="222"/>
      <c r="AJ95" s="222"/>
    </row>
    <row r="96" spans="2:36" s="1" customFormat="1" ht="15.75">
      <c r="B96" s="219" t="s">
        <v>357</v>
      </c>
      <c r="C96" s="219"/>
      <c r="D96" s="219"/>
      <c r="E96" s="219"/>
      <c r="F96" s="220">
        <v>0</v>
      </c>
      <c r="G96" s="213">
        <f t="shared" ref="G96:AJ96" si="30">F99</f>
        <v>5561185.8997018216</v>
      </c>
      <c r="H96" s="213">
        <f t="shared" si="30"/>
        <v>5350950.5433794959</v>
      </c>
      <c r="I96" s="213">
        <f t="shared" si="30"/>
        <v>5124603.0087913591</v>
      </c>
      <c r="J96" s="213">
        <f t="shared" si="30"/>
        <v>4880908.4784784894</v>
      </c>
      <c r="K96" s="213">
        <f t="shared" si="30"/>
        <v>4618537.5000957521</v>
      </c>
      <c r="L96" s="213">
        <f t="shared" si="30"/>
        <v>4336058.7337109009</v>
      </c>
      <c r="M96" s="213">
        <f t="shared" si="30"/>
        <v>4031931.1432656418</v>
      </c>
      <c r="N96" s="213">
        <f t="shared" si="30"/>
        <v>3704495.5895999004</v>
      </c>
      <c r="O96" s="213">
        <f t="shared" si="30"/>
        <v>3351965.7791758496</v>
      </c>
      <c r="P96" s="213">
        <f t="shared" si="30"/>
        <v>2972418.5191233139</v>
      </c>
      <c r="Q96" s="213">
        <f t="shared" si="30"/>
        <v>2563783.2254438801</v>
      </c>
      <c r="R96" s="213">
        <f t="shared" si="30"/>
        <v>2123830.627136718</v>
      </c>
      <c r="S96" s="213">
        <f t="shared" si="30"/>
        <v>1650160.604622545</v>
      </c>
      <c r="T96" s="213">
        <f t="shared" si="30"/>
        <v>1140189.0961194099</v>
      </c>
      <c r="U96" s="213">
        <f t="shared" si="30"/>
        <v>591134.0005392771</v>
      </c>
      <c r="V96" s="213">
        <f t="shared" si="30"/>
        <v>-1.5133991837501526E-9</v>
      </c>
      <c r="W96" s="213">
        <f t="shared" si="30"/>
        <v>-1.5133991837501526E-9</v>
      </c>
      <c r="X96" s="213">
        <f t="shared" si="30"/>
        <v>-1.5133991837501526E-9</v>
      </c>
      <c r="Y96" s="213">
        <f t="shared" si="30"/>
        <v>-1.5133991837501526E-9</v>
      </c>
      <c r="Z96" s="213">
        <f t="shared" si="30"/>
        <v>-1.5133991837501526E-9</v>
      </c>
      <c r="AA96" s="213">
        <f t="shared" si="30"/>
        <v>-1.5133991837501526E-9</v>
      </c>
      <c r="AB96" s="213">
        <f t="shared" si="30"/>
        <v>-1.5133991837501526E-9</v>
      </c>
      <c r="AC96" s="213">
        <f t="shared" si="30"/>
        <v>-1.5133991837501526E-9</v>
      </c>
      <c r="AD96" s="213">
        <f t="shared" si="30"/>
        <v>-1.5133991837501526E-9</v>
      </c>
      <c r="AE96" s="213">
        <f t="shared" si="30"/>
        <v>-1.5133991837501526E-9</v>
      </c>
      <c r="AF96" s="213">
        <f t="shared" si="30"/>
        <v>-1.5133991837501526E-9</v>
      </c>
      <c r="AG96" s="213">
        <f t="shared" si="30"/>
        <v>-1.5133991837501526E-9</v>
      </c>
      <c r="AH96" s="213">
        <f t="shared" si="30"/>
        <v>-1.5133991837501526E-9</v>
      </c>
      <c r="AI96" s="213">
        <f t="shared" si="30"/>
        <v>-1.5133991837501526E-9</v>
      </c>
      <c r="AJ96" s="213">
        <f t="shared" si="30"/>
        <v>-1.5133991837501526E-9</v>
      </c>
    </row>
    <row r="97" spans="2:36" s="1" customFormat="1" ht="15.75">
      <c r="B97" s="219" t="s">
        <v>358</v>
      </c>
      <c r="C97" s="219"/>
      <c r="D97" s="219"/>
      <c r="E97" s="219"/>
      <c r="F97" s="213">
        <f>$F$88</f>
        <v>5561185.8997018216</v>
      </c>
      <c r="G97" s="220">
        <v>0</v>
      </c>
      <c r="H97" s="220">
        <v>0</v>
      </c>
      <c r="I97" s="220">
        <v>0</v>
      </c>
      <c r="J97" s="220">
        <v>0</v>
      </c>
      <c r="K97" s="220">
        <v>0</v>
      </c>
      <c r="L97" s="220">
        <v>0</v>
      </c>
      <c r="M97" s="220">
        <v>0</v>
      </c>
      <c r="N97" s="220">
        <v>0</v>
      </c>
      <c r="O97" s="220">
        <v>0</v>
      </c>
      <c r="P97" s="220">
        <v>0</v>
      </c>
      <c r="Q97" s="220">
        <v>0</v>
      </c>
      <c r="R97" s="220">
        <v>0</v>
      </c>
      <c r="S97" s="220">
        <v>0</v>
      </c>
      <c r="T97" s="220">
        <v>0</v>
      </c>
      <c r="U97" s="220">
        <v>0</v>
      </c>
      <c r="V97" s="220">
        <v>0</v>
      </c>
      <c r="W97" s="220">
        <v>0</v>
      </c>
      <c r="X97" s="220">
        <v>0</v>
      </c>
      <c r="Y97" s="220">
        <v>0</v>
      </c>
      <c r="Z97" s="220">
        <v>0</v>
      </c>
      <c r="AA97" s="220">
        <v>0</v>
      </c>
      <c r="AB97" s="220">
        <v>0</v>
      </c>
      <c r="AC97" s="220">
        <v>0</v>
      </c>
      <c r="AD97" s="220">
        <v>0</v>
      </c>
      <c r="AE97" s="220">
        <v>0</v>
      </c>
      <c r="AF97" s="220">
        <v>0</v>
      </c>
      <c r="AG97" s="220">
        <v>0</v>
      </c>
      <c r="AH97" s="220">
        <v>0</v>
      </c>
      <c r="AI97" s="220">
        <v>0</v>
      </c>
      <c r="AJ97" s="220">
        <v>0</v>
      </c>
    </row>
    <row r="98" spans="2:36" s="1" customFormat="1" ht="15.75">
      <c r="B98" s="219" t="s">
        <v>359</v>
      </c>
      <c r="C98" s="219"/>
      <c r="D98" s="219"/>
      <c r="E98" s="219"/>
      <c r="F98" s="223">
        <v>0</v>
      </c>
      <c r="G98" s="224">
        <f t="shared" ref="G98:AJ98" si="31">G93</f>
        <v>-210235.35632232556</v>
      </c>
      <c r="H98" s="224">
        <f t="shared" si="31"/>
        <v>-226347.534588137</v>
      </c>
      <c r="I98" s="224">
        <f t="shared" si="31"/>
        <v>-243694.53031286949</v>
      </c>
      <c r="J98" s="224">
        <f t="shared" si="31"/>
        <v>-262370.97838273778</v>
      </c>
      <c r="K98" s="224">
        <f t="shared" si="31"/>
        <v>-282478.7663848509</v>
      </c>
      <c r="L98" s="224">
        <f t="shared" si="31"/>
        <v>-304127.590445259</v>
      </c>
      <c r="M98" s="224">
        <f t="shared" si="31"/>
        <v>-327435.55366574117</v>
      </c>
      <c r="N98" s="224">
        <f t="shared" si="31"/>
        <v>-352529.81042405061</v>
      </c>
      <c r="O98" s="224">
        <f t="shared" si="31"/>
        <v>-379547.26005253557</v>
      </c>
      <c r="P98" s="224">
        <f t="shared" si="31"/>
        <v>-408635.29367943387</v>
      </c>
      <c r="Q98" s="224">
        <f t="shared" si="31"/>
        <v>-439952.59830716223</v>
      </c>
      <c r="R98" s="224">
        <f t="shared" si="31"/>
        <v>-473670.02251417312</v>
      </c>
      <c r="S98" s="224">
        <f t="shared" si="31"/>
        <v>-509971.508503135</v>
      </c>
      <c r="T98" s="224">
        <f t="shared" si="31"/>
        <v>-549055.09558013279</v>
      </c>
      <c r="U98" s="224">
        <f t="shared" si="31"/>
        <v>-591134.00053927861</v>
      </c>
      <c r="V98" s="224">
        <f t="shared" si="31"/>
        <v>0</v>
      </c>
      <c r="W98" s="224">
        <f t="shared" si="31"/>
        <v>0</v>
      </c>
      <c r="X98" s="224">
        <f t="shared" si="31"/>
        <v>0</v>
      </c>
      <c r="Y98" s="224">
        <f t="shared" si="31"/>
        <v>0</v>
      </c>
      <c r="Z98" s="224">
        <f t="shared" si="31"/>
        <v>0</v>
      </c>
      <c r="AA98" s="224">
        <f t="shared" si="31"/>
        <v>0</v>
      </c>
      <c r="AB98" s="224">
        <f t="shared" si="31"/>
        <v>0</v>
      </c>
      <c r="AC98" s="224">
        <f t="shared" si="31"/>
        <v>0</v>
      </c>
      <c r="AD98" s="224">
        <f t="shared" si="31"/>
        <v>0</v>
      </c>
      <c r="AE98" s="224">
        <f t="shared" si="31"/>
        <v>0</v>
      </c>
      <c r="AF98" s="224">
        <f t="shared" si="31"/>
        <v>0</v>
      </c>
      <c r="AG98" s="224">
        <f t="shared" si="31"/>
        <v>0</v>
      </c>
      <c r="AH98" s="224">
        <f t="shared" si="31"/>
        <v>0</v>
      </c>
      <c r="AI98" s="224">
        <f t="shared" si="31"/>
        <v>0</v>
      </c>
      <c r="AJ98" s="224">
        <f t="shared" si="31"/>
        <v>0</v>
      </c>
    </row>
    <row r="99" spans="2:36" s="1" customFormat="1">
      <c r="B99" s="219" t="s">
        <v>360</v>
      </c>
      <c r="C99" s="219"/>
      <c r="D99" s="219"/>
      <c r="E99" s="219"/>
      <c r="F99" s="213">
        <f t="shared" ref="F99:AJ99" si="32">SUM(F96:F98)</f>
        <v>5561185.8997018216</v>
      </c>
      <c r="G99" s="213">
        <f t="shared" si="32"/>
        <v>5350950.5433794959</v>
      </c>
      <c r="H99" s="213">
        <f t="shared" si="32"/>
        <v>5124603.0087913591</v>
      </c>
      <c r="I99" s="213">
        <f t="shared" si="32"/>
        <v>4880908.4784784894</v>
      </c>
      <c r="J99" s="213">
        <f t="shared" si="32"/>
        <v>4618537.5000957521</v>
      </c>
      <c r="K99" s="213">
        <f t="shared" si="32"/>
        <v>4336058.7337109009</v>
      </c>
      <c r="L99" s="213">
        <f t="shared" si="32"/>
        <v>4031931.1432656418</v>
      </c>
      <c r="M99" s="213">
        <f t="shared" si="32"/>
        <v>3704495.5895999004</v>
      </c>
      <c r="N99" s="213">
        <f t="shared" si="32"/>
        <v>3351965.7791758496</v>
      </c>
      <c r="O99" s="213">
        <f t="shared" si="32"/>
        <v>2972418.5191233139</v>
      </c>
      <c r="P99" s="213">
        <f t="shared" si="32"/>
        <v>2563783.2254438801</v>
      </c>
      <c r="Q99" s="213">
        <f t="shared" si="32"/>
        <v>2123830.627136718</v>
      </c>
      <c r="R99" s="213">
        <f t="shared" si="32"/>
        <v>1650160.604622545</v>
      </c>
      <c r="S99" s="213">
        <f t="shared" si="32"/>
        <v>1140189.0961194099</v>
      </c>
      <c r="T99" s="213">
        <f t="shared" si="32"/>
        <v>591134.0005392771</v>
      </c>
      <c r="U99" s="213">
        <f t="shared" si="32"/>
        <v>-1.5133991837501526E-9</v>
      </c>
      <c r="V99" s="213">
        <f t="shared" si="32"/>
        <v>-1.5133991837501526E-9</v>
      </c>
      <c r="W99" s="213">
        <f t="shared" si="32"/>
        <v>-1.5133991837501526E-9</v>
      </c>
      <c r="X99" s="213">
        <f t="shared" si="32"/>
        <v>-1.5133991837501526E-9</v>
      </c>
      <c r="Y99" s="213">
        <f t="shared" si="32"/>
        <v>-1.5133991837501526E-9</v>
      </c>
      <c r="Z99" s="213">
        <f t="shared" si="32"/>
        <v>-1.5133991837501526E-9</v>
      </c>
      <c r="AA99" s="213">
        <f t="shared" si="32"/>
        <v>-1.5133991837501526E-9</v>
      </c>
      <c r="AB99" s="213">
        <f t="shared" si="32"/>
        <v>-1.5133991837501526E-9</v>
      </c>
      <c r="AC99" s="213">
        <f t="shared" si="32"/>
        <v>-1.5133991837501526E-9</v>
      </c>
      <c r="AD99" s="213">
        <f t="shared" si="32"/>
        <v>-1.5133991837501526E-9</v>
      </c>
      <c r="AE99" s="213">
        <f t="shared" si="32"/>
        <v>-1.5133991837501526E-9</v>
      </c>
      <c r="AF99" s="213">
        <f t="shared" si="32"/>
        <v>-1.5133991837501526E-9</v>
      </c>
      <c r="AG99" s="213">
        <f t="shared" si="32"/>
        <v>-1.5133991837501526E-9</v>
      </c>
      <c r="AH99" s="213">
        <f t="shared" si="32"/>
        <v>-1.5133991837501526E-9</v>
      </c>
      <c r="AI99" s="213">
        <f t="shared" si="32"/>
        <v>-1.5133991837501526E-9</v>
      </c>
      <c r="AJ99" s="213">
        <f t="shared" si="32"/>
        <v>-1.5133991837501526E-9</v>
      </c>
    </row>
    <row r="100" spans="2:36" s="1" customFormat="1" ht="15.75" thickBot="1">
      <c r="B100" s="207"/>
      <c r="C100" s="207"/>
      <c r="D100" s="207"/>
      <c r="E100" s="207"/>
      <c r="F100" s="207"/>
      <c r="G100" s="207"/>
      <c r="H100" s="207"/>
      <c r="I100" s="207"/>
      <c r="J100" s="207"/>
      <c r="K100" s="207"/>
      <c r="L100" s="207"/>
      <c r="M100" s="207"/>
      <c r="N100" s="207"/>
      <c r="O100" s="207"/>
      <c r="P100" s="207"/>
      <c r="Q100" s="207"/>
      <c r="R100" s="207"/>
      <c r="S100" s="207"/>
      <c r="T100" s="207"/>
      <c r="U100" s="207"/>
      <c r="V100" s="207"/>
      <c r="W100" s="207"/>
      <c r="X100" s="207"/>
      <c r="Y100" s="207"/>
      <c r="Z100" s="207"/>
      <c r="AA100" s="207"/>
      <c r="AB100" s="207"/>
      <c r="AC100" s="207"/>
      <c r="AD100" s="207"/>
      <c r="AE100" s="207"/>
      <c r="AF100" s="207"/>
      <c r="AG100" s="207"/>
      <c r="AH100" s="207"/>
      <c r="AI100" s="207"/>
      <c r="AJ100" s="207"/>
    </row>
    <row r="101" spans="2:36">
      <c r="B101" s="225"/>
      <c r="C101" s="225"/>
      <c r="D101" s="225"/>
      <c r="E101" s="225"/>
      <c r="F101" s="225"/>
      <c r="G101" s="225"/>
      <c r="H101" s="225"/>
      <c r="I101" s="225"/>
      <c r="J101" s="225"/>
      <c r="K101" s="225"/>
      <c r="L101" s="225"/>
      <c r="M101" s="225"/>
      <c r="N101" s="225"/>
      <c r="O101" s="225"/>
      <c r="P101" s="225"/>
      <c r="Q101" s="225"/>
      <c r="R101" s="225"/>
      <c r="S101" s="225"/>
      <c r="T101" s="225"/>
      <c r="U101" s="225"/>
      <c r="V101" s="225"/>
      <c r="W101" s="225"/>
      <c r="X101" s="225"/>
      <c r="Y101" s="225"/>
      <c r="Z101" s="225"/>
      <c r="AA101" s="225"/>
      <c r="AB101" s="225"/>
      <c r="AC101" s="225"/>
      <c r="AD101" s="225"/>
      <c r="AE101" s="225"/>
      <c r="AF101" s="225"/>
      <c r="AG101" s="225"/>
      <c r="AH101" s="225"/>
      <c r="AI101" s="225"/>
      <c r="AJ101" s="225"/>
    </row>
    <row r="102" spans="2:36" s="1" customFormat="1" ht="15.75">
      <c r="B102" s="187" t="s">
        <v>361</v>
      </c>
      <c r="C102" s="810" t="s">
        <v>362</v>
      </c>
      <c r="D102" s="810"/>
      <c r="E102" s="810"/>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188"/>
      <c r="AB102" s="188"/>
      <c r="AC102" s="188"/>
      <c r="AD102" s="188"/>
      <c r="AE102" s="188"/>
      <c r="AF102" s="188"/>
      <c r="AG102" s="188"/>
      <c r="AH102" s="188"/>
      <c r="AI102" s="188"/>
      <c r="AJ102" s="188"/>
    </row>
    <row r="103" spans="2:36" s="1" customFormat="1">
      <c r="B103" s="188" t="s">
        <v>283</v>
      </c>
      <c r="C103" s="189" t="s">
        <v>363</v>
      </c>
      <c r="D103" s="189" t="s">
        <v>364</v>
      </c>
      <c r="E103" s="189" t="s">
        <v>365</v>
      </c>
      <c r="F103" s="189">
        <v>0</v>
      </c>
      <c r="G103" s="189">
        <v>1</v>
      </c>
      <c r="H103" s="189">
        <v>2</v>
      </c>
      <c r="I103" s="189">
        <v>3</v>
      </c>
      <c r="J103" s="189">
        <v>4</v>
      </c>
      <c r="K103" s="189">
        <v>5</v>
      </c>
      <c r="L103" s="189">
        <v>6</v>
      </c>
      <c r="M103" s="189">
        <v>7</v>
      </c>
      <c r="N103" s="189">
        <v>8</v>
      </c>
      <c r="O103" s="189">
        <v>9</v>
      </c>
      <c r="P103" s="189">
        <v>10</v>
      </c>
      <c r="Q103" s="189">
        <v>11</v>
      </c>
      <c r="R103" s="189">
        <v>12</v>
      </c>
      <c r="S103" s="189">
        <v>13</v>
      </c>
      <c r="T103" s="189">
        <v>14</v>
      </c>
      <c r="U103" s="189">
        <v>15</v>
      </c>
      <c r="V103" s="189">
        <v>16</v>
      </c>
      <c r="W103" s="189">
        <v>17</v>
      </c>
      <c r="X103" s="189">
        <v>18</v>
      </c>
      <c r="Y103" s="189">
        <v>19</v>
      </c>
      <c r="Z103" s="189">
        <v>20</v>
      </c>
      <c r="AA103" s="189">
        <v>21</v>
      </c>
      <c r="AB103" s="189">
        <v>22</v>
      </c>
      <c r="AC103" s="189">
        <v>23</v>
      </c>
      <c r="AD103" s="189">
        <v>24</v>
      </c>
      <c r="AE103" s="189">
        <v>25</v>
      </c>
      <c r="AF103" s="189">
        <v>26</v>
      </c>
      <c r="AG103" s="189">
        <v>27</v>
      </c>
      <c r="AH103" s="189">
        <v>28</v>
      </c>
      <c r="AI103" s="189">
        <v>29</v>
      </c>
      <c r="AJ103" s="189">
        <v>30</v>
      </c>
    </row>
    <row r="104" spans="2:36" s="1" customFormat="1" ht="15.75">
      <c r="B104" s="190" t="s">
        <v>366</v>
      </c>
      <c r="C104" s="191" t="s">
        <v>367</v>
      </c>
      <c r="D104" s="191" t="s">
        <v>368</v>
      </c>
      <c r="E104" s="191" t="s">
        <v>367</v>
      </c>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8"/>
      <c r="AD104" s="188"/>
      <c r="AE104" s="188"/>
      <c r="AF104" s="188"/>
      <c r="AG104" s="188"/>
      <c r="AH104" s="188"/>
      <c r="AI104" s="188"/>
      <c r="AJ104" s="188"/>
    </row>
    <row r="105" spans="2:36" s="1" customFormat="1" ht="15.75">
      <c r="B105" s="188" t="s">
        <v>369</v>
      </c>
      <c r="C105" s="621">
        <f>IF('Active Inputs'!$W$9="host-owned",0,IF('Active Inputs'!$G$14="Simple",'Active Inputs'!$G$22*'Active Inputs'!$P$79,IF('Active Inputs'!$G$14="Intermediate",SUMPRODUCT('Active Inputs'!$G$16:$G$20,'Active Inputs'!$P$80:$P$84),'Complex Inputs'!$F$121)))</f>
        <v>11761926.555879597</v>
      </c>
      <c r="D105" s="662">
        <f>IF('Active Inputs'!$W$9="host-owned",0,C105/$C$116)</f>
        <v>0.95153137079988115</v>
      </c>
      <c r="E105" s="192">
        <f>($C$116-$C$118)*IF('Active Inputs'!$P$75="No",1,(1-'Active Inputs'!$P$76))*D105</f>
        <v>10083150.24103505</v>
      </c>
      <c r="F105" s="193"/>
      <c r="G105" s="194">
        <v>0.2</v>
      </c>
      <c r="H105" s="194">
        <v>0.32</v>
      </c>
      <c r="I105" s="194">
        <v>0.192</v>
      </c>
      <c r="J105" s="194">
        <v>0.1152</v>
      </c>
      <c r="K105" s="194">
        <v>0.1152</v>
      </c>
      <c r="L105" s="194">
        <v>5.7599999999999998E-2</v>
      </c>
      <c r="M105" s="194">
        <v>0</v>
      </c>
      <c r="N105" s="194">
        <v>0</v>
      </c>
      <c r="O105" s="194">
        <v>0</v>
      </c>
      <c r="P105" s="194">
        <v>0</v>
      </c>
      <c r="Q105" s="194">
        <v>0</v>
      </c>
      <c r="R105" s="194">
        <v>0</v>
      </c>
      <c r="S105" s="194">
        <v>0</v>
      </c>
      <c r="T105" s="194">
        <v>0</v>
      </c>
      <c r="U105" s="194">
        <v>0</v>
      </c>
      <c r="V105" s="194">
        <v>0</v>
      </c>
      <c r="W105" s="194">
        <v>0</v>
      </c>
      <c r="X105" s="194">
        <v>0</v>
      </c>
      <c r="Y105" s="194">
        <v>0</v>
      </c>
      <c r="Z105" s="194">
        <v>0</v>
      </c>
      <c r="AA105" s="194">
        <v>0</v>
      </c>
      <c r="AB105" s="194">
        <v>0</v>
      </c>
      <c r="AC105" s="194">
        <v>0</v>
      </c>
      <c r="AD105" s="194">
        <v>0</v>
      </c>
      <c r="AE105" s="194">
        <v>0</v>
      </c>
      <c r="AF105" s="194">
        <v>0</v>
      </c>
      <c r="AG105" s="194">
        <v>0</v>
      </c>
      <c r="AH105" s="194">
        <v>0</v>
      </c>
      <c r="AI105" s="194">
        <v>0</v>
      </c>
      <c r="AJ105" s="194">
        <v>0</v>
      </c>
    </row>
    <row r="106" spans="2:36" s="1" customFormat="1" ht="15.75">
      <c r="B106" s="188" t="s">
        <v>370</v>
      </c>
      <c r="C106" s="621">
        <f>IF('Active Inputs'!$W$9="host-owned",0,IF('Active Inputs'!$G$14="Simple",'Active Inputs'!$G$22*'Active Inputs'!$Q$79,IF('Active Inputs'!$G$14="Intermediate",SUMPRODUCT('Active Inputs'!$G$16:$G$20,'Active Inputs'!$Q$80:$Q$84),'Complex Inputs'!$G$121)))</f>
        <v>0</v>
      </c>
      <c r="D106" s="662">
        <f>IF('Active Inputs'!$W$9="host-owned",0,C106/$C$116)</f>
        <v>0</v>
      </c>
      <c r="E106" s="192">
        <f>($C$116-$C$118)*IF('Active Inputs'!$P$75="No",1,(1-'Active Inputs'!$P$76))*D106</f>
        <v>0</v>
      </c>
      <c r="F106" s="188"/>
      <c r="G106" s="194">
        <v>0.1429</v>
      </c>
      <c r="H106" s="194">
        <v>0.24490000000000001</v>
      </c>
      <c r="I106" s="194">
        <v>0.1749</v>
      </c>
      <c r="J106" s="194">
        <v>0.1249</v>
      </c>
      <c r="K106" s="194">
        <v>8.9300000000000004E-2</v>
      </c>
      <c r="L106" s="194">
        <v>8.9200000000000002E-2</v>
      </c>
      <c r="M106" s="194">
        <v>8.9300000000000004E-2</v>
      </c>
      <c r="N106" s="194">
        <v>4.4600000000000001E-2</v>
      </c>
      <c r="O106" s="194">
        <v>0</v>
      </c>
      <c r="P106" s="194">
        <v>0</v>
      </c>
      <c r="Q106" s="194">
        <v>0</v>
      </c>
      <c r="R106" s="194">
        <v>0</v>
      </c>
      <c r="S106" s="194">
        <v>0</v>
      </c>
      <c r="T106" s="194">
        <v>0</v>
      </c>
      <c r="U106" s="194">
        <v>0</v>
      </c>
      <c r="V106" s="194">
        <v>0</v>
      </c>
      <c r="W106" s="194">
        <v>0</v>
      </c>
      <c r="X106" s="194">
        <v>0</v>
      </c>
      <c r="Y106" s="194">
        <v>0</v>
      </c>
      <c r="Z106" s="194">
        <v>0</v>
      </c>
      <c r="AA106" s="194">
        <v>0</v>
      </c>
      <c r="AB106" s="194">
        <v>0</v>
      </c>
      <c r="AC106" s="194">
        <v>0</v>
      </c>
      <c r="AD106" s="194">
        <v>0</v>
      </c>
      <c r="AE106" s="194">
        <v>0</v>
      </c>
      <c r="AF106" s="194">
        <v>0</v>
      </c>
      <c r="AG106" s="194">
        <v>0</v>
      </c>
      <c r="AH106" s="194">
        <v>0</v>
      </c>
      <c r="AI106" s="194">
        <v>0</v>
      </c>
      <c r="AJ106" s="194">
        <v>0</v>
      </c>
    </row>
    <row r="107" spans="2:36" s="1" customFormat="1" ht="15.75">
      <c r="B107" s="188" t="s">
        <v>371</v>
      </c>
      <c r="C107" s="621">
        <f>IF('Active Inputs'!$W$9="host-owned",0,IF('Active Inputs'!$G$14="Simple",'Active Inputs'!$G$22*'Active Inputs'!$R$79,IF('Active Inputs'!$G$14="Intermediate",SUMPRODUCT('Active Inputs'!$G$16:$G$20,'Active Inputs'!$R$80:$R$84),'Complex Inputs'!$H$121)))</f>
        <v>245040.13658082494</v>
      </c>
      <c r="D107" s="662">
        <f>IF('Active Inputs'!$W$9="host-owned",0,C107/$C$116)</f>
        <v>1.9823570224997526E-2</v>
      </c>
      <c r="E107" s="192">
        <f>($C$116-$C$118)*IF('Active Inputs'!$P$75="No",1,(1-'Active Inputs'!$P$76))*D107</f>
        <v>210065.63002156359</v>
      </c>
      <c r="F107" s="188"/>
      <c r="G107" s="194">
        <v>0.05</v>
      </c>
      <c r="H107" s="194">
        <v>9.5000000000000001E-2</v>
      </c>
      <c r="I107" s="194">
        <v>8.5500000000000007E-2</v>
      </c>
      <c r="J107" s="194">
        <v>7.6999999999999999E-2</v>
      </c>
      <c r="K107" s="194">
        <v>6.93E-2</v>
      </c>
      <c r="L107" s="194">
        <v>6.2300000000000001E-2</v>
      </c>
      <c r="M107" s="194">
        <v>5.8999999999999997E-2</v>
      </c>
      <c r="N107" s="194">
        <v>5.8999999999999997E-2</v>
      </c>
      <c r="O107" s="194">
        <v>5.91E-2</v>
      </c>
      <c r="P107" s="194">
        <v>5.8999999999999997E-2</v>
      </c>
      <c r="Q107" s="194">
        <v>5.91E-2</v>
      </c>
      <c r="R107" s="194">
        <v>5.8999999999999997E-2</v>
      </c>
      <c r="S107" s="194">
        <v>5.91E-2</v>
      </c>
      <c r="T107" s="194">
        <v>5.8999999999999997E-2</v>
      </c>
      <c r="U107" s="194">
        <v>5.91E-2</v>
      </c>
      <c r="V107" s="194">
        <v>2.9499999999999998E-2</v>
      </c>
      <c r="W107" s="194">
        <v>0</v>
      </c>
      <c r="X107" s="194">
        <v>0</v>
      </c>
      <c r="Y107" s="194">
        <v>0</v>
      </c>
      <c r="Z107" s="194">
        <v>0</v>
      </c>
      <c r="AA107" s="194">
        <v>0</v>
      </c>
      <c r="AB107" s="194">
        <v>0</v>
      </c>
      <c r="AC107" s="194">
        <v>0</v>
      </c>
      <c r="AD107" s="194">
        <v>0</v>
      </c>
      <c r="AE107" s="194">
        <v>0</v>
      </c>
      <c r="AF107" s="194">
        <v>0</v>
      </c>
      <c r="AG107" s="194">
        <v>0</v>
      </c>
      <c r="AH107" s="194">
        <v>0</v>
      </c>
      <c r="AI107" s="194">
        <v>0</v>
      </c>
      <c r="AJ107" s="194">
        <v>0</v>
      </c>
    </row>
    <row r="108" spans="2:36" s="1" customFormat="1" ht="15.75">
      <c r="B108" s="188" t="s">
        <v>372</v>
      </c>
      <c r="C108" s="621">
        <f>IF('Active Inputs'!$W$9="host-owned",0,IF('Active Inputs'!$G$14="Simple",'Active Inputs'!$G$22*'Active Inputs'!$U$79,IF('Active Inputs'!$G$14="Intermediate",SUMPRODUCT('Active Inputs'!$G$16:$G$20,'Active Inputs'!$U$80:$U$84),'Complex Inputs'!$I$121)))</f>
        <v>0</v>
      </c>
      <c r="D108" s="662">
        <f>IF('Active Inputs'!$W$9="host-owned",0,C108/$C$116)</f>
        <v>0</v>
      </c>
      <c r="E108" s="192">
        <f>($C$116-$C$118)*IF('Active Inputs'!$P$75="No",1,(1-'Active Inputs'!$P$76))*D108</f>
        <v>0</v>
      </c>
      <c r="F108" s="188"/>
      <c r="G108" s="194">
        <v>3.7499999999999999E-2</v>
      </c>
      <c r="H108" s="194">
        <v>7.2190000000000004E-2</v>
      </c>
      <c r="I108" s="194">
        <v>6.6769999999999996E-2</v>
      </c>
      <c r="J108" s="194">
        <v>6.1769999999999999E-2</v>
      </c>
      <c r="K108" s="194">
        <v>5.713E-2</v>
      </c>
      <c r="L108" s="194">
        <v>5.2850000000000001E-2</v>
      </c>
      <c r="M108" s="194">
        <v>4.888E-2</v>
      </c>
      <c r="N108" s="194">
        <v>4.5220000000000003E-2</v>
      </c>
      <c r="O108" s="194">
        <v>4.462E-2</v>
      </c>
      <c r="P108" s="194">
        <v>4.4609999999999997E-2</v>
      </c>
      <c r="Q108" s="194">
        <v>4.462E-2</v>
      </c>
      <c r="R108" s="194">
        <v>4.4609999999999997E-2</v>
      </c>
      <c r="S108" s="194">
        <v>4.462E-2</v>
      </c>
      <c r="T108" s="194">
        <v>4.4609999999999997E-2</v>
      </c>
      <c r="U108" s="194">
        <v>4.462E-2</v>
      </c>
      <c r="V108" s="194">
        <v>4.4609999999999997E-2</v>
      </c>
      <c r="W108" s="194">
        <v>4.462E-2</v>
      </c>
      <c r="X108" s="194">
        <v>4.4609999999999997E-2</v>
      </c>
      <c r="Y108" s="194">
        <v>4.462E-2</v>
      </c>
      <c r="Z108" s="194">
        <v>4.4609999999999997E-2</v>
      </c>
      <c r="AA108" s="194">
        <v>2.231E-2</v>
      </c>
      <c r="AB108" s="194">
        <v>0</v>
      </c>
      <c r="AC108" s="194">
        <v>0</v>
      </c>
      <c r="AD108" s="194">
        <v>0</v>
      </c>
      <c r="AE108" s="194">
        <v>0</v>
      </c>
      <c r="AF108" s="194">
        <v>0</v>
      </c>
      <c r="AG108" s="194">
        <v>0</v>
      </c>
      <c r="AH108" s="194">
        <v>0</v>
      </c>
      <c r="AI108" s="194">
        <v>0</v>
      </c>
      <c r="AJ108" s="194">
        <v>0</v>
      </c>
    </row>
    <row r="109" spans="2:36" s="1" customFormat="1" ht="15.75">
      <c r="B109" s="188" t="s">
        <v>373</v>
      </c>
      <c r="C109" s="621">
        <f>IF('Active Inputs'!$W$9="host-owned",0,IF('Active Inputs'!$G$14="Simple",'Active Inputs'!$G$22*'Active Inputs'!$V$79,IF('Active Inputs'!$G$14="Intermediate",SUMPRODUCT('Active Inputs'!$G$16:$G$20,'Active Inputs'!$V$80:$V$84),'Complex Inputs'!$J$121)))</f>
        <v>0</v>
      </c>
      <c r="D109" s="662">
        <f>IF('Active Inputs'!$W$9="host-owned",0,C109/$C$116)</f>
        <v>0</v>
      </c>
      <c r="E109" s="192">
        <f>($C$116-$C$118)*IF('Active Inputs'!$P$75="No",1,(1-'Active Inputs'!$P$76))*D109</f>
        <v>0</v>
      </c>
      <c r="F109" s="188"/>
      <c r="G109" s="194">
        <v>0.1</v>
      </c>
      <c r="H109" s="194">
        <v>0.2</v>
      </c>
      <c r="I109" s="194">
        <v>0.2</v>
      </c>
      <c r="J109" s="194">
        <v>0.2</v>
      </c>
      <c r="K109" s="194">
        <v>0.2</v>
      </c>
      <c r="L109" s="194">
        <v>0.1</v>
      </c>
      <c r="M109" s="194">
        <f t="shared" ref="M109:AJ109" si="33">IF(M$103&lt;=5, 1/5,0)</f>
        <v>0</v>
      </c>
      <c r="N109" s="194">
        <f t="shared" si="33"/>
        <v>0</v>
      </c>
      <c r="O109" s="194">
        <f t="shared" si="33"/>
        <v>0</v>
      </c>
      <c r="P109" s="194">
        <f t="shared" si="33"/>
        <v>0</v>
      </c>
      <c r="Q109" s="194">
        <f t="shared" si="33"/>
        <v>0</v>
      </c>
      <c r="R109" s="194">
        <f t="shared" si="33"/>
        <v>0</v>
      </c>
      <c r="S109" s="194">
        <f t="shared" si="33"/>
        <v>0</v>
      </c>
      <c r="T109" s="194">
        <f t="shared" si="33"/>
        <v>0</v>
      </c>
      <c r="U109" s="194">
        <f t="shared" si="33"/>
        <v>0</v>
      </c>
      <c r="V109" s="194">
        <f t="shared" si="33"/>
        <v>0</v>
      </c>
      <c r="W109" s="194">
        <f t="shared" si="33"/>
        <v>0</v>
      </c>
      <c r="X109" s="194">
        <f t="shared" si="33"/>
        <v>0</v>
      </c>
      <c r="Y109" s="194">
        <f t="shared" si="33"/>
        <v>0</v>
      </c>
      <c r="Z109" s="194">
        <f t="shared" si="33"/>
        <v>0</v>
      </c>
      <c r="AA109" s="194">
        <f t="shared" si="33"/>
        <v>0</v>
      </c>
      <c r="AB109" s="194">
        <f t="shared" si="33"/>
        <v>0</v>
      </c>
      <c r="AC109" s="194">
        <f t="shared" si="33"/>
        <v>0</v>
      </c>
      <c r="AD109" s="194">
        <f t="shared" si="33"/>
        <v>0</v>
      </c>
      <c r="AE109" s="194">
        <f t="shared" si="33"/>
        <v>0</v>
      </c>
      <c r="AF109" s="194">
        <f t="shared" si="33"/>
        <v>0</v>
      </c>
      <c r="AG109" s="194">
        <f t="shared" si="33"/>
        <v>0</v>
      </c>
      <c r="AH109" s="194">
        <f t="shared" si="33"/>
        <v>0</v>
      </c>
      <c r="AI109" s="194">
        <f t="shared" si="33"/>
        <v>0</v>
      </c>
      <c r="AJ109" s="194">
        <f t="shared" si="33"/>
        <v>0</v>
      </c>
    </row>
    <row r="110" spans="2:36" s="1" customFormat="1" ht="15.75">
      <c r="B110" s="188" t="s">
        <v>374</v>
      </c>
      <c r="C110" s="621">
        <f>IF('Active Inputs'!$W$9="host-owned",0,IF('Active Inputs'!$G$14="Simple",'Active Inputs'!$G$22*'Active Inputs'!$W$79,IF('Active Inputs'!$G$14="Intermediate",SUMPRODUCT('Active Inputs'!$G$16:$G$20,'Active Inputs'!$W$80:$W$84),'Complex Inputs'!$K$121)))</f>
        <v>0</v>
      </c>
      <c r="D110" s="662">
        <f>IF('Active Inputs'!$W$9="host-owned",0,C110/$C$116)</f>
        <v>0</v>
      </c>
      <c r="E110" s="192">
        <f>($C$116-$C$118)*IF('Active Inputs'!$P$75="No",1,(1-'Active Inputs'!$P$76))*D110</f>
        <v>0</v>
      </c>
      <c r="F110" s="188"/>
      <c r="G110" s="194">
        <v>3.3300000000000003E-2</v>
      </c>
      <c r="H110" s="194">
        <v>6.6699999999999995E-2</v>
      </c>
      <c r="I110" s="194">
        <v>6.6699999999999995E-2</v>
      </c>
      <c r="J110" s="194">
        <v>6.6699999999999995E-2</v>
      </c>
      <c r="K110" s="194">
        <v>6.6699999999999995E-2</v>
      </c>
      <c r="L110" s="194">
        <v>6.6699999999999995E-2</v>
      </c>
      <c r="M110" s="194">
        <v>6.6699999999999995E-2</v>
      </c>
      <c r="N110" s="194">
        <v>6.6699999999999995E-2</v>
      </c>
      <c r="O110" s="194">
        <v>6.6699999999999995E-2</v>
      </c>
      <c r="P110" s="194">
        <v>6.6699999999999995E-2</v>
      </c>
      <c r="Q110" s="194">
        <v>6.6699999999999995E-2</v>
      </c>
      <c r="R110" s="194">
        <v>6.6600000000000006E-2</v>
      </c>
      <c r="S110" s="194">
        <v>6.6600000000000006E-2</v>
      </c>
      <c r="T110" s="194">
        <v>6.6600000000000006E-2</v>
      </c>
      <c r="U110" s="194">
        <v>6.6600000000000006E-2</v>
      </c>
      <c r="V110" s="194">
        <v>3.3300000000000003E-2</v>
      </c>
      <c r="W110" s="194">
        <f t="shared" ref="W110:AJ110" si="34">IF(W$103&lt;=15, 1/15,0)</f>
        <v>0</v>
      </c>
      <c r="X110" s="194">
        <f t="shared" si="34"/>
        <v>0</v>
      </c>
      <c r="Y110" s="194">
        <f t="shared" si="34"/>
        <v>0</v>
      </c>
      <c r="Z110" s="194">
        <f t="shared" si="34"/>
        <v>0</v>
      </c>
      <c r="AA110" s="194">
        <f t="shared" si="34"/>
        <v>0</v>
      </c>
      <c r="AB110" s="194">
        <f t="shared" si="34"/>
        <v>0</v>
      </c>
      <c r="AC110" s="194">
        <f t="shared" si="34"/>
        <v>0</v>
      </c>
      <c r="AD110" s="194">
        <f t="shared" si="34"/>
        <v>0</v>
      </c>
      <c r="AE110" s="194">
        <f t="shared" si="34"/>
        <v>0</v>
      </c>
      <c r="AF110" s="194">
        <f t="shared" si="34"/>
        <v>0</v>
      </c>
      <c r="AG110" s="194">
        <f t="shared" si="34"/>
        <v>0</v>
      </c>
      <c r="AH110" s="194">
        <f t="shared" si="34"/>
        <v>0</v>
      </c>
      <c r="AI110" s="194">
        <f t="shared" si="34"/>
        <v>0</v>
      </c>
      <c r="AJ110" s="194">
        <f t="shared" si="34"/>
        <v>0</v>
      </c>
    </row>
    <row r="111" spans="2:36" s="1" customFormat="1" ht="15.75">
      <c r="B111" s="188" t="s">
        <v>375</v>
      </c>
      <c r="C111" s="621">
        <f>IF('Active Inputs'!$W$9="host-owned",0,IF('Active Inputs'!$G$14="Simple",'Active Inputs'!$G$22*'Active Inputs'!$X$79,IF('Active Inputs'!$G$14="Intermediate",SUMPRODUCT('Active Inputs'!$G$16:$G$20,'Active Inputs'!$X$80:$X$84),'Complex Inputs'!$L$121)))</f>
        <v>299561.56697005848</v>
      </c>
      <c r="D111" s="662">
        <f>IF('Active Inputs'!$W$9="host-owned",0,C111/$C$116)</f>
        <v>2.4234314600059474E-2</v>
      </c>
      <c r="E111" s="192">
        <f>($C$116-$C$118)*IF('Active Inputs'!$P$75="No",1,(1-'Active Inputs'!$P$76))*D111</f>
        <v>256805.23270136144</v>
      </c>
      <c r="F111" s="188"/>
      <c r="G111" s="194">
        <v>2.5000000000000001E-2</v>
      </c>
      <c r="H111" s="194">
        <v>0.05</v>
      </c>
      <c r="I111" s="194">
        <v>0.05</v>
      </c>
      <c r="J111" s="194">
        <v>0.05</v>
      </c>
      <c r="K111" s="194">
        <v>0.05</v>
      </c>
      <c r="L111" s="194">
        <v>0.05</v>
      </c>
      <c r="M111" s="194">
        <v>0.05</v>
      </c>
      <c r="N111" s="194">
        <v>0.05</v>
      </c>
      <c r="O111" s="194">
        <v>0.05</v>
      </c>
      <c r="P111" s="194">
        <v>0.05</v>
      </c>
      <c r="Q111" s="194">
        <v>0.05</v>
      </c>
      <c r="R111" s="194">
        <v>0.05</v>
      </c>
      <c r="S111" s="194">
        <v>0.05</v>
      </c>
      <c r="T111" s="194">
        <v>0.05</v>
      </c>
      <c r="U111" s="194">
        <v>0.05</v>
      </c>
      <c r="V111" s="194">
        <v>0.05</v>
      </c>
      <c r="W111" s="194">
        <v>0.05</v>
      </c>
      <c r="X111" s="194">
        <v>0.05</v>
      </c>
      <c r="Y111" s="194">
        <v>0.05</v>
      </c>
      <c r="Z111" s="194">
        <v>0.05</v>
      </c>
      <c r="AA111" s="194">
        <v>2.5000000000000001E-2</v>
      </c>
      <c r="AB111" s="194">
        <f t="shared" ref="AB111:AJ111" si="35">IF(AB$103&lt;=20, 1/20,0)</f>
        <v>0</v>
      </c>
      <c r="AC111" s="194">
        <f t="shared" si="35"/>
        <v>0</v>
      </c>
      <c r="AD111" s="194">
        <f t="shared" si="35"/>
        <v>0</v>
      </c>
      <c r="AE111" s="194">
        <f t="shared" si="35"/>
        <v>0</v>
      </c>
      <c r="AF111" s="194">
        <f t="shared" si="35"/>
        <v>0</v>
      </c>
      <c r="AG111" s="194">
        <f t="shared" si="35"/>
        <v>0</v>
      </c>
      <c r="AH111" s="194">
        <f t="shared" si="35"/>
        <v>0</v>
      </c>
      <c r="AI111" s="194">
        <f t="shared" si="35"/>
        <v>0</v>
      </c>
      <c r="AJ111" s="194">
        <f t="shared" si="35"/>
        <v>0</v>
      </c>
    </row>
    <row r="112" spans="2:36" s="1" customFormat="1" ht="15.75">
      <c r="B112" s="188" t="s">
        <v>376</v>
      </c>
      <c r="C112" s="621">
        <f>IF('Active Inputs'!$W$9="host-owned",0,IF('Active Inputs'!$G$14="Simple",'Active Inputs'!$G$22*'Active Inputs'!$Y$79,IF('Active Inputs'!$G$14="Intermediate",SUMPRODUCT('Active Inputs'!$G$16:$G$20,'Active Inputs'!$Y$80:$Y$84),'Complex Inputs'!$M$121)))</f>
        <v>0</v>
      </c>
      <c r="D112" s="662">
        <f>IF('Active Inputs'!$W$9="host-owned",0,C112/$C$116)</f>
        <v>0</v>
      </c>
      <c r="E112" s="192">
        <f>($C$116-$C$118)*IF('Active Inputs'!$P$75="No",1,(1-'Active Inputs'!$P$76))*D112</f>
        <v>0</v>
      </c>
      <c r="F112" s="188"/>
      <c r="G112" s="194">
        <v>1.2800000000000001E-2</v>
      </c>
      <c r="H112" s="194">
        <v>2.5600000000000001E-2</v>
      </c>
      <c r="I112" s="194">
        <v>2.5600000000000001E-2</v>
      </c>
      <c r="J112" s="194">
        <v>2.5600000000000001E-2</v>
      </c>
      <c r="K112" s="194">
        <v>2.5600000000000001E-2</v>
      </c>
      <c r="L112" s="194">
        <v>2.5600000000000001E-2</v>
      </c>
      <c r="M112" s="194">
        <v>2.5600000000000001E-2</v>
      </c>
      <c r="N112" s="194">
        <v>2.5600000000000001E-2</v>
      </c>
      <c r="O112" s="194">
        <v>2.5600000000000001E-2</v>
      </c>
      <c r="P112" s="194">
        <v>2.5600000000000001E-2</v>
      </c>
      <c r="Q112" s="194">
        <v>2.5600000000000001E-2</v>
      </c>
      <c r="R112" s="194">
        <v>2.5600000000000001E-2</v>
      </c>
      <c r="S112" s="194">
        <v>2.5600000000000001E-2</v>
      </c>
      <c r="T112" s="194">
        <v>2.5600000000000001E-2</v>
      </c>
      <c r="U112" s="194">
        <v>2.5600000000000001E-2</v>
      </c>
      <c r="V112" s="194">
        <v>2.5600000000000001E-2</v>
      </c>
      <c r="W112" s="194">
        <v>2.5600000000000001E-2</v>
      </c>
      <c r="X112" s="194">
        <v>2.5600000000000001E-2</v>
      </c>
      <c r="Y112" s="194">
        <v>2.5600000000000001E-2</v>
      </c>
      <c r="Z112" s="194">
        <v>2.5600000000000001E-2</v>
      </c>
      <c r="AA112" s="194">
        <v>2.5600000000000001E-2</v>
      </c>
      <c r="AB112" s="194">
        <v>2.5600000000000001E-2</v>
      </c>
      <c r="AC112" s="194">
        <v>2.5600000000000001E-2</v>
      </c>
      <c r="AD112" s="194">
        <v>2.5600000000000001E-2</v>
      </c>
      <c r="AE112" s="194">
        <v>2.5600000000000001E-2</v>
      </c>
      <c r="AF112" s="194">
        <v>2.5600000000000001E-2</v>
      </c>
      <c r="AG112" s="194">
        <v>2.5600000000000001E-2</v>
      </c>
      <c r="AH112" s="194">
        <v>2.5600000000000001E-2</v>
      </c>
      <c r="AI112" s="194">
        <v>2.5600000000000001E-2</v>
      </c>
      <c r="AJ112" s="194">
        <v>2.5600000000000001E-2</v>
      </c>
    </row>
    <row r="113" spans="2:36" s="1" customFormat="1" ht="15.75">
      <c r="B113" s="188" t="s">
        <v>377</v>
      </c>
      <c r="C113" s="192"/>
      <c r="D113" s="663"/>
      <c r="E113" s="192">
        <f>($C$116-$C$118)*IF('Active Inputs'!$P$75="No",0,'Active Inputs'!$P$76)</f>
        <v>0</v>
      </c>
      <c r="F113" s="188"/>
      <c r="G113" s="194">
        <v>1</v>
      </c>
      <c r="H113" s="194">
        <v>0</v>
      </c>
      <c r="I113" s="194">
        <v>0</v>
      </c>
      <c r="J113" s="194">
        <v>0</v>
      </c>
      <c r="K113" s="194">
        <v>0</v>
      </c>
      <c r="L113" s="194">
        <v>0</v>
      </c>
      <c r="M113" s="194">
        <v>0</v>
      </c>
      <c r="N113" s="194">
        <v>0</v>
      </c>
      <c r="O113" s="194">
        <v>0</v>
      </c>
      <c r="P113" s="194">
        <v>0</v>
      </c>
      <c r="Q113" s="194">
        <v>0</v>
      </c>
      <c r="R113" s="194">
        <v>0</v>
      </c>
      <c r="S113" s="194">
        <v>0</v>
      </c>
      <c r="T113" s="194">
        <v>0</v>
      </c>
      <c r="U113" s="194">
        <v>0</v>
      </c>
      <c r="V113" s="194">
        <v>0</v>
      </c>
      <c r="W113" s="194">
        <v>0</v>
      </c>
      <c r="X113" s="194">
        <v>0</v>
      </c>
      <c r="Y113" s="194">
        <v>0</v>
      </c>
      <c r="Z113" s="194">
        <v>0</v>
      </c>
      <c r="AA113" s="194">
        <v>0</v>
      </c>
      <c r="AB113" s="194">
        <v>0</v>
      </c>
      <c r="AC113" s="194">
        <v>0</v>
      </c>
      <c r="AD113" s="194">
        <v>0</v>
      </c>
      <c r="AE113" s="194">
        <v>0</v>
      </c>
      <c r="AF113" s="194">
        <v>0</v>
      </c>
      <c r="AG113" s="194">
        <v>0</v>
      </c>
      <c r="AH113" s="194">
        <v>0</v>
      </c>
      <c r="AI113" s="194">
        <v>0</v>
      </c>
      <c r="AJ113" s="194">
        <v>0</v>
      </c>
    </row>
    <row r="114" spans="2:36" s="1" customFormat="1">
      <c r="B114" s="199" t="s">
        <v>175</v>
      </c>
      <c r="C114" s="427">
        <f>IF('Active Inputs'!$G$14="Simple",'Active Inputs'!$G$22*'Active Inputs'!$Z$79,IF('Active Inputs'!$G$14="Intermediate",SUMPRODUCT('Active Inputs'!$G$16:$G$20,'Active Inputs'!$Z$80:$Z$84),'Complex Inputs'!$N$121))</f>
        <v>54521.430389233545</v>
      </c>
      <c r="D114" s="664">
        <f>C114/$C$116</f>
        <v>4.4107443750619488E-3</v>
      </c>
      <c r="E114" s="427">
        <f>($C$116-$C$118)*IF('Active Inputs'!$P$75="No",1,(1-'Active Inputs'!$P$76))*D114</f>
        <v>46739.602679797885</v>
      </c>
      <c r="F114" s="188"/>
      <c r="G114" s="195"/>
      <c r="H114" s="195"/>
      <c r="I114" s="195"/>
      <c r="J114" s="195"/>
      <c r="K114" s="195"/>
      <c r="L114" s="195"/>
      <c r="M114" s="195"/>
      <c r="N114" s="195"/>
      <c r="O114" s="195"/>
      <c r="P114" s="195"/>
      <c r="Q114" s="195"/>
      <c r="R114" s="195"/>
      <c r="S114" s="195"/>
      <c r="T114" s="195"/>
      <c r="U114" s="195"/>
      <c r="V114" s="195"/>
      <c r="W114" s="195"/>
      <c r="X114" s="195"/>
      <c r="Y114" s="195"/>
      <c r="Z114" s="195"/>
      <c r="AA114" s="195"/>
      <c r="AB114" s="195"/>
      <c r="AC114" s="195"/>
      <c r="AD114" s="195"/>
      <c r="AE114" s="195"/>
      <c r="AF114" s="195"/>
      <c r="AG114" s="195"/>
      <c r="AH114" s="195"/>
      <c r="AI114" s="195"/>
      <c r="AJ114" s="195"/>
    </row>
    <row r="115" spans="2:36" s="1" customFormat="1" ht="15.75">
      <c r="B115" s="264"/>
      <c r="C115" s="424" t="s">
        <v>378</v>
      </c>
      <c r="D115" s="424"/>
      <c r="E115" s="424" t="s">
        <v>379</v>
      </c>
      <c r="F115" s="188"/>
      <c r="G115" s="195"/>
      <c r="H115" s="195"/>
      <c r="I115" s="195"/>
      <c r="J115" s="195"/>
      <c r="K115" s="195"/>
      <c r="L115" s="195"/>
      <c r="M115" s="195"/>
      <c r="N115" s="195"/>
      <c r="O115" s="195"/>
      <c r="P115" s="195"/>
      <c r="Q115" s="195"/>
      <c r="R115" s="195"/>
      <c r="S115" s="195"/>
      <c r="T115" s="195"/>
      <c r="U115" s="195"/>
      <c r="V115" s="195"/>
      <c r="W115" s="195"/>
      <c r="X115" s="195"/>
      <c r="Y115" s="195"/>
      <c r="Z115" s="195"/>
      <c r="AA115" s="195"/>
      <c r="AB115" s="195"/>
      <c r="AC115" s="195"/>
      <c r="AD115" s="195"/>
      <c r="AE115" s="195"/>
      <c r="AF115" s="195"/>
      <c r="AG115" s="195"/>
      <c r="AH115" s="195"/>
      <c r="AI115" s="195"/>
      <c r="AJ115" s="195"/>
    </row>
    <row r="116" spans="2:36" s="1" customFormat="1" ht="15.75">
      <c r="B116" s="187" t="s">
        <v>380</v>
      </c>
      <c r="C116" s="197">
        <f>SUM(C105:C114)</f>
        <v>12361049.689819712</v>
      </c>
      <c r="D116" s="425">
        <f>SUM(D105:D114)</f>
        <v>1</v>
      </c>
      <c r="E116" s="197">
        <f>SUM(E105:E114)</f>
        <v>10596760.706437772</v>
      </c>
      <c r="F116" s="188"/>
      <c r="G116" s="195"/>
      <c r="H116" s="195"/>
      <c r="I116" s="195"/>
      <c r="J116" s="195"/>
      <c r="K116" s="195"/>
      <c r="L116" s="195"/>
      <c r="M116" s="195"/>
      <c r="N116" s="195"/>
      <c r="O116" s="195"/>
      <c r="P116" s="195"/>
      <c r="Q116" s="195"/>
      <c r="R116" s="195"/>
      <c r="S116" s="195"/>
      <c r="T116" s="195"/>
      <c r="U116" s="195"/>
      <c r="V116" s="195"/>
      <c r="W116" s="195"/>
      <c r="X116" s="195"/>
      <c r="Y116" s="195"/>
      <c r="Z116" s="195"/>
      <c r="AA116" s="195"/>
      <c r="AB116" s="195"/>
      <c r="AC116" s="195"/>
      <c r="AD116" s="195"/>
      <c r="AE116" s="195"/>
      <c r="AF116" s="195"/>
      <c r="AG116" s="195"/>
      <c r="AH116" s="195"/>
      <c r="AI116" s="195"/>
      <c r="AJ116" s="195"/>
    </row>
    <row r="117" spans="2:36" s="1" customFormat="1">
      <c r="B117" s="264"/>
      <c r="C117" s="426" t="str">
        <f>IF(C116='Active Inputs'!$G$22,"OK","error")</f>
        <v>OK</v>
      </c>
      <c r="D117" s="426" t="str">
        <f>IF(D116=100%,"OK","error")</f>
        <v>OK</v>
      </c>
      <c r="E117" s="426" t="str">
        <f>IF(E116=(C116-C118),"OK","error")</f>
        <v>OK</v>
      </c>
      <c r="F117" s="188"/>
      <c r="G117" s="195"/>
      <c r="H117" s="195"/>
      <c r="I117" s="195"/>
      <c r="J117" s="195"/>
      <c r="K117" s="195"/>
      <c r="L117" s="195"/>
      <c r="M117" s="195"/>
      <c r="N117" s="195"/>
      <c r="O117" s="195"/>
      <c r="P117" s="195"/>
      <c r="Q117" s="195"/>
      <c r="R117" s="195"/>
      <c r="S117" s="195"/>
      <c r="T117" s="195"/>
      <c r="U117" s="195"/>
      <c r="V117" s="195"/>
      <c r="W117" s="195"/>
      <c r="X117" s="195"/>
      <c r="Y117" s="195"/>
      <c r="Z117" s="195"/>
      <c r="AA117" s="195"/>
      <c r="AB117" s="195"/>
      <c r="AC117" s="195"/>
      <c r="AD117" s="195"/>
      <c r="AE117" s="195"/>
      <c r="AF117" s="195"/>
      <c r="AG117" s="195"/>
      <c r="AH117" s="195"/>
      <c r="AI117" s="195"/>
      <c r="AJ117" s="195"/>
    </row>
    <row r="118" spans="2:36" s="1" customFormat="1">
      <c r="B118" s="188" t="s">
        <v>381</v>
      </c>
      <c r="C118" s="192">
        <f>IF('Active Inputs'!$Q$18="Performance-Based",0,50%*'Active Inputs'!$Q$22)+IF('Active Inputs'!$Q$31="Yes",0,'Active Inputs'!$Q$30)+IF('Active Inputs'!$Q$48="Yes",0,'Active Inputs'!$Q$47)</f>
        <v>1764288.9833819394</v>
      </c>
      <c r="D118" s="188"/>
      <c r="E118" s="192"/>
      <c r="F118" s="188"/>
      <c r="G118" s="195"/>
      <c r="H118" s="195"/>
      <c r="I118" s="195"/>
      <c r="J118" s="195"/>
      <c r="K118" s="195"/>
      <c r="L118" s="195"/>
      <c r="M118" s="195"/>
      <c r="N118" s="195"/>
      <c r="O118" s="195"/>
      <c r="P118" s="195"/>
      <c r="Q118" s="195"/>
      <c r="R118" s="195"/>
      <c r="S118" s="195"/>
      <c r="T118" s="195"/>
      <c r="U118" s="195"/>
      <c r="V118" s="195"/>
      <c r="W118" s="195"/>
      <c r="X118" s="195"/>
      <c r="Y118" s="195"/>
      <c r="Z118" s="195"/>
      <c r="AA118" s="195"/>
      <c r="AB118" s="195"/>
      <c r="AC118" s="195"/>
      <c r="AD118" s="195"/>
      <c r="AE118" s="195"/>
      <c r="AF118" s="195"/>
      <c r="AG118" s="195"/>
      <c r="AH118" s="195"/>
      <c r="AI118" s="195"/>
      <c r="AJ118" s="195"/>
    </row>
    <row r="119" spans="2:36" s="1" customFormat="1">
      <c r="B119" s="188"/>
      <c r="C119" s="188"/>
      <c r="D119" s="188"/>
      <c r="E119" s="192"/>
      <c r="F119" s="188"/>
      <c r="G119" s="195"/>
      <c r="H119" s="195"/>
      <c r="I119" s="195"/>
      <c r="J119" s="195"/>
      <c r="K119" s="195"/>
      <c r="L119" s="195"/>
      <c r="M119" s="195"/>
      <c r="N119" s="195"/>
      <c r="O119" s="195"/>
      <c r="P119" s="195"/>
      <c r="Q119" s="195"/>
      <c r="R119" s="195"/>
      <c r="S119" s="195"/>
      <c r="T119" s="195"/>
      <c r="U119" s="195"/>
      <c r="V119" s="195"/>
      <c r="W119" s="195"/>
      <c r="X119" s="195"/>
      <c r="Y119" s="195"/>
      <c r="Z119" s="195"/>
      <c r="AA119" s="195"/>
      <c r="AB119" s="195"/>
      <c r="AC119" s="195"/>
      <c r="AD119" s="195"/>
      <c r="AE119" s="195"/>
      <c r="AF119" s="195"/>
      <c r="AG119" s="195"/>
      <c r="AH119" s="195"/>
      <c r="AI119" s="195"/>
      <c r="AJ119" s="195"/>
    </row>
    <row r="120" spans="2:36" s="1" customFormat="1" ht="15.75">
      <c r="B120" s="190" t="s">
        <v>382</v>
      </c>
      <c r="C120" s="190"/>
      <c r="D120" s="190"/>
      <c r="E120" s="188"/>
      <c r="F120" s="188"/>
      <c r="G120" s="195"/>
      <c r="H120" s="195"/>
      <c r="I120" s="195"/>
      <c r="J120" s="195"/>
      <c r="K120" s="195"/>
      <c r="L120" s="195"/>
      <c r="M120" s="195"/>
      <c r="N120" s="195"/>
      <c r="O120" s="195"/>
      <c r="P120" s="195"/>
      <c r="Q120" s="195"/>
      <c r="R120" s="195"/>
      <c r="S120" s="195"/>
      <c r="T120" s="195"/>
      <c r="U120" s="195"/>
      <c r="V120" s="195"/>
      <c r="W120" s="195"/>
      <c r="X120" s="195"/>
      <c r="Y120" s="195"/>
      <c r="Z120" s="195"/>
      <c r="AA120" s="195"/>
      <c r="AB120" s="195"/>
      <c r="AC120" s="195"/>
      <c r="AD120" s="195"/>
      <c r="AE120" s="195"/>
      <c r="AF120" s="195"/>
      <c r="AG120" s="195"/>
      <c r="AH120" s="195"/>
      <c r="AI120" s="195"/>
      <c r="AJ120" s="195"/>
    </row>
    <row r="121" spans="2:36" s="1" customFormat="1">
      <c r="B121" s="188" t="s">
        <v>383</v>
      </c>
      <c r="C121" s="188"/>
      <c r="D121" s="188"/>
      <c r="E121" s="196" t="s">
        <v>384</v>
      </c>
      <c r="F121" s="197"/>
      <c r="G121" s="188"/>
      <c r="H121" s="188"/>
      <c r="I121" s="188"/>
      <c r="J121" s="188"/>
      <c r="K121" s="188"/>
      <c r="L121" s="188"/>
      <c r="M121" s="188"/>
      <c r="N121" s="188"/>
      <c r="O121" s="188"/>
      <c r="P121" s="188"/>
      <c r="Q121" s="188"/>
      <c r="R121" s="188"/>
      <c r="S121" s="188"/>
      <c r="T121" s="188"/>
      <c r="U121" s="188"/>
      <c r="V121" s="188"/>
      <c r="W121" s="188"/>
      <c r="X121" s="188"/>
      <c r="Y121" s="188"/>
      <c r="Z121" s="188"/>
      <c r="AA121" s="188"/>
      <c r="AB121" s="188"/>
      <c r="AC121" s="188"/>
      <c r="AD121" s="188"/>
      <c r="AE121" s="188"/>
      <c r="AF121" s="188"/>
      <c r="AG121" s="188"/>
      <c r="AH121" s="188"/>
      <c r="AI121" s="188"/>
      <c r="AJ121" s="188"/>
    </row>
    <row r="122" spans="2:36" s="1" customFormat="1">
      <c r="B122" s="188" t="s">
        <v>369</v>
      </c>
      <c r="C122" s="188"/>
      <c r="D122" s="188"/>
      <c r="E122" s="197">
        <f>SUM(G122:AJ122)</f>
        <v>10083150.24103505</v>
      </c>
      <c r="F122" s="197"/>
      <c r="G122" s="198">
        <f>$E105*G105</f>
        <v>2016630.0482070101</v>
      </c>
      <c r="H122" s="198">
        <f t="shared" ref="H122:AJ122" si="36">$E105*H105</f>
        <v>3226608.0771312159</v>
      </c>
      <c r="I122" s="198">
        <f t="shared" si="36"/>
        <v>1935964.8462787296</v>
      </c>
      <c r="J122" s="198">
        <f t="shared" si="36"/>
        <v>1161578.9077672376</v>
      </c>
      <c r="K122" s="198">
        <f t="shared" si="36"/>
        <v>1161578.9077672376</v>
      </c>
      <c r="L122" s="198">
        <f t="shared" si="36"/>
        <v>580789.45388361881</v>
      </c>
      <c r="M122" s="198">
        <f t="shared" si="36"/>
        <v>0</v>
      </c>
      <c r="N122" s="198">
        <f t="shared" si="36"/>
        <v>0</v>
      </c>
      <c r="O122" s="198">
        <f t="shared" si="36"/>
        <v>0</v>
      </c>
      <c r="P122" s="198">
        <f t="shared" si="36"/>
        <v>0</v>
      </c>
      <c r="Q122" s="198">
        <f t="shared" si="36"/>
        <v>0</v>
      </c>
      <c r="R122" s="198">
        <f t="shared" si="36"/>
        <v>0</v>
      </c>
      <c r="S122" s="198">
        <f t="shared" si="36"/>
        <v>0</v>
      </c>
      <c r="T122" s="198">
        <f t="shared" si="36"/>
        <v>0</v>
      </c>
      <c r="U122" s="198">
        <f t="shared" si="36"/>
        <v>0</v>
      </c>
      <c r="V122" s="198">
        <f t="shared" si="36"/>
        <v>0</v>
      </c>
      <c r="W122" s="198">
        <f t="shared" si="36"/>
        <v>0</v>
      </c>
      <c r="X122" s="198">
        <f t="shared" si="36"/>
        <v>0</v>
      </c>
      <c r="Y122" s="198">
        <f t="shared" si="36"/>
        <v>0</v>
      </c>
      <c r="Z122" s="198">
        <f t="shared" si="36"/>
        <v>0</v>
      </c>
      <c r="AA122" s="198">
        <f t="shared" si="36"/>
        <v>0</v>
      </c>
      <c r="AB122" s="198">
        <f t="shared" si="36"/>
        <v>0</v>
      </c>
      <c r="AC122" s="198">
        <f t="shared" si="36"/>
        <v>0</v>
      </c>
      <c r="AD122" s="198">
        <f t="shared" si="36"/>
        <v>0</v>
      </c>
      <c r="AE122" s="198">
        <f t="shared" si="36"/>
        <v>0</v>
      </c>
      <c r="AF122" s="198">
        <f t="shared" si="36"/>
        <v>0</v>
      </c>
      <c r="AG122" s="198">
        <f t="shared" si="36"/>
        <v>0</v>
      </c>
      <c r="AH122" s="198">
        <f t="shared" si="36"/>
        <v>0</v>
      </c>
      <c r="AI122" s="198">
        <f t="shared" si="36"/>
        <v>0</v>
      </c>
      <c r="AJ122" s="198">
        <f t="shared" si="36"/>
        <v>0</v>
      </c>
    </row>
    <row r="123" spans="2:36" s="1" customFormat="1">
      <c r="B123" s="188" t="s">
        <v>370</v>
      </c>
      <c r="C123" s="188"/>
      <c r="D123" s="188"/>
      <c r="E123" s="197">
        <f t="shared" ref="E123:E130" si="37">SUM(G123:AJ123)</f>
        <v>0</v>
      </c>
      <c r="F123" s="197"/>
      <c r="G123" s="198">
        <f t="shared" ref="G123:AJ123" si="38">$E106*G106</f>
        <v>0</v>
      </c>
      <c r="H123" s="198">
        <f t="shared" si="38"/>
        <v>0</v>
      </c>
      <c r="I123" s="198">
        <f t="shared" si="38"/>
        <v>0</v>
      </c>
      <c r="J123" s="198">
        <f t="shared" si="38"/>
        <v>0</v>
      </c>
      <c r="K123" s="198">
        <f t="shared" si="38"/>
        <v>0</v>
      </c>
      <c r="L123" s="198">
        <f t="shared" si="38"/>
        <v>0</v>
      </c>
      <c r="M123" s="198">
        <f t="shared" si="38"/>
        <v>0</v>
      </c>
      <c r="N123" s="198">
        <f t="shared" si="38"/>
        <v>0</v>
      </c>
      <c r="O123" s="198">
        <f t="shared" si="38"/>
        <v>0</v>
      </c>
      <c r="P123" s="198">
        <f t="shared" si="38"/>
        <v>0</v>
      </c>
      <c r="Q123" s="198">
        <f t="shared" si="38"/>
        <v>0</v>
      </c>
      <c r="R123" s="198">
        <f t="shared" si="38"/>
        <v>0</v>
      </c>
      <c r="S123" s="198">
        <f t="shared" si="38"/>
        <v>0</v>
      </c>
      <c r="T123" s="198">
        <f t="shared" si="38"/>
        <v>0</v>
      </c>
      <c r="U123" s="198">
        <f t="shared" si="38"/>
        <v>0</v>
      </c>
      <c r="V123" s="198">
        <f t="shared" si="38"/>
        <v>0</v>
      </c>
      <c r="W123" s="198">
        <f t="shared" si="38"/>
        <v>0</v>
      </c>
      <c r="X123" s="198">
        <f t="shared" si="38"/>
        <v>0</v>
      </c>
      <c r="Y123" s="198">
        <f t="shared" si="38"/>
        <v>0</v>
      </c>
      <c r="Z123" s="198">
        <f t="shared" si="38"/>
        <v>0</v>
      </c>
      <c r="AA123" s="198">
        <f t="shared" si="38"/>
        <v>0</v>
      </c>
      <c r="AB123" s="198">
        <f t="shared" si="38"/>
        <v>0</v>
      </c>
      <c r="AC123" s="198">
        <f t="shared" si="38"/>
        <v>0</v>
      </c>
      <c r="AD123" s="198">
        <f t="shared" si="38"/>
        <v>0</v>
      </c>
      <c r="AE123" s="198">
        <f t="shared" si="38"/>
        <v>0</v>
      </c>
      <c r="AF123" s="198">
        <f t="shared" si="38"/>
        <v>0</v>
      </c>
      <c r="AG123" s="198">
        <f t="shared" si="38"/>
        <v>0</v>
      </c>
      <c r="AH123" s="198">
        <f t="shared" si="38"/>
        <v>0</v>
      </c>
      <c r="AI123" s="198">
        <f t="shared" si="38"/>
        <v>0</v>
      </c>
      <c r="AJ123" s="198">
        <f t="shared" si="38"/>
        <v>0</v>
      </c>
    </row>
    <row r="124" spans="2:36" s="1" customFormat="1">
      <c r="B124" s="188" t="s">
        <v>371</v>
      </c>
      <c r="C124" s="188"/>
      <c r="D124" s="188"/>
      <c r="E124" s="197">
        <f t="shared" si="37"/>
        <v>210065.63002156361</v>
      </c>
      <c r="F124" s="197"/>
      <c r="G124" s="198">
        <f t="shared" ref="G124:AJ124" si="39">$E107*G107</f>
        <v>10503.28150107818</v>
      </c>
      <c r="H124" s="198">
        <f t="shared" si="39"/>
        <v>19956.234852048539</v>
      </c>
      <c r="I124" s="198">
        <f t="shared" si="39"/>
        <v>17960.611366843688</v>
      </c>
      <c r="J124" s="198">
        <f t="shared" si="39"/>
        <v>16175.053511660395</v>
      </c>
      <c r="K124" s="198">
        <f t="shared" si="39"/>
        <v>14557.548160494356</v>
      </c>
      <c r="L124" s="198">
        <f t="shared" si="39"/>
        <v>13087.088750343411</v>
      </c>
      <c r="M124" s="198">
        <f t="shared" si="39"/>
        <v>12393.872171272251</v>
      </c>
      <c r="N124" s="198">
        <f t="shared" si="39"/>
        <v>12393.872171272251</v>
      </c>
      <c r="O124" s="198">
        <f t="shared" si="39"/>
        <v>12414.878734274407</v>
      </c>
      <c r="P124" s="198">
        <f t="shared" si="39"/>
        <v>12393.872171272251</v>
      </c>
      <c r="Q124" s="198">
        <f t="shared" si="39"/>
        <v>12414.878734274407</v>
      </c>
      <c r="R124" s="198">
        <f t="shared" si="39"/>
        <v>12393.872171272251</v>
      </c>
      <c r="S124" s="198">
        <f t="shared" si="39"/>
        <v>12414.878734274407</v>
      </c>
      <c r="T124" s="198">
        <f t="shared" si="39"/>
        <v>12393.872171272251</v>
      </c>
      <c r="U124" s="198">
        <f t="shared" si="39"/>
        <v>12414.878734274407</v>
      </c>
      <c r="V124" s="198">
        <f t="shared" si="39"/>
        <v>6196.9360856361254</v>
      </c>
      <c r="W124" s="198">
        <f t="shared" si="39"/>
        <v>0</v>
      </c>
      <c r="X124" s="198">
        <f t="shared" si="39"/>
        <v>0</v>
      </c>
      <c r="Y124" s="198">
        <f t="shared" si="39"/>
        <v>0</v>
      </c>
      <c r="Z124" s="198">
        <f t="shared" si="39"/>
        <v>0</v>
      </c>
      <c r="AA124" s="198">
        <f t="shared" si="39"/>
        <v>0</v>
      </c>
      <c r="AB124" s="198">
        <f t="shared" si="39"/>
        <v>0</v>
      </c>
      <c r="AC124" s="198">
        <f t="shared" si="39"/>
        <v>0</v>
      </c>
      <c r="AD124" s="198">
        <f t="shared" si="39"/>
        <v>0</v>
      </c>
      <c r="AE124" s="198">
        <f t="shared" si="39"/>
        <v>0</v>
      </c>
      <c r="AF124" s="198">
        <f t="shared" si="39"/>
        <v>0</v>
      </c>
      <c r="AG124" s="198">
        <f t="shared" si="39"/>
        <v>0</v>
      </c>
      <c r="AH124" s="198">
        <f t="shared" si="39"/>
        <v>0</v>
      </c>
      <c r="AI124" s="198">
        <f t="shared" si="39"/>
        <v>0</v>
      </c>
      <c r="AJ124" s="198">
        <f t="shared" si="39"/>
        <v>0</v>
      </c>
    </row>
    <row r="125" spans="2:36" s="1" customFormat="1">
      <c r="B125" s="188" t="s">
        <v>372</v>
      </c>
      <c r="C125" s="188"/>
      <c r="D125" s="188"/>
      <c r="E125" s="197">
        <f t="shared" si="37"/>
        <v>0</v>
      </c>
      <c r="F125" s="197"/>
      <c r="G125" s="198">
        <f t="shared" ref="G125:AJ125" si="40">$E108*G108</f>
        <v>0</v>
      </c>
      <c r="H125" s="198">
        <f t="shared" si="40"/>
        <v>0</v>
      </c>
      <c r="I125" s="198">
        <f t="shared" si="40"/>
        <v>0</v>
      </c>
      <c r="J125" s="198">
        <f t="shared" si="40"/>
        <v>0</v>
      </c>
      <c r="K125" s="198">
        <f t="shared" si="40"/>
        <v>0</v>
      </c>
      <c r="L125" s="198">
        <f t="shared" si="40"/>
        <v>0</v>
      </c>
      <c r="M125" s="198">
        <f t="shared" si="40"/>
        <v>0</v>
      </c>
      <c r="N125" s="198">
        <f t="shared" si="40"/>
        <v>0</v>
      </c>
      <c r="O125" s="198">
        <f t="shared" si="40"/>
        <v>0</v>
      </c>
      <c r="P125" s="198">
        <f t="shared" si="40"/>
        <v>0</v>
      </c>
      <c r="Q125" s="198">
        <f t="shared" si="40"/>
        <v>0</v>
      </c>
      <c r="R125" s="198">
        <f t="shared" si="40"/>
        <v>0</v>
      </c>
      <c r="S125" s="198">
        <f t="shared" si="40"/>
        <v>0</v>
      </c>
      <c r="T125" s="198">
        <f t="shared" si="40"/>
        <v>0</v>
      </c>
      <c r="U125" s="198">
        <f t="shared" si="40"/>
        <v>0</v>
      </c>
      <c r="V125" s="198">
        <f t="shared" si="40"/>
        <v>0</v>
      </c>
      <c r="W125" s="198">
        <f t="shared" si="40"/>
        <v>0</v>
      </c>
      <c r="X125" s="198">
        <f t="shared" si="40"/>
        <v>0</v>
      </c>
      <c r="Y125" s="198">
        <f t="shared" si="40"/>
        <v>0</v>
      </c>
      <c r="Z125" s="198">
        <f t="shared" si="40"/>
        <v>0</v>
      </c>
      <c r="AA125" s="198">
        <f t="shared" si="40"/>
        <v>0</v>
      </c>
      <c r="AB125" s="198">
        <f t="shared" si="40"/>
        <v>0</v>
      </c>
      <c r="AC125" s="198">
        <f t="shared" si="40"/>
        <v>0</v>
      </c>
      <c r="AD125" s="198">
        <f t="shared" si="40"/>
        <v>0</v>
      </c>
      <c r="AE125" s="198">
        <f t="shared" si="40"/>
        <v>0</v>
      </c>
      <c r="AF125" s="198">
        <f t="shared" si="40"/>
        <v>0</v>
      </c>
      <c r="AG125" s="198">
        <f t="shared" si="40"/>
        <v>0</v>
      </c>
      <c r="AH125" s="198">
        <f t="shared" si="40"/>
        <v>0</v>
      </c>
      <c r="AI125" s="198">
        <f t="shared" si="40"/>
        <v>0</v>
      </c>
      <c r="AJ125" s="198">
        <f t="shared" si="40"/>
        <v>0</v>
      </c>
    </row>
    <row r="126" spans="2:36" s="1" customFormat="1">
      <c r="B126" s="188" t="s">
        <v>373</v>
      </c>
      <c r="C126" s="188"/>
      <c r="D126" s="188"/>
      <c r="E126" s="197">
        <f t="shared" si="37"/>
        <v>0</v>
      </c>
      <c r="F126" s="197"/>
      <c r="G126" s="198">
        <f t="shared" ref="G126:AJ126" si="41">$E109*G109</f>
        <v>0</v>
      </c>
      <c r="H126" s="198">
        <f t="shared" si="41"/>
        <v>0</v>
      </c>
      <c r="I126" s="198">
        <f t="shared" si="41"/>
        <v>0</v>
      </c>
      <c r="J126" s="198">
        <f t="shared" si="41"/>
        <v>0</v>
      </c>
      <c r="K126" s="198">
        <f t="shared" si="41"/>
        <v>0</v>
      </c>
      <c r="L126" s="198">
        <f t="shared" si="41"/>
        <v>0</v>
      </c>
      <c r="M126" s="198">
        <f t="shared" si="41"/>
        <v>0</v>
      </c>
      <c r="N126" s="198">
        <f t="shared" si="41"/>
        <v>0</v>
      </c>
      <c r="O126" s="198">
        <f t="shared" si="41"/>
        <v>0</v>
      </c>
      <c r="P126" s="198">
        <f t="shared" si="41"/>
        <v>0</v>
      </c>
      <c r="Q126" s="198">
        <f t="shared" si="41"/>
        <v>0</v>
      </c>
      <c r="R126" s="198">
        <f t="shared" si="41"/>
        <v>0</v>
      </c>
      <c r="S126" s="198">
        <f t="shared" si="41"/>
        <v>0</v>
      </c>
      <c r="T126" s="198">
        <f t="shared" si="41"/>
        <v>0</v>
      </c>
      <c r="U126" s="198">
        <f t="shared" si="41"/>
        <v>0</v>
      </c>
      <c r="V126" s="198">
        <f t="shared" si="41"/>
        <v>0</v>
      </c>
      <c r="W126" s="198">
        <f t="shared" si="41"/>
        <v>0</v>
      </c>
      <c r="X126" s="198">
        <f t="shared" si="41"/>
        <v>0</v>
      </c>
      <c r="Y126" s="198">
        <f t="shared" si="41"/>
        <v>0</v>
      </c>
      <c r="Z126" s="198">
        <f t="shared" si="41"/>
        <v>0</v>
      </c>
      <c r="AA126" s="198">
        <f t="shared" si="41"/>
        <v>0</v>
      </c>
      <c r="AB126" s="198">
        <f t="shared" si="41"/>
        <v>0</v>
      </c>
      <c r="AC126" s="198">
        <f t="shared" si="41"/>
        <v>0</v>
      </c>
      <c r="AD126" s="198">
        <f t="shared" si="41"/>
        <v>0</v>
      </c>
      <c r="AE126" s="198">
        <f t="shared" si="41"/>
        <v>0</v>
      </c>
      <c r="AF126" s="198">
        <f t="shared" si="41"/>
        <v>0</v>
      </c>
      <c r="AG126" s="198">
        <f t="shared" si="41"/>
        <v>0</v>
      </c>
      <c r="AH126" s="198">
        <f t="shared" si="41"/>
        <v>0</v>
      </c>
      <c r="AI126" s="198">
        <f t="shared" si="41"/>
        <v>0</v>
      </c>
      <c r="AJ126" s="198">
        <f t="shared" si="41"/>
        <v>0</v>
      </c>
    </row>
    <row r="127" spans="2:36" s="1" customFormat="1">
      <c r="B127" s="188" t="s">
        <v>374</v>
      </c>
      <c r="C127" s="188"/>
      <c r="D127" s="188"/>
      <c r="E127" s="197">
        <f t="shared" si="37"/>
        <v>0</v>
      </c>
      <c r="F127" s="197"/>
      <c r="G127" s="198">
        <f t="shared" ref="G127:AJ127" si="42">$E110*G110</f>
        <v>0</v>
      </c>
      <c r="H127" s="198">
        <f t="shared" si="42"/>
        <v>0</v>
      </c>
      <c r="I127" s="198">
        <f t="shared" si="42"/>
        <v>0</v>
      </c>
      <c r="J127" s="198">
        <f t="shared" si="42"/>
        <v>0</v>
      </c>
      <c r="K127" s="198">
        <f t="shared" si="42"/>
        <v>0</v>
      </c>
      <c r="L127" s="198">
        <f t="shared" si="42"/>
        <v>0</v>
      </c>
      <c r="M127" s="198">
        <f t="shared" si="42"/>
        <v>0</v>
      </c>
      <c r="N127" s="198">
        <f t="shared" si="42"/>
        <v>0</v>
      </c>
      <c r="O127" s="198">
        <f t="shared" si="42"/>
        <v>0</v>
      </c>
      <c r="P127" s="198">
        <f t="shared" si="42"/>
        <v>0</v>
      </c>
      <c r="Q127" s="198">
        <f t="shared" si="42"/>
        <v>0</v>
      </c>
      <c r="R127" s="198">
        <f t="shared" si="42"/>
        <v>0</v>
      </c>
      <c r="S127" s="198">
        <f t="shared" si="42"/>
        <v>0</v>
      </c>
      <c r="T127" s="198">
        <f t="shared" si="42"/>
        <v>0</v>
      </c>
      <c r="U127" s="198">
        <f t="shared" si="42"/>
        <v>0</v>
      </c>
      <c r="V127" s="198">
        <f t="shared" si="42"/>
        <v>0</v>
      </c>
      <c r="W127" s="198">
        <f t="shared" si="42"/>
        <v>0</v>
      </c>
      <c r="X127" s="198">
        <f t="shared" si="42"/>
        <v>0</v>
      </c>
      <c r="Y127" s="198">
        <f t="shared" si="42"/>
        <v>0</v>
      </c>
      <c r="Z127" s="198">
        <f t="shared" si="42"/>
        <v>0</v>
      </c>
      <c r="AA127" s="198">
        <f t="shared" si="42"/>
        <v>0</v>
      </c>
      <c r="AB127" s="198">
        <f t="shared" si="42"/>
        <v>0</v>
      </c>
      <c r="AC127" s="198">
        <f t="shared" si="42"/>
        <v>0</v>
      </c>
      <c r="AD127" s="198">
        <f t="shared" si="42"/>
        <v>0</v>
      </c>
      <c r="AE127" s="198">
        <f t="shared" si="42"/>
        <v>0</v>
      </c>
      <c r="AF127" s="198">
        <f t="shared" si="42"/>
        <v>0</v>
      </c>
      <c r="AG127" s="198">
        <f t="shared" si="42"/>
        <v>0</v>
      </c>
      <c r="AH127" s="198">
        <f t="shared" si="42"/>
        <v>0</v>
      </c>
      <c r="AI127" s="198">
        <f t="shared" si="42"/>
        <v>0</v>
      </c>
      <c r="AJ127" s="198">
        <f t="shared" si="42"/>
        <v>0</v>
      </c>
    </row>
    <row r="128" spans="2:36" s="1" customFormat="1">
      <c r="B128" s="188" t="s">
        <v>375</v>
      </c>
      <c r="C128" s="188"/>
      <c r="D128" s="188"/>
      <c r="E128" s="197">
        <f t="shared" si="37"/>
        <v>256805.2327013615</v>
      </c>
      <c r="F128" s="197"/>
      <c r="G128" s="198">
        <f t="shared" ref="G128:AJ128" si="43">$E111*G111</f>
        <v>6420.1308175340364</v>
      </c>
      <c r="H128" s="198">
        <f t="shared" si="43"/>
        <v>12840.261635068073</v>
      </c>
      <c r="I128" s="198">
        <f t="shared" si="43"/>
        <v>12840.261635068073</v>
      </c>
      <c r="J128" s="198">
        <f t="shared" si="43"/>
        <v>12840.261635068073</v>
      </c>
      <c r="K128" s="198">
        <f t="shared" si="43"/>
        <v>12840.261635068073</v>
      </c>
      <c r="L128" s="198">
        <f t="shared" si="43"/>
        <v>12840.261635068073</v>
      </c>
      <c r="M128" s="198">
        <f t="shared" si="43"/>
        <v>12840.261635068073</v>
      </c>
      <c r="N128" s="198">
        <f t="shared" si="43"/>
        <v>12840.261635068073</v>
      </c>
      <c r="O128" s="198">
        <f t="shared" si="43"/>
        <v>12840.261635068073</v>
      </c>
      <c r="P128" s="198">
        <f t="shared" si="43"/>
        <v>12840.261635068073</v>
      </c>
      <c r="Q128" s="198">
        <f t="shared" si="43"/>
        <v>12840.261635068073</v>
      </c>
      <c r="R128" s="198">
        <f t="shared" si="43"/>
        <v>12840.261635068073</v>
      </c>
      <c r="S128" s="198">
        <f t="shared" si="43"/>
        <v>12840.261635068073</v>
      </c>
      <c r="T128" s="198">
        <f t="shared" si="43"/>
        <v>12840.261635068073</v>
      </c>
      <c r="U128" s="198">
        <f t="shared" si="43"/>
        <v>12840.261635068073</v>
      </c>
      <c r="V128" s="198">
        <f t="shared" si="43"/>
        <v>12840.261635068073</v>
      </c>
      <c r="W128" s="198">
        <f t="shared" si="43"/>
        <v>12840.261635068073</v>
      </c>
      <c r="X128" s="198">
        <f t="shared" si="43"/>
        <v>12840.261635068073</v>
      </c>
      <c r="Y128" s="198">
        <f t="shared" si="43"/>
        <v>12840.261635068073</v>
      </c>
      <c r="Z128" s="198">
        <f t="shared" si="43"/>
        <v>12840.261635068073</v>
      </c>
      <c r="AA128" s="198">
        <f t="shared" si="43"/>
        <v>6420.1308175340364</v>
      </c>
      <c r="AB128" s="198">
        <f t="shared" si="43"/>
        <v>0</v>
      </c>
      <c r="AC128" s="198">
        <f t="shared" si="43"/>
        <v>0</v>
      </c>
      <c r="AD128" s="198">
        <f t="shared" si="43"/>
        <v>0</v>
      </c>
      <c r="AE128" s="198">
        <f t="shared" si="43"/>
        <v>0</v>
      </c>
      <c r="AF128" s="198">
        <f t="shared" si="43"/>
        <v>0</v>
      </c>
      <c r="AG128" s="198">
        <f t="shared" si="43"/>
        <v>0</v>
      </c>
      <c r="AH128" s="198">
        <f t="shared" si="43"/>
        <v>0</v>
      </c>
      <c r="AI128" s="198">
        <f t="shared" si="43"/>
        <v>0</v>
      </c>
      <c r="AJ128" s="198">
        <f t="shared" si="43"/>
        <v>0</v>
      </c>
    </row>
    <row r="129" spans="2:36" s="1" customFormat="1">
      <c r="B129" s="188" t="s">
        <v>376</v>
      </c>
      <c r="C129" s="188"/>
      <c r="D129" s="188"/>
      <c r="E129" s="197">
        <f t="shared" si="37"/>
        <v>0</v>
      </c>
      <c r="F129" s="197"/>
      <c r="G129" s="198">
        <f t="shared" ref="G129:AJ129" si="44">$E112*G112</f>
        <v>0</v>
      </c>
      <c r="H129" s="198">
        <f t="shared" si="44"/>
        <v>0</v>
      </c>
      <c r="I129" s="198">
        <f t="shared" si="44"/>
        <v>0</v>
      </c>
      <c r="J129" s="198">
        <f t="shared" si="44"/>
        <v>0</v>
      </c>
      <c r="K129" s="198">
        <f t="shared" si="44"/>
        <v>0</v>
      </c>
      <c r="L129" s="198">
        <f t="shared" si="44"/>
        <v>0</v>
      </c>
      <c r="M129" s="198">
        <f t="shared" si="44"/>
        <v>0</v>
      </c>
      <c r="N129" s="198">
        <f t="shared" si="44"/>
        <v>0</v>
      </c>
      <c r="O129" s="198">
        <f t="shared" si="44"/>
        <v>0</v>
      </c>
      <c r="P129" s="198">
        <f t="shared" si="44"/>
        <v>0</v>
      </c>
      <c r="Q129" s="198">
        <f t="shared" si="44"/>
        <v>0</v>
      </c>
      <c r="R129" s="198">
        <f t="shared" si="44"/>
        <v>0</v>
      </c>
      <c r="S129" s="198">
        <f t="shared" si="44"/>
        <v>0</v>
      </c>
      <c r="T129" s="198">
        <f t="shared" si="44"/>
        <v>0</v>
      </c>
      <c r="U129" s="198">
        <f t="shared" si="44"/>
        <v>0</v>
      </c>
      <c r="V129" s="198">
        <f t="shared" si="44"/>
        <v>0</v>
      </c>
      <c r="W129" s="198">
        <f t="shared" si="44"/>
        <v>0</v>
      </c>
      <c r="X129" s="198">
        <f t="shared" si="44"/>
        <v>0</v>
      </c>
      <c r="Y129" s="198">
        <f t="shared" si="44"/>
        <v>0</v>
      </c>
      <c r="Z129" s="198">
        <f t="shared" si="44"/>
        <v>0</v>
      </c>
      <c r="AA129" s="198">
        <f t="shared" si="44"/>
        <v>0</v>
      </c>
      <c r="AB129" s="198">
        <f t="shared" si="44"/>
        <v>0</v>
      </c>
      <c r="AC129" s="198">
        <f t="shared" si="44"/>
        <v>0</v>
      </c>
      <c r="AD129" s="198">
        <f t="shared" si="44"/>
        <v>0</v>
      </c>
      <c r="AE129" s="198">
        <f t="shared" si="44"/>
        <v>0</v>
      </c>
      <c r="AF129" s="198">
        <f t="shared" si="44"/>
        <v>0</v>
      </c>
      <c r="AG129" s="198">
        <f t="shared" si="44"/>
        <v>0</v>
      </c>
      <c r="AH129" s="198">
        <f t="shared" si="44"/>
        <v>0</v>
      </c>
      <c r="AI129" s="198">
        <f t="shared" si="44"/>
        <v>0</v>
      </c>
      <c r="AJ129" s="198">
        <f t="shared" si="44"/>
        <v>0</v>
      </c>
    </row>
    <row r="130" spans="2:36" s="1" customFormat="1">
      <c r="B130" s="188" t="s">
        <v>377</v>
      </c>
      <c r="C130" s="188"/>
      <c r="D130" s="188"/>
      <c r="E130" s="197">
        <f t="shared" si="37"/>
        <v>0</v>
      </c>
      <c r="F130" s="197"/>
      <c r="G130" s="198">
        <f t="shared" ref="G130:AJ130" si="45">$E113*G113</f>
        <v>0</v>
      </c>
      <c r="H130" s="198">
        <f t="shared" si="45"/>
        <v>0</v>
      </c>
      <c r="I130" s="198">
        <f t="shared" si="45"/>
        <v>0</v>
      </c>
      <c r="J130" s="198">
        <f t="shared" si="45"/>
        <v>0</v>
      </c>
      <c r="K130" s="198">
        <f t="shared" si="45"/>
        <v>0</v>
      </c>
      <c r="L130" s="198">
        <f t="shared" si="45"/>
        <v>0</v>
      </c>
      <c r="M130" s="198">
        <f t="shared" si="45"/>
        <v>0</v>
      </c>
      <c r="N130" s="198">
        <f t="shared" si="45"/>
        <v>0</v>
      </c>
      <c r="O130" s="198">
        <f t="shared" si="45"/>
        <v>0</v>
      </c>
      <c r="P130" s="198">
        <f t="shared" si="45"/>
        <v>0</v>
      </c>
      <c r="Q130" s="198">
        <f t="shared" si="45"/>
        <v>0</v>
      </c>
      <c r="R130" s="198">
        <f t="shared" si="45"/>
        <v>0</v>
      </c>
      <c r="S130" s="198">
        <f t="shared" si="45"/>
        <v>0</v>
      </c>
      <c r="T130" s="198">
        <f t="shared" si="45"/>
        <v>0</v>
      </c>
      <c r="U130" s="198">
        <f t="shared" si="45"/>
        <v>0</v>
      </c>
      <c r="V130" s="198">
        <f t="shared" si="45"/>
        <v>0</v>
      </c>
      <c r="W130" s="198">
        <f t="shared" si="45"/>
        <v>0</v>
      </c>
      <c r="X130" s="198">
        <f t="shared" si="45"/>
        <v>0</v>
      </c>
      <c r="Y130" s="198">
        <f t="shared" si="45"/>
        <v>0</v>
      </c>
      <c r="Z130" s="198">
        <f t="shared" si="45"/>
        <v>0</v>
      </c>
      <c r="AA130" s="198">
        <f t="shared" si="45"/>
        <v>0</v>
      </c>
      <c r="AB130" s="198">
        <f t="shared" si="45"/>
        <v>0</v>
      </c>
      <c r="AC130" s="198">
        <f t="shared" si="45"/>
        <v>0</v>
      </c>
      <c r="AD130" s="198">
        <f t="shared" si="45"/>
        <v>0</v>
      </c>
      <c r="AE130" s="198">
        <f t="shared" si="45"/>
        <v>0</v>
      </c>
      <c r="AF130" s="198">
        <f t="shared" si="45"/>
        <v>0</v>
      </c>
      <c r="AG130" s="198">
        <f t="shared" si="45"/>
        <v>0</v>
      </c>
      <c r="AH130" s="198">
        <f t="shared" si="45"/>
        <v>0</v>
      </c>
      <c r="AI130" s="198">
        <f t="shared" si="45"/>
        <v>0</v>
      </c>
      <c r="AJ130" s="198">
        <f t="shared" si="45"/>
        <v>0</v>
      </c>
    </row>
    <row r="131" spans="2:36" s="1" customFormat="1">
      <c r="B131" s="199" t="s">
        <v>175</v>
      </c>
      <c r="C131" s="199"/>
      <c r="D131" s="199"/>
      <c r="E131" s="200">
        <f>E114</f>
        <v>46739.602679797885</v>
      </c>
      <c r="F131" s="197"/>
      <c r="G131" s="198"/>
      <c r="H131" s="198"/>
      <c r="I131" s="198"/>
      <c r="J131" s="198"/>
      <c r="K131" s="198"/>
      <c r="L131" s="198"/>
      <c r="M131" s="198"/>
      <c r="N131" s="198"/>
      <c r="O131" s="198"/>
      <c r="P131" s="198"/>
      <c r="Q131" s="198"/>
      <c r="R131" s="198"/>
      <c r="S131" s="198"/>
      <c r="T131" s="198"/>
      <c r="U131" s="198"/>
      <c r="V131" s="198"/>
      <c r="W131" s="198"/>
      <c r="X131" s="198"/>
      <c r="Y131" s="198"/>
      <c r="Z131" s="198"/>
      <c r="AA131" s="198"/>
      <c r="AB131" s="198"/>
      <c r="AC131" s="198"/>
      <c r="AD131" s="198"/>
      <c r="AE131" s="198"/>
      <c r="AF131" s="198"/>
      <c r="AG131" s="198"/>
      <c r="AH131" s="198"/>
      <c r="AI131" s="198"/>
      <c r="AJ131" s="198"/>
    </row>
    <row r="132" spans="2:36" s="1" customFormat="1">
      <c r="B132" s="188" t="s">
        <v>385</v>
      </c>
      <c r="C132" s="188"/>
      <c r="D132" s="188"/>
      <c r="E132" s="197">
        <f>SUM(E122:E131)</f>
        <v>10596760.706437772</v>
      </c>
      <c r="F132" s="201" t="str">
        <f>IF(ROUND(E132,0)=ROUND(E116,0),"OK","error")</f>
        <v>OK</v>
      </c>
      <c r="G132" s="198"/>
      <c r="H132" s="198"/>
      <c r="I132" s="198"/>
      <c r="J132" s="198"/>
      <c r="K132" s="198"/>
      <c r="L132" s="198"/>
      <c r="M132" s="198"/>
      <c r="N132" s="198"/>
      <c r="O132" s="198"/>
      <c r="P132" s="198"/>
      <c r="Q132" s="198"/>
      <c r="R132" s="198"/>
      <c r="S132" s="198"/>
      <c r="T132" s="198"/>
      <c r="U132" s="198"/>
      <c r="V132" s="198"/>
      <c r="W132" s="198"/>
      <c r="X132" s="198"/>
      <c r="Y132" s="198"/>
      <c r="Z132" s="198"/>
      <c r="AA132" s="198"/>
      <c r="AB132" s="198"/>
      <c r="AC132" s="198"/>
      <c r="AD132" s="198"/>
      <c r="AE132" s="198"/>
      <c r="AF132" s="198"/>
      <c r="AG132" s="198"/>
      <c r="AH132" s="198"/>
      <c r="AI132" s="198"/>
      <c r="AJ132" s="198"/>
    </row>
    <row r="133" spans="2:36" s="1" customFormat="1">
      <c r="B133" s="188"/>
      <c r="C133" s="188"/>
      <c r="D133" s="188"/>
      <c r="E133" s="197"/>
      <c r="F133" s="201"/>
      <c r="G133" s="198"/>
      <c r="H133" s="198"/>
      <c r="I133" s="198"/>
      <c r="J133" s="198"/>
      <c r="K133" s="198"/>
      <c r="L133" s="198"/>
      <c r="M133" s="198"/>
      <c r="N133" s="198"/>
      <c r="O133" s="198"/>
      <c r="P133" s="198"/>
      <c r="Q133" s="198"/>
      <c r="R133" s="198"/>
      <c r="S133" s="198"/>
      <c r="T133" s="198"/>
      <c r="U133" s="198"/>
      <c r="V133" s="198"/>
      <c r="W133" s="198"/>
      <c r="X133" s="198"/>
      <c r="Y133" s="198"/>
      <c r="Z133" s="198"/>
      <c r="AA133" s="198"/>
      <c r="AB133" s="198"/>
      <c r="AC133" s="198"/>
      <c r="AD133" s="198"/>
      <c r="AE133" s="198"/>
      <c r="AF133" s="198"/>
      <c r="AG133" s="198"/>
      <c r="AH133" s="198"/>
      <c r="AI133" s="198"/>
      <c r="AJ133" s="198"/>
    </row>
    <row r="134" spans="2:36" s="1" customFormat="1" ht="15.75">
      <c r="B134" s="190" t="s">
        <v>386</v>
      </c>
      <c r="C134" s="190"/>
      <c r="D134" s="190"/>
      <c r="E134" s="197"/>
      <c r="F134" s="201"/>
      <c r="G134" s="198"/>
      <c r="H134" s="198"/>
      <c r="I134" s="198"/>
      <c r="J134" s="198"/>
      <c r="K134" s="198"/>
      <c r="L134" s="198"/>
      <c r="M134" s="198"/>
      <c r="N134" s="198"/>
      <c r="O134" s="198"/>
      <c r="P134" s="198"/>
      <c r="Q134" s="198"/>
      <c r="R134" s="198"/>
      <c r="S134" s="198"/>
      <c r="T134" s="198"/>
      <c r="U134" s="198"/>
      <c r="V134" s="198"/>
      <c r="W134" s="198"/>
      <c r="X134" s="198"/>
      <c r="Y134" s="198"/>
      <c r="Z134" s="198"/>
      <c r="AA134" s="198"/>
      <c r="AB134" s="198"/>
      <c r="AC134" s="198"/>
      <c r="AD134" s="198"/>
      <c r="AE134" s="198"/>
      <c r="AF134" s="198"/>
      <c r="AG134" s="198"/>
      <c r="AH134" s="198"/>
      <c r="AI134" s="198"/>
      <c r="AJ134" s="198"/>
    </row>
    <row r="135" spans="2:36" s="1" customFormat="1">
      <c r="B135" s="188" t="s">
        <v>387</v>
      </c>
      <c r="C135" s="188"/>
      <c r="D135" s="188"/>
      <c r="E135" s="197">
        <f>'Active Inputs'!$Q$52*'Active Inputs'!$G$7</f>
        <v>105000</v>
      </c>
      <c r="F135" s="201"/>
      <c r="G135" s="198">
        <f>IF(G$2='Active Inputs'!$Q$51,'Cash Flow'!$E$135,0)</f>
        <v>0</v>
      </c>
      <c r="H135" s="198">
        <f>IF(H$2='Active Inputs'!$Q$51,'Cash Flow'!$E$135,0)</f>
        <v>0</v>
      </c>
      <c r="I135" s="198">
        <f>IF(I$2='Active Inputs'!$Q$51,'Cash Flow'!$E$135,0)</f>
        <v>0</v>
      </c>
      <c r="J135" s="198">
        <f>IF(J$2='Active Inputs'!$Q$51,'Cash Flow'!$E$135,0)</f>
        <v>0</v>
      </c>
      <c r="K135" s="198">
        <f>IF(K$2='Active Inputs'!$Q$51,'Cash Flow'!$E$135,0)</f>
        <v>0</v>
      </c>
      <c r="L135" s="198">
        <f>IF(L$2='Active Inputs'!$Q$51,'Cash Flow'!$E$135,0)</f>
        <v>0</v>
      </c>
      <c r="M135" s="198">
        <f>IF(M$2='Active Inputs'!$Q$51,'Cash Flow'!$E$135,0)</f>
        <v>0</v>
      </c>
      <c r="N135" s="198">
        <f>IF(N$2='Active Inputs'!$Q$51,'Cash Flow'!$E$135,0)</f>
        <v>0</v>
      </c>
      <c r="O135" s="198">
        <f>IF(O$2='Active Inputs'!$Q$51,'Cash Flow'!$E$135,0)</f>
        <v>0</v>
      </c>
      <c r="P135" s="198">
        <f>IF(P$2='Active Inputs'!$Q$51,'Cash Flow'!$E$135,0)</f>
        <v>0</v>
      </c>
      <c r="Q135" s="198">
        <f>IF(Q$2='Active Inputs'!$Q$51,'Cash Flow'!$E$135,0)</f>
        <v>0</v>
      </c>
      <c r="R135" s="198">
        <f>IF(R$2='Active Inputs'!$Q$51,'Cash Flow'!$E$135,0)</f>
        <v>105000</v>
      </c>
      <c r="S135" s="198">
        <f>IF(S$2='Active Inputs'!$Q$51,'Cash Flow'!$E$135,0)</f>
        <v>0</v>
      </c>
      <c r="T135" s="198">
        <f>IF(T$2='Active Inputs'!$Q$51,'Cash Flow'!$E$135,0)</f>
        <v>0</v>
      </c>
      <c r="U135" s="198">
        <f>IF(U$2='Active Inputs'!$Q$51,'Cash Flow'!$E$135,0)</f>
        <v>0</v>
      </c>
      <c r="V135" s="198">
        <f>IF(V$2='Active Inputs'!$Q$51,'Cash Flow'!$E$135,0)</f>
        <v>0</v>
      </c>
      <c r="W135" s="198">
        <f>IF(W$2='Active Inputs'!$Q$51,'Cash Flow'!$E$135,0)</f>
        <v>0</v>
      </c>
      <c r="X135" s="198">
        <f>IF(X$2='Active Inputs'!$Q$51,'Cash Flow'!$E$135,0)</f>
        <v>0</v>
      </c>
      <c r="Y135" s="198">
        <f>IF(Y$2='Active Inputs'!$Q$51,'Cash Flow'!$E$135,0)</f>
        <v>0</v>
      </c>
      <c r="Z135" s="198">
        <f>IF(Z$2='Active Inputs'!$Q$51,'Cash Flow'!$E$135,0)</f>
        <v>0</v>
      </c>
      <c r="AA135" s="198">
        <f>IF(AA$2='Active Inputs'!$Q$51,'Cash Flow'!$E$135,0)</f>
        <v>0</v>
      </c>
      <c r="AB135" s="198">
        <f>IF(AB$2='Active Inputs'!$Q$51,'Cash Flow'!$E$135,0)</f>
        <v>0</v>
      </c>
      <c r="AC135" s="198">
        <f>IF(AC$2='Active Inputs'!$Q$51,'Cash Flow'!$E$135,0)</f>
        <v>0</v>
      </c>
      <c r="AD135" s="198">
        <f>IF(AD$2='Active Inputs'!$Q$51,'Cash Flow'!$E$135,0)</f>
        <v>0</v>
      </c>
      <c r="AE135" s="198">
        <f>IF(AE$2='Active Inputs'!$Q$51,'Cash Flow'!$E$135,0)</f>
        <v>0</v>
      </c>
      <c r="AF135" s="198">
        <f>IF(AF$2='Active Inputs'!$Q$51,'Cash Flow'!$E$135,0)</f>
        <v>0</v>
      </c>
      <c r="AG135" s="198">
        <f>IF(AG$2='Active Inputs'!$Q$51,'Cash Flow'!$E$135,0)</f>
        <v>0</v>
      </c>
      <c r="AH135" s="198">
        <f>IF(AH$2='Active Inputs'!$Q$51,'Cash Flow'!$E$135,0)</f>
        <v>0</v>
      </c>
      <c r="AI135" s="198">
        <f>IF(AI$2='Active Inputs'!$Q$51,'Cash Flow'!$E$135,0)</f>
        <v>0</v>
      </c>
      <c r="AJ135" s="198">
        <f>IF(AJ$2='Active Inputs'!$Q$51,'Cash Flow'!$E$135,0)</f>
        <v>0</v>
      </c>
    </row>
    <row r="136" spans="2:36" s="1" customFormat="1">
      <c r="B136" s="188" t="s">
        <v>388</v>
      </c>
      <c r="C136" s="188"/>
      <c r="D136" s="188"/>
      <c r="E136" s="197"/>
      <c r="F136" s="201"/>
      <c r="G136" s="202">
        <f>IF('Active Inputs'!$W$9="host-owned", 0, IF(G135&gt;0,1,IF(F136&gt;0,F136+1,0)))</f>
        <v>0</v>
      </c>
      <c r="H136" s="202">
        <f>IF('Active Inputs'!$W$9="host-owned", 0, IF(H135&gt;0,1,IF(G136&gt;0,G136+1,0)))</f>
        <v>0</v>
      </c>
      <c r="I136" s="202">
        <f>IF('Active Inputs'!$W$9="host-owned", 0, IF(I135&gt;0,1,IF(H136&gt;0,H136+1,0)))</f>
        <v>0</v>
      </c>
      <c r="J136" s="202">
        <f>IF('Active Inputs'!$W$9="host-owned", 0, IF(J135&gt;0,1,IF(I136&gt;0,I136+1,0)))</f>
        <v>0</v>
      </c>
      <c r="K136" s="202">
        <f>IF('Active Inputs'!$W$9="host-owned", 0, IF(K135&gt;0,1,IF(J136&gt;0,J136+1,0)))</f>
        <v>0</v>
      </c>
      <c r="L136" s="202">
        <f>IF('Active Inputs'!$W$9="host-owned", 0, IF(L135&gt;0,1,IF(K136&gt;0,K136+1,0)))</f>
        <v>0</v>
      </c>
      <c r="M136" s="202">
        <f>IF('Active Inputs'!$W$9="host-owned", 0, IF(M135&gt;0,1,IF(L136&gt;0,L136+1,0)))</f>
        <v>0</v>
      </c>
      <c r="N136" s="202">
        <f>IF('Active Inputs'!$W$9="host-owned", 0, IF(N135&gt;0,1,IF(M136&gt;0,M136+1,0)))</f>
        <v>0</v>
      </c>
      <c r="O136" s="202">
        <f>IF('Active Inputs'!$W$9="host-owned", 0, IF(O135&gt;0,1,IF(N136&gt;0,N136+1,0)))</f>
        <v>0</v>
      </c>
      <c r="P136" s="202">
        <f>IF('Active Inputs'!$W$9="host-owned", 0, IF(P135&gt;0,1,IF(O136&gt;0,O136+1,0)))</f>
        <v>0</v>
      </c>
      <c r="Q136" s="202">
        <f>IF('Active Inputs'!$W$9="host-owned", 0, IF(Q135&gt;0,1,IF(P136&gt;0,P136+1,0)))</f>
        <v>0</v>
      </c>
      <c r="R136" s="202">
        <f>IF('Active Inputs'!$W$9="host-owned", 0, IF(R135&gt;0,1,IF(Q136&gt;0,Q136+1,0)))</f>
        <v>1</v>
      </c>
      <c r="S136" s="202">
        <f>IF('Active Inputs'!$W$9="host-owned", 0, IF(S135&gt;0,1,IF(R136&gt;0,R136+1,0)))</f>
        <v>2</v>
      </c>
      <c r="T136" s="202">
        <f>IF('Active Inputs'!$W$9="host-owned", 0, IF(T135&gt;0,1,IF(S136&gt;0,S136+1,0)))</f>
        <v>3</v>
      </c>
      <c r="U136" s="202">
        <f>IF('Active Inputs'!$W$9="host-owned", 0, IF(U135&gt;0,1,IF(T136&gt;0,T136+1,0)))</f>
        <v>4</v>
      </c>
      <c r="V136" s="202">
        <f>IF('Active Inputs'!$W$9="host-owned", 0, IF(V135&gt;0,1,IF(U136&gt;0,U136+1,0)))</f>
        <v>5</v>
      </c>
      <c r="W136" s="202">
        <f>IF('Active Inputs'!$W$9="host-owned", 0, IF(W135&gt;0,1,IF(V136&gt;0,V136+1,0)))</f>
        <v>6</v>
      </c>
      <c r="X136" s="202">
        <f>IF('Active Inputs'!$W$9="host-owned", 0, IF(X135&gt;0,1,IF(W136&gt;0,W136+1,0)))</f>
        <v>7</v>
      </c>
      <c r="Y136" s="202">
        <f>IF('Active Inputs'!$W$9="host-owned", 0, IF(Y135&gt;0,1,IF(X136&gt;0,X136+1,0)))</f>
        <v>8</v>
      </c>
      <c r="Z136" s="202">
        <f>IF('Active Inputs'!$W$9="host-owned", 0, IF(Z135&gt;0,1,IF(Y136&gt;0,Y136+1,0)))</f>
        <v>9</v>
      </c>
      <c r="AA136" s="202">
        <f>IF('Active Inputs'!$W$9="host-owned", 0, IF(AA135&gt;0,1,IF(Z136&gt;0,Z136+1,0)))</f>
        <v>10</v>
      </c>
      <c r="AB136" s="202">
        <f>IF('Active Inputs'!$W$9="host-owned", 0, IF(AB135&gt;0,1,IF(AA136&gt;0,AA136+1,0)))</f>
        <v>11</v>
      </c>
      <c r="AC136" s="202">
        <f>IF('Active Inputs'!$W$9="host-owned", 0, IF(AC135&gt;0,1,IF(AB136&gt;0,AB136+1,0)))</f>
        <v>12</v>
      </c>
      <c r="AD136" s="202">
        <f>IF('Active Inputs'!$W$9="host-owned", 0, IF(AD135&gt;0,1,IF(AC136&gt;0,AC136+1,0)))</f>
        <v>13</v>
      </c>
      <c r="AE136" s="202">
        <f>IF('Active Inputs'!$W$9="host-owned", 0, IF(AE135&gt;0,1,IF(AD136&gt;0,AD136+1,0)))</f>
        <v>14</v>
      </c>
      <c r="AF136" s="202">
        <f>IF('Active Inputs'!$W$9="host-owned", 0, IF(AF135&gt;0,1,IF(AE136&gt;0,AE136+1,0)))</f>
        <v>15</v>
      </c>
      <c r="AG136" s="202">
        <f>IF('Active Inputs'!$W$9="host-owned", 0, IF(AG135&gt;0,1,IF(AF136&gt;0,AF136+1,0)))</f>
        <v>16</v>
      </c>
      <c r="AH136" s="202">
        <f>IF('Active Inputs'!$W$9="host-owned", 0, IF(AH135&gt;0,1,IF(AG136&gt;0,AG136+1,0)))</f>
        <v>17</v>
      </c>
      <c r="AI136" s="202">
        <f>IF('Active Inputs'!$W$9="host-owned", 0, IF(AI135&gt;0,1,IF(AH136&gt;0,AH136+1,0)))</f>
        <v>18</v>
      </c>
      <c r="AJ136" s="202">
        <f>IF('Active Inputs'!$W$9="host-owned", 0, IF(AJ135&gt;0,1,IF(AI136&gt;0,AI136+1,0)))</f>
        <v>19</v>
      </c>
    </row>
    <row r="137" spans="2:36" s="1" customFormat="1">
      <c r="B137" s="199" t="s">
        <v>389</v>
      </c>
      <c r="C137" s="199"/>
      <c r="D137" s="199"/>
      <c r="E137" s="200"/>
      <c r="F137" s="201"/>
      <c r="G137" s="198">
        <f t="shared" ref="G137:AJ137" si="46">IF(G136=0,0,$E$135*LOOKUP(G136,$G$103:$AJ$103,$G$105:$AJ$105))</f>
        <v>0</v>
      </c>
      <c r="H137" s="198">
        <f t="shared" si="46"/>
        <v>0</v>
      </c>
      <c r="I137" s="198">
        <f t="shared" si="46"/>
        <v>0</v>
      </c>
      <c r="J137" s="198">
        <f t="shared" si="46"/>
        <v>0</v>
      </c>
      <c r="K137" s="198">
        <f t="shared" si="46"/>
        <v>0</v>
      </c>
      <c r="L137" s="198">
        <f t="shared" si="46"/>
        <v>0</v>
      </c>
      <c r="M137" s="198">
        <f t="shared" si="46"/>
        <v>0</v>
      </c>
      <c r="N137" s="198">
        <f t="shared" si="46"/>
        <v>0</v>
      </c>
      <c r="O137" s="198">
        <f t="shared" si="46"/>
        <v>0</v>
      </c>
      <c r="P137" s="198">
        <f t="shared" si="46"/>
        <v>0</v>
      </c>
      <c r="Q137" s="198">
        <f t="shared" si="46"/>
        <v>0</v>
      </c>
      <c r="R137" s="198">
        <f t="shared" si="46"/>
        <v>21000</v>
      </c>
      <c r="S137" s="198">
        <f t="shared" si="46"/>
        <v>33600</v>
      </c>
      <c r="T137" s="198">
        <f t="shared" si="46"/>
        <v>20160</v>
      </c>
      <c r="U137" s="198">
        <f t="shared" si="46"/>
        <v>12096</v>
      </c>
      <c r="V137" s="198">
        <f t="shared" si="46"/>
        <v>12096</v>
      </c>
      <c r="W137" s="198">
        <f t="shared" si="46"/>
        <v>6048</v>
      </c>
      <c r="X137" s="198">
        <f t="shared" si="46"/>
        <v>0</v>
      </c>
      <c r="Y137" s="198">
        <f t="shared" si="46"/>
        <v>0</v>
      </c>
      <c r="Z137" s="198">
        <f t="shared" si="46"/>
        <v>0</v>
      </c>
      <c r="AA137" s="198">
        <f t="shared" si="46"/>
        <v>0</v>
      </c>
      <c r="AB137" s="198">
        <f t="shared" si="46"/>
        <v>0</v>
      </c>
      <c r="AC137" s="198">
        <f t="shared" si="46"/>
        <v>0</v>
      </c>
      <c r="AD137" s="198">
        <f t="shared" si="46"/>
        <v>0</v>
      </c>
      <c r="AE137" s="198">
        <f t="shared" si="46"/>
        <v>0</v>
      </c>
      <c r="AF137" s="198">
        <f t="shared" si="46"/>
        <v>0</v>
      </c>
      <c r="AG137" s="198">
        <f t="shared" si="46"/>
        <v>0</v>
      </c>
      <c r="AH137" s="198">
        <f t="shared" si="46"/>
        <v>0</v>
      </c>
      <c r="AI137" s="198">
        <f t="shared" si="46"/>
        <v>0</v>
      </c>
      <c r="AJ137" s="198">
        <f t="shared" si="46"/>
        <v>0</v>
      </c>
    </row>
    <row r="138" spans="2:36" s="1" customFormat="1">
      <c r="B138" s="188" t="s">
        <v>390</v>
      </c>
      <c r="C138" s="188"/>
      <c r="D138" s="188"/>
      <c r="E138" s="197">
        <f>'Active Inputs'!$Q$54*'Active Inputs'!$G$7</f>
        <v>0</v>
      </c>
      <c r="F138" s="201"/>
      <c r="G138" s="198">
        <f>IF(G$2='Active Inputs'!$Q$53,'Cash Flow'!$E$138,0)</f>
        <v>0</v>
      </c>
      <c r="H138" s="198">
        <f>IF(H$2='Active Inputs'!$Q$53,'Cash Flow'!$E$138,0)</f>
        <v>0</v>
      </c>
      <c r="I138" s="198">
        <f>IF(I$2='Active Inputs'!$Q$53,'Cash Flow'!$E$138,0)</f>
        <v>0</v>
      </c>
      <c r="J138" s="198">
        <f>IF(J$2='Active Inputs'!$Q$53,'Cash Flow'!$E$138,0)</f>
        <v>0</v>
      </c>
      <c r="K138" s="198">
        <f>IF(K$2='Active Inputs'!$Q$53,'Cash Flow'!$E$138,0)</f>
        <v>0</v>
      </c>
      <c r="L138" s="198">
        <f>IF(L$2='Active Inputs'!$Q$53,'Cash Flow'!$E$138,0)</f>
        <v>0</v>
      </c>
      <c r="M138" s="198">
        <f>IF(M$2='Active Inputs'!$Q$53,'Cash Flow'!$E$138,0)</f>
        <v>0</v>
      </c>
      <c r="N138" s="198">
        <f>IF(N$2='Active Inputs'!$Q$53,'Cash Flow'!$E$138,0)</f>
        <v>0</v>
      </c>
      <c r="O138" s="198">
        <f>IF(O$2='Active Inputs'!$Q$53,'Cash Flow'!$E$138,0)</f>
        <v>0</v>
      </c>
      <c r="P138" s="198">
        <f>IF(P$2='Active Inputs'!$Q$53,'Cash Flow'!$E$138,0)</f>
        <v>0</v>
      </c>
      <c r="Q138" s="198">
        <f>IF(Q$2='Active Inputs'!$Q$53,'Cash Flow'!$E$138,0)</f>
        <v>0</v>
      </c>
      <c r="R138" s="198">
        <f>IF(R$2='Active Inputs'!$Q$53,'Cash Flow'!$E$138,0)</f>
        <v>0</v>
      </c>
      <c r="S138" s="198">
        <f>IF(S$2='Active Inputs'!$Q$53,'Cash Flow'!$E$138,0)</f>
        <v>0</v>
      </c>
      <c r="T138" s="198">
        <f>IF(T$2='Active Inputs'!$Q$53,'Cash Flow'!$E$138,0)</f>
        <v>0</v>
      </c>
      <c r="U138" s="198">
        <f>IF(U$2='Active Inputs'!$Q$53,'Cash Flow'!$E$138,0)</f>
        <v>0</v>
      </c>
      <c r="V138" s="198">
        <f>IF(V$2='Active Inputs'!$Q$53,'Cash Flow'!$E$138,0)</f>
        <v>0</v>
      </c>
      <c r="W138" s="198">
        <f>IF(W$2='Active Inputs'!$Q$53,'Cash Flow'!$E$138,0)</f>
        <v>0</v>
      </c>
      <c r="X138" s="198">
        <f>IF(X$2='Active Inputs'!$Q$53,'Cash Flow'!$E$138,0)</f>
        <v>0</v>
      </c>
      <c r="Y138" s="198">
        <f>IF(Y$2='Active Inputs'!$Q$53,'Cash Flow'!$E$138,0)</f>
        <v>0</v>
      </c>
      <c r="Z138" s="198">
        <f>IF(Z$2='Active Inputs'!$Q$53,'Cash Flow'!$E$138,0)</f>
        <v>0</v>
      </c>
      <c r="AA138" s="198">
        <f>IF(AA$2='Active Inputs'!$Q$53,'Cash Flow'!$E$138,0)</f>
        <v>0</v>
      </c>
      <c r="AB138" s="198">
        <f>IF(AB$2='Active Inputs'!$Q$53,'Cash Flow'!$E$138,0)</f>
        <v>0</v>
      </c>
      <c r="AC138" s="198">
        <f>IF(AC$2='Active Inputs'!$Q$53,'Cash Flow'!$E$138,0)</f>
        <v>0</v>
      </c>
      <c r="AD138" s="198">
        <f>IF(AD$2='Active Inputs'!$Q$53,'Cash Flow'!$E$138,0)</f>
        <v>0</v>
      </c>
      <c r="AE138" s="198">
        <f>IF(AE$2='Active Inputs'!$Q$53,'Cash Flow'!$E$138,0)</f>
        <v>0</v>
      </c>
      <c r="AF138" s="198">
        <f>IF(AF$2='Active Inputs'!$Q$53,'Cash Flow'!$E$138,0)</f>
        <v>0</v>
      </c>
      <c r="AG138" s="198">
        <f>IF(AG$2='Active Inputs'!$Q$53,'Cash Flow'!$E$138,0)</f>
        <v>0</v>
      </c>
      <c r="AH138" s="198">
        <f>IF(AH$2='Active Inputs'!$Q$53,'Cash Flow'!$E$138,0)</f>
        <v>0</v>
      </c>
      <c r="AI138" s="198">
        <f>IF(AI$2='Active Inputs'!$Q$53,'Cash Flow'!$E$138,0)</f>
        <v>0</v>
      </c>
      <c r="AJ138" s="198">
        <f>IF(AJ$2='Active Inputs'!$Q$53,'Cash Flow'!$E$138,0)</f>
        <v>0</v>
      </c>
    </row>
    <row r="139" spans="2:36" s="1" customFormat="1">
      <c r="B139" s="188" t="s">
        <v>388</v>
      </c>
      <c r="C139" s="188"/>
      <c r="D139" s="188"/>
      <c r="E139" s="197"/>
      <c r="F139" s="201"/>
      <c r="G139" s="202">
        <f>IF('Active Inputs'!$W$9="host-owned", 0, IF(G138&gt;0,1,IF(F139&gt;0,F139+1,0)))</f>
        <v>0</v>
      </c>
      <c r="H139" s="202">
        <f>IF('Active Inputs'!$W$9="host-owned", 0, IF(H138&gt;0,1,IF(G139&gt;0,G139+1,0)))</f>
        <v>0</v>
      </c>
      <c r="I139" s="202">
        <f>IF('Active Inputs'!$W$9="host-owned", 0, IF(I138&gt;0,1,IF(H139&gt;0,H139+1,0)))</f>
        <v>0</v>
      </c>
      <c r="J139" s="202">
        <f>IF('Active Inputs'!$W$9="host-owned", 0, IF(J138&gt;0,1,IF(I139&gt;0,I139+1,0)))</f>
        <v>0</v>
      </c>
      <c r="K139" s="202">
        <f>IF('Active Inputs'!$W$9="host-owned", 0, IF(K138&gt;0,1,IF(J139&gt;0,J139+1,0)))</f>
        <v>0</v>
      </c>
      <c r="L139" s="202">
        <f>IF('Active Inputs'!$W$9="host-owned", 0, IF(L138&gt;0,1,IF(K139&gt;0,K139+1,0)))</f>
        <v>0</v>
      </c>
      <c r="M139" s="202">
        <f>IF('Active Inputs'!$W$9="host-owned", 0, IF(M138&gt;0,1,IF(L139&gt;0,L139+1,0)))</f>
        <v>0</v>
      </c>
      <c r="N139" s="202">
        <f>IF('Active Inputs'!$W$9="host-owned", 0, IF(N138&gt;0,1,IF(M139&gt;0,M139+1,0)))</f>
        <v>0</v>
      </c>
      <c r="O139" s="202">
        <f>IF('Active Inputs'!$W$9="host-owned", 0, IF(O138&gt;0,1,IF(N139&gt;0,N139+1,0)))</f>
        <v>0</v>
      </c>
      <c r="P139" s="202">
        <f>IF('Active Inputs'!$W$9="host-owned", 0, IF(P138&gt;0,1,IF(O139&gt;0,O139+1,0)))</f>
        <v>0</v>
      </c>
      <c r="Q139" s="202">
        <f>IF('Active Inputs'!$W$9="host-owned", 0, IF(Q138&gt;0,1,IF(P139&gt;0,P139+1,0)))</f>
        <v>0</v>
      </c>
      <c r="R139" s="202">
        <f>IF('Active Inputs'!$W$9="host-owned", 0, IF(R138&gt;0,1,IF(Q139&gt;0,Q139+1,0)))</f>
        <v>0</v>
      </c>
      <c r="S139" s="202">
        <f>IF('Active Inputs'!$W$9="host-owned", 0, IF(S138&gt;0,1,IF(R139&gt;0,R139+1,0)))</f>
        <v>0</v>
      </c>
      <c r="T139" s="202">
        <f>IF('Active Inputs'!$W$9="host-owned", 0, IF(T138&gt;0,1,IF(S139&gt;0,S139+1,0)))</f>
        <v>0</v>
      </c>
      <c r="U139" s="202">
        <f>IF('Active Inputs'!$W$9="host-owned", 0, IF(U138&gt;0,1,IF(T139&gt;0,T139+1,0)))</f>
        <v>0</v>
      </c>
      <c r="V139" s="202">
        <f>IF('Active Inputs'!$W$9="host-owned", 0, IF(V138&gt;0,1,IF(U139&gt;0,U139+1,0)))</f>
        <v>0</v>
      </c>
      <c r="W139" s="202">
        <f>IF('Active Inputs'!$W$9="host-owned", 0, IF(W138&gt;0,1,IF(V139&gt;0,V139+1,0)))</f>
        <v>0</v>
      </c>
      <c r="X139" s="202">
        <f>IF('Active Inputs'!$W$9="host-owned", 0, IF(X138&gt;0,1,IF(W139&gt;0,W139+1,0)))</f>
        <v>0</v>
      </c>
      <c r="Y139" s="202">
        <f>IF('Active Inputs'!$W$9="host-owned", 0, IF(Y138&gt;0,1,IF(X139&gt;0,X139+1,0)))</f>
        <v>0</v>
      </c>
      <c r="Z139" s="202">
        <f>IF('Active Inputs'!$W$9="host-owned", 0, IF(Z138&gt;0,1,IF(Y139&gt;0,Y139+1,0)))</f>
        <v>0</v>
      </c>
      <c r="AA139" s="202">
        <f>IF('Active Inputs'!$W$9="host-owned", 0, IF(AA138&gt;0,1,IF(Z139&gt;0,Z139+1,0)))</f>
        <v>0</v>
      </c>
      <c r="AB139" s="202">
        <f>IF('Active Inputs'!$W$9="host-owned", 0, IF(AB138&gt;0,1,IF(AA139&gt;0,AA139+1,0)))</f>
        <v>0</v>
      </c>
      <c r="AC139" s="202">
        <f>IF('Active Inputs'!$W$9="host-owned", 0, IF(AC138&gt;0,1,IF(AB139&gt;0,AB139+1,0)))</f>
        <v>0</v>
      </c>
      <c r="AD139" s="202">
        <f>IF('Active Inputs'!$W$9="host-owned", 0, IF(AD138&gt;0,1,IF(AC139&gt;0,AC139+1,0)))</f>
        <v>0</v>
      </c>
      <c r="AE139" s="202">
        <f>IF('Active Inputs'!$W$9="host-owned", 0, IF(AE138&gt;0,1,IF(AD139&gt;0,AD139+1,0)))</f>
        <v>0</v>
      </c>
      <c r="AF139" s="202">
        <f>IF('Active Inputs'!$W$9="host-owned", 0, IF(AF138&gt;0,1,IF(AE139&gt;0,AE139+1,0)))</f>
        <v>0</v>
      </c>
      <c r="AG139" s="202">
        <f>IF('Active Inputs'!$W$9="host-owned", 0, IF(AG138&gt;0,1,IF(AF139&gt;0,AF139+1,0)))</f>
        <v>0</v>
      </c>
      <c r="AH139" s="202">
        <f>IF('Active Inputs'!$W$9="host-owned", 0, IF(AH138&gt;0,1,IF(AG139&gt;0,AG139+1,0)))</f>
        <v>0</v>
      </c>
      <c r="AI139" s="202">
        <f>IF('Active Inputs'!$W$9="host-owned", 0, IF(AI138&gt;0,1,IF(AH139&gt;0,AH139+1,0)))</f>
        <v>0</v>
      </c>
      <c r="AJ139" s="202">
        <f>IF('Active Inputs'!$W$9="host-owned", 0, IF(AJ138&gt;0,1,IF(AI139&gt;0,AI139+1,0)))</f>
        <v>0</v>
      </c>
    </row>
    <row r="140" spans="2:36" s="1" customFormat="1">
      <c r="B140" s="199" t="s">
        <v>389</v>
      </c>
      <c r="C140" s="199"/>
      <c r="D140" s="199"/>
      <c r="E140" s="200"/>
      <c r="F140" s="201"/>
      <c r="G140" s="198">
        <f t="shared" ref="G140:AJ140" si="47">IF(G139=0,0,$E$138*LOOKUP(G139,$G$103:$AJ$103,$G$105:$AJ$105))</f>
        <v>0</v>
      </c>
      <c r="H140" s="198">
        <f t="shared" si="47"/>
        <v>0</v>
      </c>
      <c r="I140" s="198">
        <f t="shared" si="47"/>
        <v>0</v>
      </c>
      <c r="J140" s="198">
        <f t="shared" si="47"/>
        <v>0</v>
      </c>
      <c r="K140" s="198">
        <f t="shared" si="47"/>
        <v>0</v>
      </c>
      <c r="L140" s="198">
        <f t="shared" si="47"/>
        <v>0</v>
      </c>
      <c r="M140" s="198">
        <f t="shared" si="47"/>
        <v>0</v>
      </c>
      <c r="N140" s="198">
        <f t="shared" si="47"/>
        <v>0</v>
      </c>
      <c r="O140" s="198">
        <f t="shared" si="47"/>
        <v>0</v>
      </c>
      <c r="P140" s="198">
        <f t="shared" si="47"/>
        <v>0</v>
      </c>
      <c r="Q140" s="198">
        <f t="shared" si="47"/>
        <v>0</v>
      </c>
      <c r="R140" s="198">
        <f t="shared" si="47"/>
        <v>0</v>
      </c>
      <c r="S140" s="198">
        <f t="shared" si="47"/>
        <v>0</v>
      </c>
      <c r="T140" s="198">
        <f t="shared" si="47"/>
        <v>0</v>
      </c>
      <c r="U140" s="198">
        <f t="shared" si="47"/>
        <v>0</v>
      </c>
      <c r="V140" s="198">
        <f t="shared" si="47"/>
        <v>0</v>
      </c>
      <c r="W140" s="198">
        <f t="shared" si="47"/>
        <v>0</v>
      </c>
      <c r="X140" s="198">
        <f t="shared" si="47"/>
        <v>0</v>
      </c>
      <c r="Y140" s="198">
        <f t="shared" si="47"/>
        <v>0</v>
      </c>
      <c r="Z140" s="198">
        <f t="shared" si="47"/>
        <v>0</v>
      </c>
      <c r="AA140" s="198">
        <f t="shared" si="47"/>
        <v>0</v>
      </c>
      <c r="AB140" s="198">
        <f t="shared" si="47"/>
        <v>0</v>
      </c>
      <c r="AC140" s="198">
        <f t="shared" si="47"/>
        <v>0</v>
      </c>
      <c r="AD140" s="198">
        <f t="shared" si="47"/>
        <v>0</v>
      </c>
      <c r="AE140" s="198">
        <f t="shared" si="47"/>
        <v>0</v>
      </c>
      <c r="AF140" s="198">
        <f t="shared" si="47"/>
        <v>0</v>
      </c>
      <c r="AG140" s="198">
        <f t="shared" si="47"/>
        <v>0</v>
      </c>
      <c r="AH140" s="198">
        <f t="shared" si="47"/>
        <v>0</v>
      </c>
      <c r="AI140" s="198">
        <f t="shared" si="47"/>
        <v>0</v>
      </c>
      <c r="AJ140" s="198">
        <f t="shared" si="47"/>
        <v>0</v>
      </c>
    </row>
    <row r="141" spans="2:36" s="1" customFormat="1">
      <c r="B141" s="188" t="s">
        <v>391</v>
      </c>
      <c r="C141" s="188"/>
      <c r="D141" s="188"/>
      <c r="E141" s="197">
        <f>'Active Inputs'!$Q$56*'Active Inputs'!$G$7</f>
        <v>0</v>
      </c>
      <c r="F141" s="201"/>
      <c r="G141" s="198">
        <f>IF(G$2='Active Inputs'!$Q$55,'Cash Flow'!$E$141,0)</f>
        <v>0</v>
      </c>
      <c r="H141" s="198">
        <f>IF(H$2='Active Inputs'!$Q$55,'Cash Flow'!$E$141,0)</f>
        <v>0</v>
      </c>
      <c r="I141" s="198">
        <f>IF(I$2='Active Inputs'!$Q$55,'Cash Flow'!$E$141,0)</f>
        <v>0</v>
      </c>
      <c r="J141" s="198">
        <f>IF(J$2='Active Inputs'!$Q$55,'Cash Flow'!$E$141,0)</f>
        <v>0</v>
      </c>
      <c r="K141" s="198">
        <f>IF(K$2='Active Inputs'!$Q$55,'Cash Flow'!$E$141,0)</f>
        <v>0</v>
      </c>
      <c r="L141" s="198">
        <f>IF(L$2='Active Inputs'!$Q$55,'Cash Flow'!$E$141,0)</f>
        <v>0</v>
      </c>
      <c r="M141" s="198">
        <f>IF(M$2='Active Inputs'!$Q$55,'Cash Flow'!$E$141,0)</f>
        <v>0</v>
      </c>
      <c r="N141" s="198">
        <f>IF(N$2='Active Inputs'!$Q$55,'Cash Flow'!$E$141,0)</f>
        <v>0</v>
      </c>
      <c r="O141" s="198">
        <f>IF(O$2='Active Inputs'!$Q$55,'Cash Flow'!$E$141,0)</f>
        <v>0</v>
      </c>
      <c r="P141" s="198">
        <f>IF(P$2='Active Inputs'!$Q$55,'Cash Flow'!$E$141,0)</f>
        <v>0</v>
      </c>
      <c r="Q141" s="198">
        <f>IF(Q$2='Active Inputs'!$Q$55,'Cash Flow'!$E$141,0)</f>
        <v>0</v>
      </c>
      <c r="R141" s="198">
        <f>IF(R$2='Active Inputs'!$Q$55,'Cash Flow'!$E$141,0)</f>
        <v>0</v>
      </c>
      <c r="S141" s="198">
        <f>IF(S$2='Active Inputs'!$Q$55,'Cash Flow'!$E$141,0)</f>
        <v>0</v>
      </c>
      <c r="T141" s="198">
        <f>IF(T$2='Active Inputs'!$Q$55,'Cash Flow'!$E$141,0)</f>
        <v>0</v>
      </c>
      <c r="U141" s="198">
        <f>IF(U$2='Active Inputs'!$Q$55,'Cash Flow'!$E$141,0)</f>
        <v>0</v>
      </c>
      <c r="V141" s="198">
        <f>IF(V$2='Active Inputs'!$Q$55,'Cash Flow'!$E$141,0)</f>
        <v>0</v>
      </c>
      <c r="W141" s="198">
        <f>IF(W$2='Active Inputs'!$Q$55,'Cash Flow'!$E$141,0)</f>
        <v>0</v>
      </c>
      <c r="X141" s="198">
        <f>IF(X$2='Active Inputs'!$Q$55,'Cash Flow'!$E$141,0)</f>
        <v>0</v>
      </c>
      <c r="Y141" s="198">
        <f>IF(Y$2='Active Inputs'!$Q$55,'Cash Flow'!$E$141,0)</f>
        <v>0</v>
      </c>
      <c r="Z141" s="198">
        <f>IF(Z$2='Active Inputs'!$Q$55,'Cash Flow'!$E$141,0)</f>
        <v>0</v>
      </c>
      <c r="AA141" s="198">
        <f>IF(AA$2='Active Inputs'!$Q$55,'Cash Flow'!$E$141,0)</f>
        <v>0</v>
      </c>
      <c r="AB141" s="198">
        <f>IF(AB$2='Active Inputs'!$Q$55,'Cash Flow'!$E$141,0)</f>
        <v>0</v>
      </c>
      <c r="AC141" s="198">
        <f>IF(AC$2='Active Inputs'!$Q$55,'Cash Flow'!$E$141,0)</f>
        <v>0</v>
      </c>
      <c r="AD141" s="198">
        <f>IF(AD$2='Active Inputs'!$Q$55,'Cash Flow'!$E$141,0)</f>
        <v>0</v>
      </c>
      <c r="AE141" s="198">
        <f>IF(AE$2='Active Inputs'!$Q$55,'Cash Flow'!$E$141,0)</f>
        <v>0</v>
      </c>
      <c r="AF141" s="198">
        <f>IF(AF$2='Active Inputs'!$Q$55,'Cash Flow'!$E$141,0)</f>
        <v>0</v>
      </c>
      <c r="AG141" s="198">
        <f>IF(AG$2='Active Inputs'!$Q$55,'Cash Flow'!$E$141,0)</f>
        <v>0</v>
      </c>
      <c r="AH141" s="198">
        <f>IF(AH$2='Active Inputs'!$Q$55,'Cash Flow'!$E$141,0)</f>
        <v>0</v>
      </c>
      <c r="AI141" s="198">
        <f>IF(AI$2='Active Inputs'!$Q$55,'Cash Flow'!$E$141,0)</f>
        <v>0</v>
      </c>
      <c r="AJ141" s="198">
        <f>IF(AJ$2='Active Inputs'!$Q$55,'Cash Flow'!$E$141,0)</f>
        <v>0</v>
      </c>
    </row>
    <row r="142" spans="2:36" s="1" customFormat="1">
      <c r="B142" s="188" t="s">
        <v>388</v>
      </c>
      <c r="C142" s="188"/>
      <c r="D142" s="188"/>
      <c r="E142" s="197"/>
      <c r="F142" s="201"/>
      <c r="G142" s="202">
        <f>IF('Active Inputs'!$W$9="host-owned", 0, IF(G141&gt;0,1,IF(F142&gt;0,F142+1,0)))</f>
        <v>0</v>
      </c>
      <c r="H142" s="202">
        <f>IF('Active Inputs'!$W$9="host-owned", 0, IF(H141&gt;0,1,IF(G142&gt;0,G142+1,0)))</f>
        <v>0</v>
      </c>
      <c r="I142" s="202">
        <f>IF('Active Inputs'!$W$9="host-owned", 0, IF(I141&gt;0,1,IF(H142&gt;0,H142+1,0)))</f>
        <v>0</v>
      </c>
      <c r="J142" s="202">
        <f>IF('Active Inputs'!$W$9="host-owned", 0, IF(J141&gt;0,1,IF(I142&gt;0,I142+1,0)))</f>
        <v>0</v>
      </c>
      <c r="K142" s="202">
        <f>IF('Active Inputs'!$W$9="host-owned", 0, IF(K141&gt;0,1,IF(J142&gt;0,J142+1,0)))</f>
        <v>0</v>
      </c>
      <c r="L142" s="202">
        <f>IF('Active Inputs'!$W$9="host-owned", 0, IF(L141&gt;0,1,IF(K142&gt;0,K142+1,0)))</f>
        <v>0</v>
      </c>
      <c r="M142" s="202">
        <f>IF('Active Inputs'!$W$9="host-owned", 0, IF(M141&gt;0,1,IF(L142&gt;0,L142+1,0)))</f>
        <v>0</v>
      </c>
      <c r="N142" s="202">
        <f>IF('Active Inputs'!$W$9="host-owned", 0, IF(N141&gt;0,1,IF(M142&gt;0,M142+1,0)))</f>
        <v>0</v>
      </c>
      <c r="O142" s="202">
        <f>IF('Active Inputs'!$W$9="host-owned", 0, IF(O141&gt;0,1,IF(N142&gt;0,N142+1,0)))</f>
        <v>0</v>
      </c>
      <c r="P142" s="202">
        <f>IF('Active Inputs'!$W$9="host-owned", 0, IF(P141&gt;0,1,IF(O142&gt;0,O142+1,0)))</f>
        <v>0</v>
      </c>
      <c r="Q142" s="202">
        <f>IF('Active Inputs'!$W$9="host-owned", 0, IF(Q141&gt;0,1,IF(P142&gt;0,P142+1,0)))</f>
        <v>0</v>
      </c>
      <c r="R142" s="202">
        <f>IF('Active Inputs'!$W$9="host-owned", 0, IF(R141&gt;0,1,IF(Q142&gt;0,Q142+1,0)))</f>
        <v>0</v>
      </c>
      <c r="S142" s="202">
        <f>IF('Active Inputs'!$W$9="host-owned", 0, IF(S141&gt;0,1,IF(R142&gt;0,R142+1,0)))</f>
        <v>0</v>
      </c>
      <c r="T142" s="202">
        <f>IF('Active Inputs'!$W$9="host-owned", 0, IF(T141&gt;0,1,IF(S142&gt;0,S142+1,0)))</f>
        <v>0</v>
      </c>
      <c r="U142" s="202">
        <f>IF('Active Inputs'!$W$9="host-owned", 0, IF(U141&gt;0,1,IF(T142&gt;0,T142+1,0)))</f>
        <v>0</v>
      </c>
      <c r="V142" s="202">
        <f>IF('Active Inputs'!$W$9="host-owned", 0, IF(V141&gt;0,1,IF(U142&gt;0,U142+1,0)))</f>
        <v>0</v>
      </c>
      <c r="W142" s="202">
        <f>IF('Active Inputs'!$W$9="host-owned", 0, IF(W141&gt;0,1,IF(V142&gt;0,V142+1,0)))</f>
        <v>0</v>
      </c>
      <c r="X142" s="202">
        <f>IF('Active Inputs'!$W$9="host-owned", 0, IF(X141&gt;0,1,IF(W142&gt;0,W142+1,0)))</f>
        <v>0</v>
      </c>
      <c r="Y142" s="202">
        <f>IF('Active Inputs'!$W$9="host-owned", 0, IF(Y141&gt;0,1,IF(X142&gt;0,X142+1,0)))</f>
        <v>0</v>
      </c>
      <c r="Z142" s="202">
        <f>IF('Active Inputs'!$W$9="host-owned", 0, IF(Z141&gt;0,1,IF(Y142&gt;0,Y142+1,0)))</f>
        <v>0</v>
      </c>
      <c r="AA142" s="202">
        <f>IF('Active Inputs'!$W$9="host-owned", 0, IF(AA141&gt;0,1,IF(Z142&gt;0,Z142+1,0)))</f>
        <v>0</v>
      </c>
      <c r="AB142" s="202">
        <f>IF('Active Inputs'!$W$9="host-owned", 0, IF(AB141&gt;0,1,IF(AA142&gt;0,AA142+1,0)))</f>
        <v>0</v>
      </c>
      <c r="AC142" s="202">
        <f>IF('Active Inputs'!$W$9="host-owned", 0, IF(AC141&gt;0,1,IF(AB142&gt;0,AB142+1,0)))</f>
        <v>0</v>
      </c>
      <c r="AD142" s="202">
        <f>IF('Active Inputs'!$W$9="host-owned", 0, IF(AD141&gt;0,1,IF(AC142&gt;0,AC142+1,0)))</f>
        <v>0</v>
      </c>
      <c r="AE142" s="202">
        <f>IF('Active Inputs'!$W$9="host-owned", 0, IF(AE141&gt;0,1,IF(AD142&gt;0,AD142+1,0)))</f>
        <v>0</v>
      </c>
      <c r="AF142" s="202">
        <f>IF('Active Inputs'!$W$9="host-owned", 0, IF(AF141&gt;0,1,IF(AE142&gt;0,AE142+1,0)))</f>
        <v>0</v>
      </c>
      <c r="AG142" s="202">
        <f>IF('Active Inputs'!$W$9="host-owned", 0, IF(AG141&gt;0,1,IF(AF142&gt;0,AF142+1,0)))</f>
        <v>0</v>
      </c>
      <c r="AH142" s="202">
        <f>IF('Active Inputs'!$W$9="host-owned", 0, IF(AH141&gt;0,1,IF(AG142&gt;0,AG142+1,0)))</f>
        <v>0</v>
      </c>
      <c r="AI142" s="202">
        <f>IF('Active Inputs'!$W$9="host-owned", 0, IF(AI141&gt;0,1,IF(AH142&gt;0,AH142+1,0)))</f>
        <v>0</v>
      </c>
      <c r="AJ142" s="202">
        <f>IF('Active Inputs'!$W$9="host-owned", 0, IF(AJ141&gt;0,1,IF(AI142&gt;0,AI142+1,0)))</f>
        <v>0</v>
      </c>
    </row>
    <row r="143" spans="2:36" s="1" customFormat="1">
      <c r="B143" s="199" t="s">
        <v>389</v>
      </c>
      <c r="C143" s="199"/>
      <c r="D143" s="199"/>
      <c r="E143" s="200"/>
      <c r="F143" s="201"/>
      <c r="G143" s="198">
        <f>IF(G142=0,0,$E$141*LOOKUP(G142,$G$103:$AJ$103,$G$105:$AJ$105))</f>
        <v>0</v>
      </c>
      <c r="H143" s="198">
        <f t="shared" ref="H143:AJ143" si="48">IF(H142=0,0,$E$141*LOOKUP(H142,$G$103:$AJ$103,$G$105:$AJ$105))</f>
        <v>0</v>
      </c>
      <c r="I143" s="198">
        <f t="shared" si="48"/>
        <v>0</v>
      </c>
      <c r="J143" s="198">
        <f t="shared" si="48"/>
        <v>0</v>
      </c>
      <c r="K143" s="198">
        <f t="shared" si="48"/>
        <v>0</v>
      </c>
      <c r="L143" s="198">
        <f t="shared" si="48"/>
        <v>0</v>
      </c>
      <c r="M143" s="198">
        <f t="shared" si="48"/>
        <v>0</v>
      </c>
      <c r="N143" s="198">
        <f t="shared" si="48"/>
        <v>0</v>
      </c>
      <c r="O143" s="198">
        <f t="shared" si="48"/>
        <v>0</v>
      </c>
      <c r="P143" s="198">
        <f t="shared" si="48"/>
        <v>0</v>
      </c>
      <c r="Q143" s="198">
        <f t="shared" si="48"/>
        <v>0</v>
      </c>
      <c r="R143" s="198">
        <f t="shared" si="48"/>
        <v>0</v>
      </c>
      <c r="S143" s="198">
        <f t="shared" si="48"/>
        <v>0</v>
      </c>
      <c r="T143" s="198">
        <f t="shared" si="48"/>
        <v>0</v>
      </c>
      <c r="U143" s="198">
        <f t="shared" si="48"/>
        <v>0</v>
      </c>
      <c r="V143" s="198">
        <f t="shared" si="48"/>
        <v>0</v>
      </c>
      <c r="W143" s="198">
        <f t="shared" si="48"/>
        <v>0</v>
      </c>
      <c r="X143" s="198">
        <f t="shared" si="48"/>
        <v>0</v>
      </c>
      <c r="Y143" s="198">
        <f t="shared" si="48"/>
        <v>0</v>
      </c>
      <c r="Z143" s="198">
        <f t="shared" si="48"/>
        <v>0</v>
      </c>
      <c r="AA143" s="198">
        <f t="shared" si="48"/>
        <v>0</v>
      </c>
      <c r="AB143" s="198">
        <f t="shared" si="48"/>
        <v>0</v>
      </c>
      <c r="AC143" s="198">
        <f t="shared" si="48"/>
        <v>0</v>
      </c>
      <c r="AD143" s="198">
        <f t="shared" si="48"/>
        <v>0</v>
      </c>
      <c r="AE143" s="198">
        <f t="shared" si="48"/>
        <v>0</v>
      </c>
      <c r="AF143" s="198">
        <f t="shared" si="48"/>
        <v>0</v>
      </c>
      <c r="AG143" s="198">
        <f t="shared" si="48"/>
        <v>0</v>
      </c>
      <c r="AH143" s="198">
        <f t="shared" si="48"/>
        <v>0</v>
      </c>
      <c r="AI143" s="198">
        <f t="shared" si="48"/>
        <v>0</v>
      </c>
      <c r="AJ143" s="198">
        <f t="shared" si="48"/>
        <v>0</v>
      </c>
    </row>
    <row r="144" spans="2:36" s="1" customFormat="1">
      <c r="B144" s="188" t="s">
        <v>392</v>
      </c>
      <c r="C144" s="188"/>
      <c r="D144" s="188"/>
      <c r="E144" s="197">
        <f>'Active Inputs'!$Q$58*'Active Inputs'!$G$7</f>
        <v>0</v>
      </c>
      <c r="F144" s="201"/>
      <c r="G144" s="198">
        <f>IF(G$2='Active Inputs'!$Q$57,'Cash Flow'!$E$144,0)</f>
        <v>0</v>
      </c>
      <c r="H144" s="198">
        <f>IF(H$2='Active Inputs'!$Q$57,'Cash Flow'!$E$144,0)</f>
        <v>0</v>
      </c>
      <c r="I144" s="198">
        <f>IF(I$2='Active Inputs'!$Q$57,'Cash Flow'!$E$144,0)</f>
        <v>0</v>
      </c>
      <c r="J144" s="198">
        <f>IF(J$2='Active Inputs'!$Q$57,'Cash Flow'!$E$144,0)</f>
        <v>0</v>
      </c>
      <c r="K144" s="198">
        <f>IF(K$2='Active Inputs'!$Q$57,'Cash Flow'!$E$144,0)</f>
        <v>0</v>
      </c>
      <c r="L144" s="198">
        <f>IF(L$2='Active Inputs'!$Q$57,'Cash Flow'!$E$144,0)</f>
        <v>0</v>
      </c>
      <c r="M144" s="198">
        <f>IF(M$2='Active Inputs'!$Q$57,'Cash Flow'!$E$144,0)</f>
        <v>0</v>
      </c>
      <c r="N144" s="198">
        <f>IF(N$2='Active Inputs'!$Q$57,'Cash Flow'!$E$144,0)</f>
        <v>0</v>
      </c>
      <c r="O144" s="198">
        <f>IF(O$2='Active Inputs'!$Q$57,'Cash Flow'!$E$144,0)</f>
        <v>0</v>
      </c>
      <c r="P144" s="198">
        <f>IF(P$2='Active Inputs'!$Q$57,'Cash Flow'!$E$144,0)</f>
        <v>0</v>
      </c>
      <c r="Q144" s="198">
        <f>IF(Q$2='Active Inputs'!$Q$57,'Cash Flow'!$E$144,0)</f>
        <v>0</v>
      </c>
      <c r="R144" s="198">
        <f>IF(R$2='Active Inputs'!$Q$57,'Cash Flow'!$E$144,0)</f>
        <v>0</v>
      </c>
      <c r="S144" s="198">
        <f>IF(S$2='Active Inputs'!$Q$57,'Cash Flow'!$E$144,0)</f>
        <v>0</v>
      </c>
      <c r="T144" s="198">
        <f>IF(T$2='Active Inputs'!$Q$57,'Cash Flow'!$E$144,0)</f>
        <v>0</v>
      </c>
      <c r="U144" s="198">
        <f>IF(U$2='Active Inputs'!$Q$57,'Cash Flow'!$E$144,0)</f>
        <v>0</v>
      </c>
      <c r="V144" s="198">
        <f>IF(V$2='Active Inputs'!$Q$57,'Cash Flow'!$E$144,0)</f>
        <v>0</v>
      </c>
      <c r="W144" s="198">
        <f>IF(W$2='Active Inputs'!$Q$57,'Cash Flow'!$E$144,0)</f>
        <v>0</v>
      </c>
      <c r="X144" s="198">
        <f>IF(X$2='Active Inputs'!$Q$57,'Cash Flow'!$E$144,0)</f>
        <v>0</v>
      </c>
      <c r="Y144" s="198">
        <f>IF(Y$2='Active Inputs'!$Q$57,'Cash Flow'!$E$144,0)</f>
        <v>0</v>
      </c>
      <c r="Z144" s="198">
        <f>IF(Z$2='Active Inputs'!$Q$57,'Cash Flow'!$E$144,0)</f>
        <v>0</v>
      </c>
      <c r="AA144" s="198">
        <f>IF(AA$2='Active Inputs'!$Q$57,'Cash Flow'!$E$144,0)</f>
        <v>0</v>
      </c>
      <c r="AB144" s="198">
        <f>IF(AB$2='Active Inputs'!$Q$57,'Cash Flow'!$E$144,0)</f>
        <v>0</v>
      </c>
      <c r="AC144" s="198">
        <f>IF(AC$2='Active Inputs'!$Q$57,'Cash Flow'!$E$144,0)</f>
        <v>0</v>
      </c>
      <c r="AD144" s="198">
        <f>IF(AD$2='Active Inputs'!$Q$57,'Cash Flow'!$E$144,0)</f>
        <v>0</v>
      </c>
      <c r="AE144" s="198">
        <f>IF(AE$2='Active Inputs'!$Q$57,'Cash Flow'!$E$144,0)</f>
        <v>0</v>
      </c>
      <c r="AF144" s="198">
        <f>IF(AF$2='Active Inputs'!$Q$57,'Cash Flow'!$E$144,0)</f>
        <v>0</v>
      </c>
      <c r="AG144" s="198">
        <f>IF(AG$2='Active Inputs'!$Q$57,'Cash Flow'!$E$144,0)</f>
        <v>0</v>
      </c>
      <c r="AH144" s="198">
        <f>IF(AH$2='Active Inputs'!$Q$57,'Cash Flow'!$E$144,0)</f>
        <v>0</v>
      </c>
      <c r="AI144" s="198">
        <f>IF(AI$2='Active Inputs'!$Q$57,'Cash Flow'!$E$144,0)</f>
        <v>0</v>
      </c>
      <c r="AJ144" s="198">
        <f>IF(AJ$2='Active Inputs'!$Q$57,'Cash Flow'!$E$144,0)</f>
        <v>0</v>
      </c>
    </row>
    <row r="145" spans="2:36" s="1" customFormat="1">
      <c r="B145" s="188" t="s">
        <v>388</v>
      </c>
      <c r="C145" s="188"/>
      <c r="D145" s="188"/>
      <c r="E145" s="197"/>
      <c r="F145" s="201"/>
      <c r="G145" s="202">
        <f>IF('Active Inputs'!$W$9="host-owned", 0, IF(G144&gt;0,1,IF(F145&gt;0,F145+1,0)))</f>
        <v>0</v>
      </c>
      <c r="H145" s="202">
        <f>IF('Active Inputs'!$W$9="host-owned", 0, IF(H144&gt;0,1,IF(G145&gt;0,G145+1,0)))</f>
        <v>0</v>
      </c>
      <c r="I145" s="202">
        <f>IF('Active Inputs'!$W$9="host-owned", 0, IF(I144&gt;0,1,IF(H145&gt;0,H145+1,0)))</f>
        <v>0</v>
      </c>
      <c r="J145" s="202">
        <f>IF('Active Inputs'!$W$9="host-owned", 0, IF(J144&gt;0,1,IF(I145&gt;0,I145+1,0)))</f>
        <v>0</v>
      </c>
      <c r="K145" s="202">
        <f>IF('Active Inputs'!$W$9="host-owned", 0, IF(K144&gt;0,1,IF(J145&gt;0,J145+1,0)))</f>
        <v>0</v>
      </c>
      <c r="L145" s="202">
        <f>IF('Active Inputs'!$W$9="host-owned", 0, IF(L144&gt;0,1,IF(K145&gt;0,K145+1,0)))</f>
        <v>0</v>
      </c>
      <c r="M145" s="202">
        <f>IF('Active Inputs'!$W$9="host-owned", 0, IF(M144&gt;0,1,IF(L145&gt;0,L145+1,0)))</f>
        <v>0</v>
      </c>
      <c r="N145" s="202">
        <f>IF('Active Inputs'!$W$9="host-owned", 0, IF(N144&gt;0,1,IF(M145&gt;0,M145+1,0)))</f>
        <v>0</v>
      </c>
      <c r="O145" s="202">
        <f>IF('Active Inputs'!$W$9="host-owned", 0, IF(O144&gt;0,1,IF(N145&gt;0,N145+1,0)))</f>
        <v>0</v>
      </c>
      <c r="P145" s="202">
        <f>IF('Active Inputs'!$W$9="host-owned", 0, IF(P144&gt;0,1,IF(O145&gt;0,O145+1,0)))</f>
        <v>0</v>
      </c>
      <c r="Q145" s="202">
        <f>IF('Active Inputs'!$W$9="host-owned", 0, IF(Q144&gt;0,1,IF(P145&gt;0,P145+1,0)))</f>
        <v>0</v>
      </c>
      <c r="R145" s="202">
        <f>IF('Active Inputs'!$W$9="host-owned", 0, IF(R144&gt;0,1,IF(Q145&gt;0,Q145+1,0)))</f>
        <v>0</v>
      </c>
      <c r="S145" s="202">
        <f>IF('Active Inputs'!$W$9="host-owned", 0, IF(S144&gt;0,1,IF(R145&gt;0,R145+1,0)))</f>
        <v>0</v>
      </c>
      <c r="T145" s="202">
        <f>IF('Active Inputs'!$W$9="host-owned", 0, IF(T144&gt;0,1,IF(S145&gt;0,S145+1,0)))</f>
        <v>0</v>
      </c>
      <c r="U145" s="202">
        <f>IF('Active Inputs'!$W$9="host-owned", 0, IF(U144&gt;0,1,IF(T145&gt;0,T145+1,0)))</f>
        <v>0</v>
      </c>
      <c r="V145" s="202">
        <f>IF('Active Inputs'!$W$9="host-owned", 0, IF(V144&gt;0,1,IF(U145&gt;0,U145+1,0)))</f>
        <v>0</v>
      </c>
      <c r="W145" s="202">
        <f>IF('Active Inputs'!$W$9="host-owned", 0, IF(W144&gt;0,1,IF(V145&gt;0,V145+1,0)))</f>
        <v>0</v>
      </c>
      <c r="X145" s="202">
        <f>IF('Active Inputs'!$W$9="host-owned", 0, IF(X144&gt;0,1,IF(W145&gt;0,W145+1,0)))</f>
        <v>0</v>
      </c>
      <c r="Y145" s="202">
        <f>IF('Active Inputs'!$W$9="host-owned", 0, IF(Y144&gt;0,1,IF(X145&gt;0,X145+1,0)))</f>
        <v>0</v>
      </c>
      <c r="Z145" s="202">
        <f>IF('Active Inputs'!$W$9="host-owned", 0, IF(Z144&gt;0,1,IF(Y145&gt;0,Y145+1,0)))</f>
        <v>0</v>
      </c>
      <c r="AA145" s="202">
        <f>IF('Active Inputs'!$W$9="host-owned", 0, IF(AA144&gt;0,1,IF(Z145&gt;0,Z145+1,0)))</f>
        <v>0</v>
      </c>
      <c r="AB145" s="202">
        <f>IF('Active Inputs'!$W$9="host-owned", 0, IF(AB144&gt;0,1,IF(AA145&gt;0,AA145+1,0)))</f>
        <v>0</v>
      </c>
      <c r="AC145" s="202">
        <f>IF('Active Inputs'!$W$9="host-owned", 0, IF(AC144&gt;0,1,IF(AB145&gt;0,AB145+1,0)))</f>
        <v>0</v>
      </c>
      <c r="AD145" s="202">
        <f>IF('Active Inputs'!$W$9="host-owned", 0, IF(AD144&gt;0,1,IF(AC145&gt;0,AC145+1,0)))</f>
        <v>0</v>
      </c>
      <c r="AE145" s="202">
        <f>IF('Active Inputs'!$W$9="host-owned", 0, IF(AE144&gt;0,1,IF(AD145&gt;0,AD145+1,0)))</f>
        <v>0</v>
      </c>
      <c r="AF145" s="202">
        <f>IF('Active Inputs'!$W$9="host-owned", 0, IF(AF144&gt;0,1,IF(AE145&gt;0,AE145+1,0)))</f>
        <v>0</v>
      </c>
      <c r="AG145" s="202">
        <f>IF('Active Inputs'!$W$9="host-owned", 0, IF(AG144&gt;0,1,IF(AF145&gt;0,AF145+1,0)))</f>
        <v>0</v>
      </c>
      <c r="AH145" s="202">
        <f>IF('Active Inputs'!$W$9="host-owned", 0, IF(AH144&gt;0,1,IF(AG145&gt;0,AG145+1,0)))</f>
        <v>0</v>
      </c>
      <c r="AI145" s="202">
        <f>IF('Active Inputs'!$W$9="host-owned", 0, IF(AI144&gt;0,1,IF(AH145&gt;0,AH145+1,0)))</f>
        <v>0</v>
      </c>
      <c r="AJ145" s="202">
        <f>IF('Active Inputs'!$W$9="host-owned", 0, IF(AJ144&gt;0,1,IF(AI145&gt;0,AI145+1,0)))</f>
        <v>0</v>
      </c>
    </row>
    <row r="146" spans="2:36" s="1" customFormat="1">
      <c r="B146" s="199" t="s">
        <v>389</v>
      </c>
      <c r="C146" s="199"/>
      <c r="D146" s="199"/>
      <c r="E146" s="200"/>
      <c r="F146" s="201"/>
      <c r="G146" s="198">
        <f>IF(G145=0,0,$E$144*LOOKUP(G145,$G$103:$AJ$103,$G$105:$AJ$105))</f>
        <v>0</v>
      </c>
      <c r="H146" s="198">
        <f t="shared" ref="H146:AJ146" si="49">IF(H145=0,0,$E$144*LOOKUP(H145,$G$103:$AJ$103,$G$105:$AJ$105))</f>
        <v>0</v>
      </c>
      <c r="I146" s="198">
        <f t="shared" si="49"/>
        <v>0</v>
      </c>
      <c r="J146" s="198">
        <f t="shared" si="49"/>
        <v>0</v>
      </c>
      <c r="K146" s="198">
        <f t="shared" si="49"/>
        <v>0</v>
      </c>
      <c r="L146" s="198">
        <f t="shared" si="49"/>
        <v>0</v>
      </c>
      <c r="M146" s="198">
        <f t="shared" si="49"/>
        <v>0</v>
      </c>
      <c r="N146" s="198">
        <f t="shared" si="49"/>
        <v>0</v>
      </c>
      <c r="O146" s="198">
        <f t="shared" si="49"/>
        <v>0</v>
      </c>
      <c r="P146" s="198">
        <f t="shared" si="49"/>
        <v>0</v>
      </c>
      <c r="Q146" s="198">
        <f t="shared" si="49"/>
        <v>0</v>
      </c>
      <c r="R146" s="198">
        <f t="shared" si="49"/>
        <v>0</v>
      </c>
      <c r="S146" s="198">
        <f t="shared" si="49"/>
        <v>0</v>
      </c>
      <c r="T146" s="198">
        <f t="shared" si="49"/>
        <v>0</v>
      </c>
      <c r="U146" s="198">
        <f t="shared" si="49"/>
        <v>0</v>
      </c>
      <c r="V146" s="198">
        <f t="shared" si="49"/>
        <v>0</v>
      </c>
      <c r="W146" s="198">
        <f t="shared" si="49"/>
        <v>0</v>
      </c>
      <c r="X146" s="198">
        <f t="shared" si="49"/>
        <v>0</v>
      </c>
      <c r="Y146" s="198">
        <f t="shared" si="49"/>
        <v>0</v>
      </c>
      <c r="Z146" s="198">
        <f t="shared" si="49"/>
        <v>0</v>
      </c>
      <c r="AA146" s="198">
        <f t="shared" si="49"/>
        <v>0</v>
      </c>
      <c r="AB146" s="198">
        <f t="shared" si="49"/>
        <v>0</v>
      </c>
      <c r="AC146" s="198">
        <f t="shared" si="49"/>
        <v>0</v>
      </c>
      <c r="AD146" s="198">
        <f t="shared" si="49"/>
        <v>0</v>
      </c>
      <c r="AE146" s="198">
        <f t="shared" si="49"/>
        <v>0</v>
      </c>
      <c r="AF146" s="198">
        <f t="shared" si="49"/>
        <v>0</v>
      </c>
      <c r="AG146" s="198">
        <f t="shared" si="49"/>
        <v>0</v>
      </c>
      <c r="AH146" s="198">
        <f t="shared" si="49"/>
        <v>0</v>
      </c>
      <c r="AI146" s="198">
        <f t="shared" si="49"/>
        <v>0</v>
      </c>
      <c r="AJ146" s="198">
        <f t="shared" si="49"/>
        <v>0</v>
      </c>
    </row>
    <row r="147" spans="2:36" s="1" customFormat="1">
      <c r="B147" s="188"/>
      <c r="C147" s="188"/>
      <c r="D147" s="188"/>
      <c r="E147" s="197"/>
      <c r="F147" s="201"/>
      <c r="G147" s="198"/>
      <c r="H147" s="198"/>
      <c r="I147" s="198"/>
      <c r="J147" s="198"/>
      <c r="K147" s="198"/>
      <c r="L147" s="198"/>
      <c r="M147" s="198"/>
      <c r="N147" s="198"/>
      <c r="O147" s="198"/>
      <c r="P147" s="198"/>
      <c r="Q147" s="198"/>
      <c r="R147" s="198"/>
      <c r="S147" s="198"/>
      <c r="T147" s="198"/>
      <c r="U147" s="198"/>
      <c r="V147" s="198"/>
      <c r="W147" s="198"/>
      <c r="X147" s="198"/>
      <c r="Y147" s="198"/>
      <c r="Z147" s="198"/>
      <c r="AA147" s="198"/>
      <c r="AB147" s="198"/>
      <c r="AC147" s="198"/>
      <c r="AD147" s="198"/>
      <c r="AE147" s="198"/>
      <c r="AF147" s="198"/>
      <c r="AG147" s="198"/>
      <c r="AH147" s="198"/>
      <c r="AI147" s="198"/>
      <c r="AJ147" s="198"/>
    </row>
    <row r="148" spans="2:36" s="1" customFormat="1">
      <c r="B148" s="188" t="s">
        <v>393</v>
      </c>
      <c r="C148" s="188"/>
      <c r="D148" s="188"/>
      <c r="E148" s="197"/>
      <c r="F148" s="229"/>
      <c r="G148" s="203">
        <f>IF(AND('Active Inputs'!$G$72="Yes",G$2&lt;='Active Inputs'!$G$11),SUM('Cash Flow'!G122:G130)+G137+G140+G143+G146,0)</f>
        <v>2033553.4605256224</v>
      </c>
      <c r="H148" s="203">
        <f>IF(AND('Active Inputs'!$G$72="Yes",H$2&lt;='Active Inputs'!$G$11),SUM('Cash Flow'!H122:H130)+H137+H140+H143+H146,0)</f>
        <v>3259404.5736183324</v>
      </c>
      <c r="I148" s="203">
        <f>IF(AND('Active Inputs'!$G$72="Yes",I$2&lt;='Active Inputs'!$G$11),SUM('Cash Flow'!I122:I130)+I137+I140+I143+I146,0)</f>
        <v>1966765.7192806413</v>
      </c>
      <c r="J148" s="203">
        <f>IF(AND('Active Inputs'!$G$72="Yes",J$2&lt;='Active Inputs'!$G$11),SUM('Cash Flow'!J122:J130)+J137+J140+J143+J146,0)</f>
        <v>1190594.222913966</v>
      </c>
      <c r="K148" s="203">
        <f>IF(AND('Active Inputs'!$G$72="Yes",K$2&lt;='Active Inputs'!$G$11),SUM('Cash Flow'!K122:K130)+K137+K140+K143+K146,0)</f>
        <v>1188976.7175628</v>
      </c>
      <c r="L148" s="203">
        <f>IF(AND('Active Inputs'!$G$72="Yes",L$2&lt;='Active Inputs'!$G$11),SUM('Cash Flow'!L122:L130)+L137+L140+L143+L146,0)</f>
        <v>606716.80426903034</v>
      </c>
      <c r="M148" s="203">
        <f>IF(AND('Active Inputs'!$G$72="Yes",M$2&lt;='Active Inputs'!$G$11),SUM('Cash Flow'!M122:M130)+M137+M140+M143+M146,0)</f>
        <v>25234.133806340324</v>
      </c>
      <c r="N148" s="203">
        <f>IF(AND('Active Inputs'!$G$72="Yes",N$2&lt;='Active Inputs'!$G$11),SUM('Cash Flow'!N122:N130)+N137+N140+N143+N146,0)</f>
        <v>25234.133806340324</v>
      </c>
      <c r="O148" s="203">
        <f>IF(AND('Active Inputs'!$G$72="Yes",O$2&lt;='Active Inputs'!$G$11),SUM('Cash Flow'!O122:O130)+O137+O140+O143+O146,0)</f>
        <v>25255.14036934248</v>
      </c>
      <c r="P148" s="203">
        <f>IF(AND('Active Inputs'!$G$72="Yes",P$2&lt;='Active Inputs'!$G$11),SUM('Cash Flow'!P122:P130)+P137+P140+P143+P146,0)</f>
        <v>25234.133806340324</v>
      </c>
      <c r="Q148" s="203">
        <f>IF(AND('Active Inputs'!$G$72="Yes",Q$2&lt;='Active Inputs'!$G$11),SUM('Cash Flow'!Q122:Q130)+Q137+Q140+Q143+Q146,0)</f>
        <v>25255.14036934248</v>
      </c>
      <c r="R148" s="203">
        <f>IF(AND('Active Inputs'!$G$72="Yes",R$2&lt;='Active Inputs'!$G$11),SUM('Cash Flow'!R122:R130)+R137+R140+R143+R146,0)</f>
        <v>46234.133806340324</v>
      </c>
      <c r="S148" s="203">
        <f>IF(AND('Active Inputs'!$G$72="Yes",S$2&lt;='Active Inputs'!$G$11),SUM('Cash Flow'!S122:S130)+S137+S140+S143+S146,0)</f>
        <v>58855.14036934248</v>
      </c>
      <c r="T148" s="203">
        <f>IF(AND('Active Inputs'!$G$72="Yes",T$2&lt;='Active Inputs'!$G$11),SUM('Cash Flow'!T122:T130)+T137+T140+T143+T146,0)</f>
        <v>45394.133806340324</v>
      </c>
      <c r="U148" s="203">
        <f>IF(AND('Active Inputs'!$G$72="Yes",U$2&lt;='Active Inputs'!$G$11),SUM('Cash Flow'!U122:U130)+U137+U140+U143+U146,0)</f>
        <v>37351.14036934248</v>
      </c>
      <c r="V148" s="203">
        <f>IF(AND('Active Inputs'!$G$72="Yes",V$2&lt;='Active Inputs'!$G$11),SUM('Cash Flow'!V122:V130)+V137+V140+V143+V146,0)</f>
        <v>31133.1977207042</v>
      </c>
      <c r="W148" s="203">
        <f>IF(AND('Active Inputs'!$G$72="Yes",W$2&lt;='Active Inputs'!$G$11),SUM('Cash Flow'!W122:W130)+W137+W140+W143+W146,0)</f>
        <v>18888.261635068073</v>
      </c>
      <c r="X148" s="203">
        <f>IF(AND('Active Inputs'!$G$72="Yes",X$2&lt;='Active Inputs'!$G$11),SUM('Cash Flow'!X122:X130)+X137+X140+X143+X146,0)</f>
        <v>12840.261635068073</v>
      </c>
      <c r="Y148" s="203">
        <f>IF(AND('Active Inputs'!$G$72="Yes",Y$2&lt;='Active Inputs'!$G$11),SUM('Cash Flow'!Y122:Y130)+Y137+Y140+Y143+Y146,0)</f>
        <v>12840.261635068073</v>
      </c>
      <c r="Z148" s="203">
        <f>IF(AND('Active Inputs'!$G$72="Yes",Z$2&lt;='Active Inputs'!$G$11),SUM('Cash Flow'!Z122:Z130)+Z137+Z140+Z143+Z146,0)</f>
        <v>12840.261635068073</v>
      </c>
      <c r="AA148" s="203">
        <f>IF(AND('Active Inputs'!$G$72="Yes",AA$2&lt;='Active Inputs'!$G$11),SUM('Cash Flow'!AA122:AA130)+AA137+AA140+AA143+AA146,0)</f>
        <v>6420.1308175340364</v>
      </c>
      <c r="AB148" s="203">
        <f>IF(AND('Active Inputs'!$G$72="Yes",AB$2&lt;='Active Inputs'!$G$11),SUM('Cash Flow'!AB122:AB130)+AB137+AB140+AB143+AB146,0)</f>
        <v>0</v>
      </c>
      <c r="AC148" s="203">
        <f>IF(AND('Active Inputs'!$G$72="Yes",AC$2&lt;='Active Inputs'!$G$11),SUM('Cash Flow'!AC122:AC130)+AC137+AC140+AC143+AC146,0)</f>
        <v>0</v>
      </c>
      <c r="AD148" s="203">
        <f>IF(AND('Active Inputs'!$G$72="Yes",AD$2&lt;='Active Inputs'!$G$11),SUM('Cash Flow'!AD122:AD130)+AD137+AD140+AD143+AD146,0)</f>
        <v>0</v>
      </c>
      <c r="AE148" s="203">
        <f>IF(AND('Active Inputs'!$G$72="Yes",AE$2&lt;='Active Inputs'!$G$11),SUM('Cash Flow'!AE122:AE130)+AE137+AE140+AE143+AE146,0)</f>
        <v>0</v>
      </c>
      <c r="AF148" s="203">
        <f>IF(AND('Active Inputs'!$G$72="Yes",AF$2&lt;='Active Inputs'!$G$11),SUM('Cash Flow'!AF122:AF130)+AF137+AF140+AF143+AF146,0)</f>
        <v>0</v>
      </c>
      <c r="AG148" s="203">
        <f>IF(AND('Active Inputs'!$G$72="Yes",AG$2&lt;='Active Inputs'!$G$11),SUM('Cash Flow'!AG122:AG130)+AG137+AG140+AG143+AG146,0)</f>
        <v>0</v>
      </c>
      <c r="AH148" s="203">
        <f>IF(AND('Active Inputs'!$G$72="Yes",AH$2&lt;='Active Inputs'!$G$11),SUM('Cash Flow'!AH122:AH130)+AH137+AH140+AH143+AH146,0)</f>
        <v>0</v>
      </c>
      <c r="AI148" s="203">
        <f>IF(AND('Active Inputs'!$G$72="Yes",AI$2&lt;='Active Inputs'!$G$11),SUM('Cash Flow'!AI122:AI130)+AI137+AI140+AI143+AI146,0)</f>
        <v>0</v>
      </c>
      <c r="AJ148" s="203">
        <f>IF(AND('Active Inputs'!$G$72="Yes",AJ$2&lt;='Active Inputs'!$G$11),SUM('Cash Flow'!AJ122:AJ130)+AJ137+AJ140+AJ143+AJ146,0)</f>
        <v>0</v>
      </c>
    </row>
    <row r="149" spans="2:36" s="1" customFormat="1">
      <c r="B149" s="188"/>
      <c r="C149" s="188"/>
      <c r="D149" s="188"/>
      <c r="E149" s="197"/>
      <c r="F149" s="229"/>
      <c r="G149" s="203"/>
      <c r="H149" s="203"/>
      <c r="I149" s="203"/>
      <c r="J149" s="203"/>
      <c r="K149" s="203"/>
      <c r="L149" s="203"/>
      <c r="M149" s="203"/>
      <c r="N149" s="203"/>
      <c r="O149" s="203"/>
      <c r="P149" s="203"/>
      <c r="Q149" s="203"/>
      <c r="R149" s="203"/>
      <c r="S149" s="203"/>
      <c r="T149" s="203"/>
      <c r="U149" s="203"/>
      <c r="V149" s="203"/>
      <c r="W149" s="203"/>
      <c r="X149" s="203"/>
      <c r="Y149" s="203"/>
      <c r="Z149" s="203"/>
      <c r="AA149" s="203"/>
      <c r="AB149" s="203"/>
      <c r="AC149" s="203"/>
      <c r="AD149" s="203"/>
      <c r="AE149" s="203"/>
      <c r="AF149" s="203"/>
      <c r="AG149" s="203"/>
      <c r="AH149" s="203"/>
      <c r="AI149" s="203"/>
      <c r="AJ149" s="203"/>
    </row>
    <row r="150" spans="2:36" s="1" customFormat="1">
      <c r="B150" s="188" t="s">
        <v>394</v>
      </c>
      <c r="C150" s="188"/>
      <c r="D150" s="188"/>
      <c r="E150" s="197"/>
      <c r="F150" s="229"/>
      <c r="G150" s="205">
        <f>G148*'Active Inputs'!$G$73</f>
        <v>427046.2267103807</v>
      </c>
      <c r="H150" s="205">
        <f>H148*'Active Inputs'!$G$73</f>
        <v>684474.9604598498</v>
      </c>
      <c r="I150" s="205">
        <f>I148*'Active Inputs'!$G$73</f>
        <v>413020.80104893463</v>
      </c>
      <c r="J150" s="205">
        <f>J148*'Active Inputs'!$G$73</f>
        <v>250024.78681193286</v>
      </c>
      <c r="K150" s="205">
        <f>K148*'Active Inputs'!$G$73</f>
        <v>249685.110688188</v>
      </c>
      <c r="L150" s="205">
        <f>L148*'Active Inputs'!$G$73</f>
        <v>127410.52889649637</v>
      </c>
      <c r="M150" s="205">
        <f>M148*'Active Inputs'!$G$73</f>
        <v>5299.1680993314676</v>
      </c>
      <c r="N150" s="205">
        <f>N148*'Active Inputs'!$G$73</f>
        <v>5299.1680993314676</v>
      </c>
      <c r="O150" s="205">
        <f>O148*'Active Inputs'!$G$73</f>
        <v>5303.5794775619206</v>
      </c>
      <c r="P150" s="205">
        <f>P148*'Active Inputs'!$G$73</f>
        <v>5299.1680993314676</v>
      </c>
      <c r="Q150" s="205">
        <f>Q148*'Active Inputs'!$G$73</f>
        <v>5303.5794775619206</v>
      </c>
      <c r="R150" s="205">
        <f>R148*'Active Inputs'!$G$73</f>
        <v>9709.1680993314676</v>
      </c>
      <c r="S150" s="205">
        <f>S148*'Active Inputs'!$G$73</f>
        <v>12359.57947756192</v>
      </c>
      <c r="T150" s="205">
        <f>T148*'Active Inputs'!$G$73</f>
        <v>9532.768099331468</v>
      </c>
      <c r="U150" s="205">
        <f>U148*'Active Inputs'!$G$73</f>
        <v>7843.7394775619205</v>
      </c>
      <c r="V150" s="205">
        <f>V148*'Active Inputs'!$G$73</f>
        <v>6537.9715213478821</v>
      </c>
      <c r="W150" s="205">
        <f>W148*'Active Inputs'!$G$73</f>
        <v>3966.534943364295</v>
      </c>
      <c r="X150" s="205">
        <f>X148*'Active Inputs'!$G$73</f>
        <v>2696.4549433642951</v>
      </c>
      <c r="Y150" s="205">
        <f>Y148*'Active Inputs'!$G$73</f>
        <v>2696.4549433642951</v>
      </c>
      <c r="Z150" s="205">
        <f>Z148*'Active Inputs'!$G$73</f>
        <v>2696.4549433642951</v>
      </c>
      <c r="AA150" s="205">
        <f>AA148*'Active Inputs'!$G$73</f>
        <v>1348.2274716821476</v>
      </c>
      <c r="AB150" s="205">
        <f>AB148*'Active Inputs'!$G$73</f>
        <v>0</v>
      </c>
      <c r="AC150" s="205">
        <f>AC148*'Active Inputs'!$G$73</f>
        <v>0</v>
      </c>
      <c r="AD150" s="205">
        <f>AD148*'Active Inputs'!$G$73</f>
        <v>0</v>
      </c>
      <c r="AE150" s="205">
        <f>AE148*'Active Inputs'!$G$73</f>
        <v>0</v>
      </c>
      <c r="AF150" s="205">
        <f>AF148*'Active Inputs'!$G$73</f>
        <v>0</v>
      </c>
      <c r="AG150" s="205">
        <f>AG148*'Active Inputs'!$G$73</f>
        <v>0</v>
      </c>
      <c r="AH150" s="205">
        <f>AH148*'Active Inputs'!$G$73</f>
        <v>0</v>
      </c>
      <c r="AI150" s="205">
        <f>AI148*'Active Inputs'!$G$73</f>
        <v>0</v>
      </c>
      <c r="AJ150" s="205">
        <f>AJ148*'Active Inputs'!$G$73</f>
        <v>0</v>
      </c>
    </row>
    <row r="151" spans="2:36" s="1" customFormat="1" ht="16.5" thickBot="1">
      <c r="B151" s="206"/>
      <c r="C151" s="206"/>
      <c r="D151" s="206"/>
      <c r="E151" s="207"/>
      <c r="F151" s="207"/>
      <c r="G151" s="208"/>
      <c r="H151" s="209"/>
      <c r="I151" s="207"/>
      <c r="J151" s="207"/>
      <c r="K151" s="207"/>
      <c r="L151" s="207"/>
      <c r="M151" s="207"/>
      <c r="N151" s="207"/>
      <c r="O151" s="207"/>
      <c r="P151" s="207"/>
      <c r="Q151" s="207"/>
      <c r="R151" s="207"/>
      <c r="S151" s="207"/>
      <c r="T151" s="207"/>
      <c r="U151" s="207"/>
      <c r="V151" s="207"/>
      <c r="W151" s="207"/>
      <c r="X151" s="207"/>
      <c r="Y151" s="207"/>
      <c r="Z151" s="207"/>
      <c r="AA151" s="207"/>
      <c r="AB151" s="207"/>
      <c r="AC151" s="207"/>
      <c r="AD151" s="207"/>
      <c r="AE151" s="207"/>
      <c r="AF151" s="207"/>
      <c r="AG151" s="207"/>
      <c r="AH151" s="207"/>
      <c r="AI151" s="207"/>
      <c r="AJ151" s="207"/>
    </row>
    <row r="152" spans="2:36">
      <c r="B152" s="225"/>
      <c r="C152" s="225"/>
      <c r="D152" s="225"/>
      <c r="E152" s="225"/>
      <c r="F152" s="225"/>
      <c r="G152" s="225"/>
      <c r="H152" s="225"/>
      <c r="I152" s="225"/>
      <c r="J152" s="225"/>
      <c r="K152" s="225"/>
      <c r="L152" s="225"/>
      <c r="M152" s="225"/>
      <c r="N152" s="225"/>
      <c r="O152" s="225"/>
      <c r="P152" s="225"/>
      <c r="Q152" s="225"/>
      <c r="R152" s="225"/>
      <c r="S152" s="225"/>
      <c r="T152" s="225"/>
      <c r="U152" s="225"/>
      <c r="V152" s="225"/>
      <c r="W152" s="225"/>
      <c r="X152" s="225"/>
      <c r="Y152" s="225"/>
      <c r="Z152" s="225"/>
      <c r="AA152" s="225"/>
      <c r="AB152" s="225"/>
      <c r="AC152" s="225"/>
      <c r="AD152" s="225"/>
      <c r="AE152" s="225"/>
      <c r="AF152" s="225"/>
      <c r="AG152" s="225"/>
      <c r="AH152" s="225"/>
      <c r="AI152" s="225"/>
      <c r="AJ152" s="225"/>
    </row>
    <row r="153" spans="2:36" s="1" customFormat="1" ht="15.75">
      <c r="B153" s="187" t="s">
        <v>395</v>
      </c>
      <c r="C153" s="810" t="s">
        <v>362</v>
      </c>
      <c r="D153" s="810"/>
      <c r="E153" s="810"/>
      <c r="F153" s="188"/>
      <c r="G153" s="188"/>
      <c r="H153" s="188"/>
      <c r="I153" s="188"/>
      <c r="J153" s="188"/>
      <c r="K153" s="188"/>
      <c r="L153" s="188"/>
      <c r="M153" s="188"/>
      <c r="N153" s="188"/>
      <c r="O153" s="188"/>
      <c r="P153" s="188"/>
      <c r="Q153" s="188"/>
      <c r="R153" s="188"/>
      <c r="S153" s="188"/>
      <c r="T153" s="188"/>
      <c r="U153" s="188"/>
      <c r="V153" s="188"/>
      <c r="W153" s="188"/>
      <c r="X153" s="188"/>
      <c r="Y153" s="188"/>
      <c r="Z153" s="188"/>
      <c r="AA153" s="188"/>
      <c r="AB153" s="188"/>
      <c r="AC153" s="188"/>
      <c r="AD153" s="188"/>
      <c r="AE153" s="188"/>
      <c r="AF153" s="188"/>
      <c r="AG153" s="188"/>
      <c r="AH153" s="188"/>
      <c r="AI153" s="188"/>
      <c r="AJ153" s="188"/>
    </row>
    <row r="154" spans="2:36" s="1" customFormat="1">
      <c r="B154" s="188" t="s">
        <v>283</v>
      </c>
      <c r="C154" s="189" t="s">
        <v>363</v>
      </c>
      <c r="D154" s="189" t="s">
        <v>364</v>
      </c>
      <c r="E154" s="189" t="s">
        <v>365</v>
      </c>
      <c r="F154" s="189">
        <v>0</v>
      </c>
      <c r="G154" s="189">
        <v>1</v>
      </c>
      <c r="H154" s="189">
        <v>2</v>
      </c>
      <c r="I154" s="189">
        <v>3</v>
      </c>
      <c r="J154" s="189">
        <v>4</v>
      </c>
      <c r="K154" s="189">
        <v>5</v>
      </c>
      <c r="L154" s="189">
        <v>6</v>
      </c>
      <c r="M154" s="189">
        <v>7</v>
      </c>
      <c r="N154" s="189">
        <v>8</v>
      </c>
      <c r="O154" s="189">
        <v>9</v>
      </c>
      <c r="P154" s="189">
        <v>10</v>
      </c>
      <c r="Q154" s="189">
        <v>11</v>
      </c>
      <c r="R154" s="189">
        <v>12</v>
      </c>
      <c r="S154" s="189">
        <v>13</v>
      </c>
      <c r="T154" s="189">
        <v>14</v>
      </c>
      <c r="U154" s="189">
        <v>15</v>
      </c>
      <c r="V154" s="189">
        <v>16</v>
      </c>
      <c r="W154" s="189">
        <v>17</v>
      </c>
      <c r="X154" s="189">
        <v>18</v>
      </c>
      <c r="Y154" s="189">
        <v>19</v>
      </c>
      <c r="Z154" s="189">
        <v>20</v>
      </c>
      <c r="AA154" s="189">
        <v>21</v>
      </c>
      <c r="AB154" s="189">
        <v>22</v>
      </c>
      <c r="AC154" s="189">
        <v>23</v>
      </c>
      <c r="AD154" s="189">
        <v>24</v>
      </c>
      <c r="AE154" s="189">
        <v>25</v>
      </c>
      <c r="AF154" s="189">
        <v>26</v>
      </c>
      <c r="AG154" s="189">
        <v>27</v>
      </c>
      <c r="AH154" s="189">
        <v>28</v>
      </c>
      <c r="AI154" s="189">
        <v>29</v>
      </c>
      <c r="AJ154" s="189">
        <v>30</v>
      </c>
    </row>
    <row r="155" spans="2:36" s="1" customFormat="1" ht="15.75">
      <c r="B155" s="190" t="s">
        <v>366</v>
      </c>
      <c r="C155" s="191" t="s">
        <v>367</v>
      </c>
      <c r="D155" s="191" t="s">
        <v>368</v>
      </c>
      <c r="E155" s="191" t="s">
        <v>367</v>
      </c>
      <c r="F155" s="188"/>
      <c r="G155" s="188"/>
      <c r="H155" s="188"/>
      <c r="I155" s="188"/>
      <c r="J155" s="188"/>
      <c r="K155" s="188"/>
      <c r="L155" s="188"/>
      <c r="M155" s="188"/>
      <c r="N155" s="188"/>
      <c r="O155" s="188"/>
      <c r="P155" s="188"/>
      <c r="Q155" s="188"/>
      <c r="R155" s="188"/>
      <c r="S155" s="188"/>
      <c r="T155" s="188"/>
      <c r="U155" s="188"/>
      <c r="V155" s="188"/>
      <c r="W155" s="188"/>
      <c r="X155" s="188"/>
      <c r="Y155" s="188"/>
      <c r="Z155" s="188"/>
      <c r="AA155" s="188"/>
      <c r="AB155" s="188"/>
      <c r="AC155" s="188"/>
      <c r="AD155" s="188"/>
      <c r="AE155" s="188"/>
      <c r="AF155" s="188"/>
      <c r="AG155" s="188"/>
      <c r="AH155" s="188"/>
      <c r="AI155" s="188"/>
      <c r="AJ155" s="188"/>
    </row>
    <row r="156" spans="2:36" s="1" customFormat="1" ht="15.75">
      <c r="B156" s="188" t="s">
        <v>369</v>
      </c>
      <c r="C156" s="621">
        <f>IF('Active Inputs'!$W$9="host-owned",0,IF('Active Inputs'!$G$14="Simple",'Active Inputs'!$G$22*'Active Inputs'!$P$79,IF('Active Inputs'!$G$14="Intermediate",SUMPRODUCT('Active Inputs'!$G$16:$G$20,'Active Inputs'!$P$80:$P$84),'Complex Inputs'!$F$121)))</f>
        <v>11761926.555879597</v>
      </c>
      <c r="D156" s="622">
        <f>IF('Active Inputs'!$W$9="host-owned",0,C156/$C$166)</f>
        <v>0.95153137079988115</v>
      </c>
      <c r="E156" s="192">
        <f>($C$166-$C$168)*D156</f>
        <v>10083150.24103505</v>
      </c>
      <c r="F156" s="193"/>
      <c r="G156" s="194">
        <v>0.2</v>
      </c>
      <c r="H156" s="194">
        <v>0.32</v>
      </c>
      <c r="I156" s="194">
        <v>0.192</v>
      </c>
      <c r="J156" s="194">
        <v>0.1152</v>
      </c>
      <c r="K156" s="194">
        <v>0.1152</v>
      </c>
      <c r="L156" s="194">
        <v>5.7599999999999998E-2</v>
      </c>
      <c r="M156" s="194">
        <v>0</v>
      </c>
      <c r="N156" s="194">
        <v>0</v>
      </c>
      <c r="O156" s="194">
        <v>0</v>
      </c>
      <c r="P156" s="194">
        <v>0</v>
      </c>
      <c r="Q156" s="194">
        <v>0</v>
      </c>
      <c r="R156" s="194">
        <v>0</v>
      </c>
      <c r="S156" s="194">
        <v>0</v>
      </c>
      <c r="T156" s="194">
        <v>0</v>
      </c>
      <c r="U156" s="194">
        <v>0</v>
      </c>
      <c r="V156" s="194">
        <v>0</v>
      </c>
      <c r="W156" s="194">
        <v>0</v>
      </c>
      <c r="X156" s="194">
        <v>0</v>
      </c>
      <c r="Y156" s="194">
        <v>0</v>
      </c>
      <c r="Z156" s="194">
        <v>0</v>
      </c>
      <c r="AA156" s="194">
        <v>0</v>
      </c>
      <c r="AB156" s="194">
        <v>0</v>
      </c>
      <c r="AC156" s="194">
        <v>0</v>
      </c>
      <c r="AD156" s="194">
        <v>0</v>
      </c>
      <c r="AE156" s="194">
        <v>0</v>
      </c>
      <c r="AF156" s="194">
        <v>0</v>
      </c>
      <c r="AG156" s="194">
        <v>0</v>
      </c>
      <c r="AH156" s="194">
        <v>0</v>
      </c>
      <c r="AI156" s="194">
        <v>0</v>
      </c>
      <c r="AJ156" s="194">
        <v>0</v>
      </c>
    </row>
    <row r="157" spans="2:36" s="1" customFormat="1" ht="15.75">
      <c r="B157" s="188" t="s">
        <v>370</v>
      </c>
      <c r="C157" s="621">
        <f>IF('Active Inputs'!$W$9="host-owned",0,IF('Active Inputs'!$G$14="Simple",'Active Inputs'!$G$22*'Active Inputs'!$Q$79,IF('Active Inputs'!$G$14="Intermediate",SUMPRODUCT('Active Inputs'!$G$16:$G$20,'Active Inputs'!$Q$80:$Q$84),'Complex Inputs'!$G$121)))</f>
        <v>0</v>
      </c>
      <c r="D157" s="622">
        <f>IF('Active Inputs'!$W$9="host-owned",0,C157/$C$166)</f>
        <v>0</v>
      </c>
      <c r="E157" s="192">
        <f t="shared" ref="E157:E164" si="50">($C$166-$C$168)*D157</f>
        <v>0</v>
      </c>
      <c r="F157" s="188"/>
      <c r="G157" s="194">
        <v>0.1429</v>
      </c>
      <c r="H157" s="194">
        <v>0.24490000000000001</v>
      </c>
      <c r="I157" s="194">
        <v>0.1749</v>
      </c>
      <c r="J157" s="194">
        <v>0.1249</v>
      </c>
      <c r="K157" s="194">
        <v>8.9300000000000004E-2</v>
      </c>
      <c r="L157" s="194">
        <v>8.9200000000000002E-2</v>
      </c>
      <c r="M157" s="194">
        <v>8.9300000000000004E-2</v>
      </c>
      <c r="N157" s="194">
        <v>4.4600000000000001E-2</v>
      </c>
      <c r="O157" s="194">
        <v>0</v>
      </c>
      <c r="P157" s="194">
        <v>0</v>
      </c>
      <c r="Q157" s="194">
        <v>0</v>
      </c>
      <c r="R157" s="194">
        <v>0</v>
      </c>
      <c r="S157" s="194">
        <v>0</v>
      </c>
      <c r="T157" s="194">
        <v>0</v>
      </c>
      <c r="U157" s="194">
        <v>0</v>
      </c>
      <c r="V157" s="194">
        <v>0</v>
      </c>
      <c r="W157" s="194">
        <v>0</v>
      </c>
      <c r="X157" s="194">
        <v>0</v>
      </c>
      <c r="Y157" s="194">
        <v>0</v>
      </c>
      <c r="Z157" s="194">
        <v>0</v>
      </c>
      <c r="AA157" s="194">
        <v>0</v>
      </c>
      <c r="AB157" s="194">
        <v>0</v>
      </c>
      <c r="AC157" s="194">
        <v>0</v>
      </c>
      <c r="AD157" s="194">
        <v>0</v>
      </c>
      <c r="AE157" s="194">
        <v>0</v>
      </c>
      <c r="AF157" s="194">
        <v>0</v>
      </c>
      <c r="AG157" s="194">
        <v>0</v>
      </c>
      <c r="AH157" s="194">
        <v>0</v>
      </c>
      <c r="AI157" s="194">
        <v>0</v>
      </c>
      <c r="AJ157" s="194">
        <v>0</v>
      </c>
    </row>
    <row r="158" spans="2:36" s="1" customFormat="1" ht="15.75">
      <c r="B158" s="188" t="s">
        <v>371</v>
      </c>
      <c r="C158" s="621">
        <f>IF('Active Inputs'!$W$9="host-owned",0,IF('Active Inputs'!$G$14="Simple",'Active Inputs'!$G$22*'Active Inputs'!$R$79,IF('Active Inputs'!$G$14="Intermediate",SUMPRODUCT('Active Inputs'!$G$16:$G$20,'Active Inputs'!$R$80:$R$84),'Complex Inputs'!$H$121)))</f>
        <v>245040.13658082494</v>
      </c>
      <c r="D158" s="622">
        <f>IF('Active Inputs'!$W$9="host-owned",0,C158/$C$166)</f>
        <v>1.9823570224997526E-2</v>
      </c>
      <c r="E158" s="192">
        <f t="shared" si="50"/>
        <v>210065.63002156359</v>
      </c>
      <c r="F158" s="188"/>
      <c r="G158" s="194">
        <v>0.05</v>
      </c>
      <c r="H158" s="194">
        <v>9.5000000000000001E-2</v>
      </c>
      <c r="I158" s="194">
        <v>8.5500000000000007E-2</v>
      </c>
      <c r="J158" s="194">
        <v>7.6999999999999999E-2</v>
      </c>
      <c r="K158" s="194">
        <v>6.93E-2</v>
      </c>
      <c r="L158" s="194">
        <v>6.2300000000000001E-2</v>
      </c>
      <c r="M158" s="194">
        <v>5.8999999999999997E-2</v>
      </c>
      <c r="N158" s="194">
        <v>5.8999999999999997E-2</v>
      </c>
      <c r="O158" s="194">
        <v>5.91E-2</v>
      </c>
      <c r="P158" s="194">
        <v>5.8999999999999997E-2</v>
      </c>
      <c r="Q158" s="194">
        <v>5.91E-2</v>
      </c>
      <c r="R158" s="194">
        <v>5.8999999999999997E-2</v>
      </c>
      <c r="S158" s="194">
        <v>5.91E-2</v>
      </c>
      <c r="T158" s="194">
        <v>5.8999999999999997E-2</v>
      </c>
      <c r="U158" s="194">
        <v>5.91E-2</v>
      </c>
      <c r="V158" s="194">
        <v>2.9499999999999998E-2</v>
      </c>
      <c r="W158" s="194">
        <v>0</v>
      </c>
      <c r="X158" s="194">
        <v>0</v>
      </c>
      <c r="Y158" s="194">
        <v>0</v>
      </c>
      <c r="Z158" s="194">
        <v>0</v>
      </c>
      <c r="AA158" s="194">
        <v>0</v>
      </c>
      <c r="AB158" s="194">
        <v>0</v>
      </c>
      <c r="AC158" s="194">
        <v>0</v>
      </c>
      <c r="AD158" s="194">
        <v>0</v>
      </c>
      <c r="AE158" s="194">
        <v>0</v>
      </c>
      <c r="AF158" s="194">
        <v>0</v>
      </c>
      <c r="AG158" s="194">
        <v>0</v>
      </c>
      <c r="AH158" s="194">
        <v>0</v>
      </c>
      <c r="AI158" s="194">
        <v>0</v>
      </c>
      <c r="AJ158" s="194">
        <v>0</v>
      </c>
    </row>
    <row r="159" spans="2:36" s="1" customFormat="1" ht="15.75">
      <c r="B159" s="188" t="s">
        <v>372</v>
      </c>
      <c r="C159" s="621">
        <f>IF('Active Inputs'!$W$9="host-owned",0,IF('Active Inputs'!$G$14="Simple",'Active Inputs'!$G$22*'Active Inputs'!$U$79,IF('Active Inputs'!$G$14="Intermediate",SUMPRODUCT('Active Inputs'!$G$16:$G$20,'Active Inputs'!$U$80:$U$84),'Complex Inputs'!$I$121)))</f>
        <v>0</v>
      </c>
      <c r="D159" s="622">
        <f>IF('Active Inputs'!$W$9="host-owned",0,C159/$C$166)</f>
        <v>0</v>
      </c>
      <c r="E159" s="192">
        <f t="shared" si="50"/>
        <v>0</v>
      </c>
      <c r="F159" s="188"/>
      <c r="G159" s="194">
        <v>3.7499999999999999E-2</v>
      </c>
      <c r="H159" s="194">
        <v>7.2190000000000004E-2</v>
      </c>
      <c r="I159" s="194">
        <v>6.6769999999999996E-2</v>
      </c>
      <c r="J159" s="194">
        <v>6.1769999999999999E-2</v>
      </c>
      <c r="K159" s="194">
        <v>5.713E-2</v>
      </c>
      <c r="L159" s="194">
        <v>5.2850000000000001E-2</v>
      </c>
      <c r="M159" s="194">
        <v>4.888E-2</v>
      </c>
      <c r="N159" s="194">
        <v>4.5220000000000003E-2</v>
      </c>
      <c r="O159" s="194">
        <v>4.462E-2</v>
      </c>
      <c r="P159" s="194">
        <v>4.4609999999999997E-2</v>
      </c>
      <c r="Q159" s="194">
        <v>4.462E-2</v>
      </c>
      <c r="R159" s="194">
        <v>4.4609999999999997E-2</v>
      </c>
      <c r="S159" s="194">
        <v>4.462E-2</v>
      </c>
      <c r="T159" s="194">
        <v>4.4609999999999997E-2</v>
      </c>
      <c r="U159" s="194">
        <v>4.462E-2</v>
      </c>
      <c r="V159" s="194">
        <v>4.4609999999999997E-2</v>
      </c>
      <c r="W159" s="194">
        <v>4.462E-2</v>
      </c>
      <c r="X159" s="194">
        <v>4.4609999999999997E-2</v>
      </c>
      <c r="Y159" s="194">
        <v>4.462E-2</v>
      </c>
      <c r="Z159" s="194">
        <v>4.4609999999999997E-2</v>
      </c>
      <c r="AA159" s="194">
        <v>2.231E-2</v>
      </c>
      <c r="AB159" s="194">
        <v>0</v>
      </c>
      <c r="AC159" s="194">
        <v>0</v>
      </c>
      <c r="AD159" s="194">
        <v>0</v>
      </c>
      <c r="AE159" s="194">
        <v>0</v>
      </c>
      <c r="AF159" s="194">
        <v>0</v>
      </c>
      <c r="AG159" s="194">
        <v>0</v>
      </c>
      <c r="AH159" s="194">
        <v>0</v>
      </c>
      <c r="AI159" s="194">
        <v>0</v>
      </c>
      <c r="AJ159" s="194">
        <v>0</v>
      </c>
    </row>
    <row r="160" spans="2:36" s="1" customFormat="1" ht="15.75">
      <c r="B160" s="188" t="s">
        <v>373</v>
      </c>
      <c r="C160" s="621">
        <f>IF('Active Inputs'!$W$9="host-owned",0,IF('Active Inputs'!$G$14="Simple",'Active Inputs'!$G$22*'Active Inputs'!$V$79,IF('Active Inputs'!$G$14="Intermediate",SUMPRODUCT('Active Inputs'!$G$16:$G$20,'Active Inputs'!$V$80:$V$84),'Complex Inputs'!$J$121)))</f>
        <v>0</v>
      </c>
      <c r="D160" s="622">
        <f>IF('Active Inputs'!$W$9="host-owned",0,C160/$C$166)</f>
        <v>0</v>
      </c>
      <c r="E160" s="192">
        <f t="shared" si="50"/>
        <v>0</v>
      </c>
      <c r="F160" s="188"/>
      <c r="G160" s="194">
        <v>0.1</v>
      </c>
      <c r="H160" s="194">
        <v>0.2</v>
      </c>
      <c r="I160" s="194">
        <v>0.2</v>
      </c>
      <c r="J160" s="194">
        <v>0.2</v>
      </c>
      <c r="K160" s="194">
        <v>0.2</v>
      </c>
      <c r="L160" s="194">
        <v>0.1</v>
      </c>
      <c r="M160" s="194">
        <f t="shared" ref="M160:AJ160" si="51">IF(M$103&lt;=5, 1/5,0)</f>
        <v>0</v>
      </c>
      <c r="N160" s="194">
        <f t="shared" si="51"/>
        <v>0</v>
      </c>
      <c r="O160" s="194">
        <f t="shared" si="51"/>
        <v>0</v>
      </c>
      <c r="P160" s="194">
        <f t="shared" si="51"/>
        <v>0</v>
      </c>
      <c r="Q160" s="194">
        <f t="shared" si="51"/>
        <v>0</v>
      </c>
      <c r="R160" s="194">
        <f t="shared" si="51"/>
        <v>0</v>
      </c>
      <c r="S160" s="194">
        <f t="shared" si="51"/>
        <v>0</v>
      </c>
      <c r="T160" s="194">
        <f t="shared" si="51"/>
        <v>0</v>
      </c>
      <c r="U160" s="194">
        <f t="shared" si="51"/>
        <v>0</v>
      </c>
      <c r="V160" s="194">
        <f t="shared" si="51"/>
        <v>0</v>
      </c>
      <c r="W160" s="194">
        <f t="shared" si="51"/>
        <v>0</v>
      </c>
      <c r="X160" s="194">
        <f t="shared" si="51"/>
        <v>0</v>
      </c>
      <c r="Y160" s="194">
        <f t="shared" si="51"/>
        <v>0</v>
      </c>
      <c r="Z160" s="194">
        <f t="shared" si="51"/>
        <v>0</v>
      </c>
      <c r="AA160" s="194">
        <f t="shared" si="51"/>
        <v>0</v>
      </c>
      <c r="AB160" s="194">
        <f t="shared" si="51"/>
        <v>0</v>
      </c>
      <c r="AC160" s="194">
        <f t="shared" si="51"/>
        <v>0</v>
      </c>
      <c r="AD160" s="194">
        <f t="shared" si="51"/>
        <v>0</v>
      </c>
      <c r="AE160" s="194">
        <f t="shared" si="51"/>
        <v>0</v>
      </c>
      <c r="AF160" s="194">
        <f t="shared" si="51"/>
        <v>0</v>
      </c>
      <c r="AG160" s="194">
        <f t="shared" si="51"/>
        <v>0</v>
      </c>
      <c r="AH160" s="194">
        <f t="shared" si="51"/>
        <v>0</v>
      </c>
      <c r="AI160" s="194">
        <f t="shared" si="51"/>
        <v>0</v>
      </c>
      <c r="AJ160" s="194">
        <f t="shared" si="51"/>
        <v>0</v>
      </c>
    </row>
    <row r="161" spans="2:36" s="1" customFormat="1" ht="15.75">
      <c r="B161" s="188" t="s">
        <v>374</v>
      </c>
      <c r="C161" s="621">
        <f>IF('Active Inputs'!$W$9="host-owned",0,IF('Active Inputs'!$G$14="Simple",'Active Inputs'!$G$22*'Active Inputs'!$W$79,IF('Active Inputs'!$G$14="Intermediate",SUMPRODUCT('Active Inputs'!$G$16:$G$20,'Active Inputs'!$W$80:$W$84),'Complex Inputs'!$K$121)))</f>
        <v>0</v>
      </c>
      <c r="D161" s="622">
        <f>IF('Active Inputs'!$W$9="host-owned",0,C161/$C$166)</f>
        <v>0</v>
      </c>
      <c r="E161" s="192">
        <f t="shared" si="50"/>
        <v>0</v>
      </c>
      <c r="F161" s="188"/>
      <c r="G161" s="194">
        <v>3.3300000000000003E-2</v>
      </c>
      <c r="H161" s="194">
        <v>6.6699999999999995E-2</v>
      </c>
      <c r="I161" s="194">
        <v>6.6699999999999995E-2</v>
      </c>
      <c r="J161" s="194">
        <v>6.6699999999999995E-2</v>
      </c>
      <c r="K161" s="194">
        <v>6.6699999999999995E-2</v>
      </c>
      <c r="L161" s="194">
        <v>6.6699999999999995E-2</v>
      </c>
      <c r="M161" s="194">
        <v>6.6699999999999995E-2</v>
      </c>
      <c r="N161" s="194">
        <v>6.6699999999999995E-2</v>
      </c>
      <c r="O161" s="194">
        <v>6.6699999999999995E-2</v>
      </c>
      <c r="P161" s="194">
        <v>6.6699999999999995E-2</v>
      </c>
      <c r="Q161" s="194">
        <v>6.6699999999999995E-2</v>
      </c>
      <c r="R161" s="194">
        <v>6.6600000000000006E-2</v>
      </c>
      <c r="S161" s="194">
        <v>6.6600000000000006E-2</v>
      </c>
      <c r="T161" s="194">
        <v>6.6600000000000006E-2</v>
      </c>
      <c r="U161" s="194">
        <v>6.6600000000000006E-2</v>
      </c>
      <c r="V161" s="194">
        <v>3.3300000000000003E-2</v>
      </c>
      <c r="W161" s="194">
        <f t="shared" ref="W161:AJ161" si="52">IF(W$103&lt;=15, 1/15,0)</f>
        <v>0</v>
      </c>
      <c r="X161" s="194">
        <f t="shared" si="52"/>
        <v>0</v>
      </c>
      <c r="Y161" s="194">
        <f t="shared" si="52"/>
        <v>0</v>
      </c>
      <c r="Z161" s="194">
        <f t="shared" si="52"/>
        <v>0</v>
      </c>
      <c r="AA161" s="194">
        <f t="shared" si="52"/>
        <v>0</v>
      </c>
      <c r="AB161" s="194">
        <f t="shared" si="52"/>
        <v>0</v>
      </c>
      <c r="AC161" s="194">
        <f t="shared" si="52"/>
        <v>0</v>
      </c>
      <c r="AD161" s="194">
        <f t="shared" si="52"/>
        <v>0</v>
      </c>
      <c r="AE161" s="194">
        <f t="shared" si="52"/>
        <v>0</v>
      </c>
      <c r="AF161" s="194">
        <f t="shared" si="52"/>
        <v>0</v>
      </c>
      <c r="AG161" s="194">
        <f t="shared" si="52"/>
        <v>0</v>
      </c>
      <c r="AH161" s="194">
        <f t="shared" si="52"/>
        <v>0</v>
      </c>
      <c r="AI161" s="194">
        <f t="shared" si="52"/>
        <v>0</v>
      </c>
      <c r="AJ161" s="194">
        <f t="shared" si="52"/>
        <v>0</v>
      </c>
    </row>
    <row r="162" spans="2:36" s="1" customFormat="1" ht="15.75">
      <c r="B162" s="188" t="s">
        <v>375</v>
      </c>
      <c r="C162" s="621">
        <f>IF('Active Inputs'!$W$9="host-owned",0,IF('Active Inputs'!$G$14="Simple",'Active Inputs'!$G$22*'Active Inputs'!$X$79,IF('Active Inputs'!$G$14="Intermediate",SUMPRODUCT('Active Inputs'!$G$16:$G$20,'Active Inputs'!$X$80:$X$84),'Complex Inputs'!$L$121)))</f>
        <v>299561.56697005848</v>
      </c>
      <c r="D162" s="622">
        <f>IF('Active Inputs'!$W$9="host-owned",0,C162/$C$166)</f>
        <v>2.4234314600059474E-2</v>
      </c>
      <c r="E162" s="192">
        <f t="shared" si="50"/>
        <v>256805.23270136144</v>
      </c>
      <c r="F162" s="188"/>
      <c r="G162" s="194">
        <v>2.5000000000000001E-2</v>
      </c>
      <c r="H162" s="194">
        <v>0.05</v>
      </c>
      <c r="I162" s="194">
        <v>0.05</v>
      </c>
      <c r="J162" s="194">
        <v>0.05</v>
      </c>
      <c r="K162" s="194">
        <v>0.05</v>
      </c>
      <c r="L162" s="194">
        <v>0.05</v>
      </c>
      <c r="M162" s="194">
        <v>0.05</v>
      </c>
      <c r="N162" s="194">
        <v>0.05</v>
      </c>
      <c r="O162" s="194">
        <v>0.05</v>
      </c>
      <c r="P162" s="194">
        <v>0.05</v>
      </c>
      <c r="Q162" s="194">
        <v>0.05</v>
      </c>
      <c r="R162" s="194">
        <v>0.05</v>
      </c>
      <c r="S162" s="194">
        <v>0.05</v>
      </c>
      <c r="T162" s="194">
        <v>0.05</v>
      </c>
      <c r="U162" s="194">
        <v>0.05</v>
      </c>
      <c r="V162" s="194">
        <v>0.05</v>
      </c>
      <c r="W162" s="194">
        <v>0.05</v>
      </c>
      <c r="X162" s="194">
        <v>0.05</v>
      </c>
      <c r="Y162" s="194">
        <v>0.05</v>
      </c>
      <c r="Z162" s="194">
        <v>0.05</v>
      </c>
      <c r="AA162" s="194">
        <v>2.5000000000000001E-2</v>
      </c>
      <c r="AB162" s="194">
        <f t="shared" ref="AB162:AJ162" si="53">IF(AB$103&lt;=20, 1/20,0)</f>
        <v>0</v>
      </c>
      <c r="AC162" s="194">
        <f t="shared" si="53"/>
        <v>0</v>
      </c>
      <c r="AD162" s="194">
        <f t="shared" si="53"/>
        <v>0</v>
      </c>
      <c r="AE162" s="194">
        <f t="shared" si="53"/>
        <v>0</v>
      </c>
      <c r="AF162" s="194">
        <f t="shared" si="53"/>
        <v>0</v>
      </c>
      <c r="AG162" s="194">
        <f t="shared" si="53"/>
        <v>0</v>
      </c>
      <c r="AH162" s="194">
        <f t="shared" si="53"/>
        <v>0</v>
      </c>
      <c r="AI162" s="194">
        <f t="shared" si="53"/>
        <v>0</v>
      </c>
      <c r="AJ162" s="194">
        <f t="shared" si="53"/>
        <v>0</v>
      </c>
    </row>
    <row r="163" spans="2:36" s="1" customFormat="1" ht="15.75">
      <c r="B163" s="188" t="s">
        <v>376</v>
      </c>
      <c r="C163" s="621">
        <f>IF('Active Inputs'!$W$9="host-owned",0,IF('Active Inputs'!$G$14="Simple",'Active Inputs'!$G$22*'Active Inputs'!$Y$79,IF('Active Inputs'!$G$14="Intermediate",SUMPRODUCT('Active Inputs'!$G$16:$G$20,'Active Inputs'!$Y$80:$Y$84),'Complex Inputs'!$M$121)))</f>
        <v>0</v>
      </c>
      <c r="D163" s="622">
        <f>IF('Active Inputs'!$W$9="host-owned",0,C163/$C$166)</f>
        <v>0</v>
      </c>
      <c r="E163" s="192">
        <f t="shared" si="50"/>
        <v>0</v>
      </c>
      <c r="F163" s="188"/>
      <c r="G163" s="194">
        <v>1.2800000000000001E-2</v>
      </c>
      <c r="H163" s="194">
        <v>2.5600000000000001E-2</v>
      </c>
      <c r="I163" s="194">
        <v>2.5600000000000001E-2</v>
      </c>
      <c r="J163" s="194">
        <v>2.5600000000000001E-2</v>
      </c>
      <c r="K163" s="194">
        <v>2.5600000000000001E-2</v>
      </c>
      <c r="L163" s="194">
        <v>2.5600000000000001E-2</v>
      </c>
      <c r="M163" s="194">
        <v>2.5600000000000001E-2</v>
      </c>
      <c r="N163" s="194">
        <v>2.5600000000000001E-2</v>
      </c>
      <c r="O163" s="194">
        <v>2.5600000000000001E-2</v>
      </c>
      <c r="P163" s="194">
        <v>2.5600000000000001E-2</v>
      </c>
      <c r="Q163" s="194">
        <v>2.5600000000000001E-2</v>
      </c>
      <c r="R163" s="194">
        <v>2.5600000000000001E-2</v>
      </c>
      <c r="S163" s="194">
        <v>2.5600000000000001E-2</v>
      </c>
      <c r="T163" s="194">
        <v>2.5600000000000001E-2</v>
      </c>
      <c r="U163" s="194">
        <v>2.5600000000000001E-2</v>
      </c>
      <c r="V163" s="194">
        <v>2.5600000000000001E-2</v>
      </c>
      <c r="W163" s="194">
        <v>2.5600000000000001E-2</v>
      </c>
      <c r="X163" s="194">
        <v>2.5600000000000001E-2</v>
      </c>
      <c r="Y163" s="194">
        <v>2.5600000000000001E-2</v>
      </c>
      <c r="Z163" s="194">
        <v>2.5600000000000001E-2</v>
      </c>
      <c r="AA163" s="194">
        <v>2.5600000000000001E-2</v>
      </c>
      <c r="AB163" s="194">
        <v>2.5600000000000001E-2</v>
      </c>
      <c r="AC163" s="194">
        <v>2.5600000000000001E-2</v>
      </c>
      <c r="AD163" s="194">
        <v>2.5600000000000001E-2</v>
      </c>
      <c r="AE163" s="194">
        <v>2.5600000000000001E-2</v>
      </c>
      <c r="AF163" s="194">
        <v>2.5600000000000001E-2</v>
      </c>
      <c r="AG163" s="194">
        <v>2.5600000000000001E-2</v>
      </c>
      <c r="AH163" s="194">
        <v>2.5600000000000001E-2</v>
      </c>
      <c r="AI163" s="194">
        <v>2.5600000000000001E-2</v>
      </c>
      <c r="AJ163" s="194">
        <v>2.5600000000000001E-2</v>
      </c>
    </row>
    <row r="164" spans="2:36" s="1" customFormat="1">
      <c r="B164" s="199" t="s">
        <v>175</v>
      </c>
      <c r="C164" s="427">
        <f>IF('Active Inputs'!$G$14="Simple",'Active Inputs'!$G$22*'Active Inputs'!$Z$79,IF('Active Inputs'!$G$14="Intermediate",SUMPRODUCT('Active Inputs'!$G$16:$G$20,'Active Inputs'!$Z$80:$Z$84),'Complex Inputs'!$N$121))</f>
        <v>54521.430389233545</v>
      </c>
      <c r="D164" s="428">
        <f>C164/$C$166</f>
        <v>4.4107443750619488E-3</v>
      </c>
      <c r="E164" s="427">
        <f t="shared" si="50"/>
        <v>46739.602679797885</v>
      </c>
      <c r="F164" s="188"/>
      <c r="G164" s="195"/>
      <c r="H164" s="195"/>
      <c r="I164" s="195"/>
      <c r="J164" s="195"/>
      <c r="K164" s="195"/>
      <c r="L164" s="195"/>
      <c r="M164" s="195"/>
      <c r="N164" s="195"/>
      <c r="O164" s="195"/>
      <c r="P164" s="195"/>
      <c r="Q164" s="195"/>
      <c r="R164" s="195"/>
      <c r="S164" s="195"/>
      <c r="T164" s="195"/>
      <c r="U164" s="195"/>
      <c r="V164" s="195"/>
      <c r="W164" s="195"/>
      <c r="X164" s="195"/>
      <c r="Y164" s="195"/>
      <c r="Z164" s="195"/>
      <c r="AA164" s="195"/>
      <c r="AB164" s="195"/>
      <c r="AC164" s="195"/>
      <c r="AD164" s="195"/>
      <c r="AE164" s="195"/>
      <c r="AF164" s="195"/>
      <c r="AG164" s="195"/>
      <c r="AH164" s="195"/>
      <c r="AI164" s="195"/>
      <c r="AJ164" s="195"/>
    </row>
    <row r="165" spans="2:36" s="1" customFormat="1" ht="15.75">
      <c r="B165" s="264"/>
      <c r="C165" s="424" t="s">
        <v>378</v>
      </c>
      <c r="D165" s="424"/>
      <c r="E165" s="424" t="s">
        <v>379</v>
      </c>
      <c r="F165" s="188"/>
      <c r="G165" s="195"/>
      <c r="H165" s="195"/>
      <c r="I165" s="195"/>
      <c r="J165" s="195"/>
      <c r="K165" s="195"/>
      <c r="L165" s="195"/>
      <c r="M165" s="195"/>
      <c r="N165" s="195"/>
      <c r="O165" s="195"/>
      <c r="P165" s="195"/>
      <c r="Q165" s="195"/>
      <c r="R165" s="195"/>
      <c r="S165" s="195"/>
      <c r="T165" s="195"/>
      <c r="U165" s="195"/>
      <c r="V165" s="195"/>
      <c r="W165" s="195"/>
      <c r="X165" s="195"/>
      <c r="Y165" s="195"/>
      <c r="Z165" s="195"/>
      <c r="AA165" s="195"/>
      <c r="AB165" s="195"/>
      <c r="AC165" s="195"/>
      <c r="AD165" s="195"/>
      <c r="AE165" s="195"/>
      <c r="AF165" s="195"/>
      <c r="AG165" s="195"/>
      <c r="AH165" s="195"/>
      <c r="AI165" s="195"/>
      <c r="AJ165" s="195"/>
    </row>
    <row r="166" spans="2:36" s="1" customFormat="1" ht="15.75">
      <c r="B166" s="187" t="s">
        <v>380</v>
      </c>
      <c r="C166" s="197">
        <f>SUM(C156:C164)</f>
        <v>12361049.689819712</v>
      </c>
      <c r="D166" s="425">
        <f>SUM(D156:D164)</f>
        <v>1</v>
      </c>
      <c r="E166" s="197">
        <f>SUM(E156:E164)</f>
        <v>10596760.706437772</v>
      </c>
      <c r="F166" s="188"/>
      <c r="G166" s="195"/>
      <c r="H166" s="195"/>
      <c r="I166" s="195"/>
      <c r="J166" s="195"/>
      <c r="K166" s="195"/>
      <c r="L166" s="195"/>
      <c r="M166" s="195"/>
      <c r="N166" s="195"/>
      <c r="O166" s="195"/>
      <c r="P166" s="195"/>
      <c r="Q166" s="195"/>
      <c r="R166" s="195"/>
      <c r="S166" s="195"/>
      <c r="T166" s="195"/>
      <c r="U166" s="195"/>
      <c r="V166" s="195"/>
      <c r="W166" s="195"/>
      <c r="X166" s="195"/>
      <c r="Y166" s="195"/>
      <c r="Z166" s="195"/>
      <c r="AA166" s="195"/>
      <c r="AB166" s="195"/>
      <c r="AC166" s="195"/>
      <c r="AD166" s="195"/>
      <c r="AE166" s="195"/>
      <c r="AF166" s="195"/>
      <c r="AG166" s="195"/>
      <c r="AH166" s="195"/>
      <c r="AI166" s="195"/>
      <c r="AJ166" s="195"/>
    </row>
    <row r="167" spans="2:36" s="1" customFormat="1">
      <c r="B167" s="264"/>
      <c r="C167" s="426" t="str">
        <f>IF(C166='Active Inputs'!$G$22,"OK","error")</f>
        <v>OK</v>
      </c>
      <c r="D167" s="426" t="str">
        <f>IF(D166=100%,"OK","error")</f>
        <v>OK</v>
      </c>
      <c r="E167" s="426" t="str">
        <f>IF(E166=(C166-C168),"OK","error")</f>
        <v>OK</v>
      </c>
      <c r="F167" s="188"/>
      <c r="G167" s="195"/>
      <c r="H167" s="195"/>
      <c r="I167" s="195"/>
      <c r="J167" s="195"/>
      <c r="K167" s="195"/>
      <c r="L167" s="195"/>
      <c r="M167" s="195"/>
      <c r="N167" s="195"/>
      <c r="O167" s="195"/>
      <c r="P167" s="195"/>
      <c r="Q167" s="195"/>
      <c r="R167" s="195"/>
      <c r="S167" s="195"/>
      <c r="T167" s="195"/>
      <c r="U167" s="195"/>
      <c r="V167" s="195"/>
      <c r="W167" s="195"/>
      <c r="X167" s="195"/>
      <c r="Y167" s="195"/>
      <c r="Z167" s="195"/>
      <c r="AA167" s="195"/>
      <c r="AB167" s="195"/>
      <c r="AC167" s="195"/>
      <c r="AD167" s="195"/>
      <c r="AE167" s="195"/>
      <c r="AF167" s="195"/>
      <c r="AG167" s="195"/>
      <c r="AH167" s="195"/>
      <c r="AI167" s="195"/>
      <c r="AJ167" s="195"/>
    </row>
    <row r="168" spans="2:36" s="1" customFormat="1">
      <c r="B168" s="188" t="s">
        <v>381</v>
      </c>
      <c r="C168" s="192">
        <f>IF('Active Inputs'!$Q$18="Performance-Based",0,50%*'Active Inputs'!$Q$22)+IF('Active Inputs'!$Q$31="Yes",0,'Active Inputs'!$Q$30)+IF('Active Inputs'!$Q$48="Yes",0,'Active Inputs'!$Q$47)</f>
        <v>1764288.9833819394</v>
      </c>
      <c r="D168" s="188"/>
      <c r="E168" s="192"/>
      <c r="F168" s="188"/>
      <c r="G168" s="195"/>
      <c r="H168" s="195"/>
      <c r="I168" s="195"/>
      <c r="J168" s="195"/>
      <c r="K168" s="195"/>
      <c r="L168" s="195"/>
      <c r="M168" s="195"/>
      <c r="N168" s="195"/>
      <c r="O168" s="195"/>
      <c r="P168" s="195"/>
      <c r="Q168" s="195"/>
      <c r="R168" s="195"/>
      <c r="S168" s="195"/>
      <c r="T168" s="195"/>
      <c r="U168" s="195"/>
      <c r="V168" s="195"/>
      <c r="W168" s="195"/>
      <c r="X168" s="195"/>
      <c r="Y168" s="195"/>
      <c r="Z168" s="195"/>
      <c r="AA168" s="195"/>
      <c r="AB168" s="195"/>
      <c r="AC168" s="195"/>
      <c r="AD168" s="195"/>
      <c r="AE168" s="195"/>
      <c r="AF168" s="195"/>
      <c r="AG168" s="195"/>
      <c r="AH168" s="195"/>
      <c r="AI168" s="195"/>
      <c r="AJ168" s="195"/>
    </row>
    <row r="169" spans="2:36" s="1" customFormat="1">
      <c r="B169" s="188"/>
      <c r="C169" s="188"/>
      <c r="D169" s="188"/>
      <c r="E169" s="192"/>
      <c r="F169" s="188"/>
      <c r="G169" s="195"/>
      <c r="H169" s="195"/>
      <c r="I169" s="195"/>
      <c r="J169" s="195"/>
      <c r="K169" s="195"/>
      <c r="L169" s="195"/>
      <c r="M169" s="195"/>
      <c r="N169" s="195"/>
      <c r="O169" s="195"/>
      <c r="P169" s="195"/>
      <c r="Q169" s="195"/>
      <c r="R169" s="195"/>
      <c r="S169" s="195"/>
      <c r="T169" s="195"/>
      <c r="U169" s="195"/>
      <c r="V169" s="195"/>
      <c r="W169" s="195"/>
      <c r="X169" s="195"/>
      <c r="Y169" s="195"/>
      <c r="Z169" s="195"/>
      <c r="AA169" s="195"/>
      <c r="AB169" s="195"/>
      <c r="AC169" s="195"/>
      <c r="AD169" s="195"/>
      <c r="AE169" s="195"/>
      <c r="AF169" s="195"/>
      <c r="AG169" s="195"/>
      <c r="AH169" s="195"/>
      <c r="AI169" s="195"/>
      <c r="AJ169" s="195"/>
    </row>
    <row r="170" spans="2:36" s="1" customFormat="1" ht="15.75">
      <c r="B170" s="190" t="s">
        <v>382</v>
      </c>
      <c r="C170" s="190"/>
      <c r="D170" s="190"/>
      <c r="E170" s="188"/>
      <c r="F170" s="188"/>
      <c r="G170" s="195"/>
      <c r="H170" s="195"/>
      <c r="I170" s="195"/>
      <c r="J170" s="195"/>
      <c r="K170" s="195"/>
      <c r="L170" s="195"/>
      <c r="M170" s="195"/>
      <c r="N170" s="195"/>
      <c r="O170" s="195"/>
      <c r="P170" s="195"/>
      <c r="Q170" s="195"/>
      <c r="R170" s="195"/>
      <c r="S170" s="195"/>
      <c r="T170" s="195"/>
      <c r="U170" s="195"/>
      <c r="V170" s="195"/>
      <c r="W170" s="195"/>
      <c r="X170" s="195"/>
      <c r="Y170" s="195"/>
      <c r="Z170" s="195"/>
      <c r="AA170" s="195"/>
      <c r="AB170" s="195"/>
      <c r="AC170" s="195"/>
      <c r="AD170" s="195"/>
      <c r="AE170" s="195"/>
      <c r="AF170" s="195"/>
      <c r="AG170" s="195"/>
      <c r="AH170" s="195"/>
      <c r="AI170" s="195"/>
      <c r="AJ170" s="195"/>
    </row>
    <row r="171" spans="2:36" s="1" customFormat="1">
      <c r="B171" s="188" t="s">
        <v>383</v>
      </c>
      <c r="C171" s="188"/>
      <c r="D171" s="188"/>
      <c r="E171" s="196" t="s">
        <v>384</v>
      </c>
      <c r="F171" s="197"/>
      <c r="G171" s="188"/>
      <c r="H171" s="188"/>
      <c r="I171" s="188"/>
      <c r="J171" s="188"/>
      <c r="K171" s="188"/>
      <c r="L171" s="188"/>
      <c r="M171" s="188"/>
      <c r="N171" s="188"/>
      <c r="O171" s="188"/>
      <c r="P171" s="188"/>
      <c r="Q171" s="188"/>
      <c r="R171" s="188"/>
      <c r="S171" s="188"/>
      <c r="T171" s="188"/>
      <c r="U171" s="188"/>
      <c r="V171" s="188"/>
      <c r="W171" s="188"/>
      <c r="X171" s="188"/>
      <c r="Y171" s="188"/>
      <c r="Z171" s="188"/>
      <c r="AA171" s="188"/>
      <c r="AB171" s="188"/>
      <c r="AC171" s="188"/>
      <c r="AD171" s="188"/>
      <c r="AE171" s="188"/>
      <c r="AF171" s="188"/>
      <c r="AG171" s="188"/>
      <c r="AH171" s="188"/>
      <c r="AI171" s="188"/>
      <c r="AJ171" s="188"/>
    </row>
    <row r="172" spans="2:36" s="1" customFormat="1">
      <c r="B172" s="188" t="s">
        <v>369</v>
      </c>
      <c r="C172" s="188"/>
      <c r="D172" s="188"/>
      <c r="E172" s="197">
        <f>SUM(G172:AJ172)</f>
        <v>10083150.24103505</v>
      </c>
      <c r="F172" s="197"/>
      <c r="G172" s="198">
        <f t="shared" ref="G172:AJ172" si="54">$E156*G156</f>
        <v>2016630.0482070101</v>
      </c>
      <c r="H172" s="198">
        <f t="shared" si="54"/>
        <v>3226608.0771312159</v>
      </c>
      <c r="I172" s="198">
        <f t="shared" si="54"/>
        <v>1935964.8462787296</v>
      </c>
      <c r="J172" s="198">
        <f t="shared" si="54"/>
        <v>1161578.9077672376</v>
      </c>
      <c r="K172" s="198">
        <f t="shared" si="54"/>
        <v>1161578.9077672376</v>
      </c>
      <c r="L172" s="198">
        <f t="shared" si="54"/>
        <v>580789.45388361881</v>
      </c>
      <c r="M172" s="198">
        <f t="shared" si="54"/>
        <v>0</v>
      </c>
      <c r="N172" s="198">
        <f t="shared" si="54"/>
        <v>0</v>
      </c>
      <c r="O172" s="198">
        <f t="shared" si="54"/>
        <v>0</v>
      </c>
      <c r="P172" s="198">
        <f t="shared" si="54"/>
        <v>0</v>
      </c>
      <c r="Q172" s="198">
        <f t="shared" si="54"/>
        <v>0</v>
      </c>
      <c r="R172" s="198">
        <f t="shared" si="54"/>
        <v>0</v>
      </c>
      <c r="S172" s="198">
        <f t="shared" si="54"/>
        <v>0</v>
      </c>
      <c r="T172" s="198">
        <f t="shared" si="54"/>
        <v>0</v>
      </c>
      <c r="U172" s="198">
        <f t="shared" si="54"/>
        <v>0</v>
      </c>
      <c r="V172" s="198">
        <f t="shared" si="54"/>
        <v>0</v>
      </c>
      <c r="W172" s="198">
        <f t="shared" si="54"/>
        <v>0</v>
      </c>
      <c r="X172" s="198">
        <f t="shared" si="54"/>
        <v>0</v>
      </c>
      <c r="Y172" s="198">
        <f t="shared" si="54"/>
        <v>0</v>
      </c>
      <c r="Z172" s="198">
        <f t="shared" si="54"/>
        <v>0</v>
      </c>
      <c r="AA172" s="198">
        <f t="shared" si="54"/>
        <v>0</v>
      </c>
      <c r="AB172" s="198">
        <f t="shared" si="54"/>
        <v>0</v>
      </c>
      <c r="AC172" s="198">
        <f t="shared" si="54"/>
        <v>0</v>
      </c>
      <c r="AD172" s="198">
        <f t="shared" si="54"/>
        <v>0</v>
      </c>
      <c r="AE172" s="198">
        <f t="shared" si="54"/>
        <v>0</v>
      </c>
      <c r="AF172" s="198">
        <f t="shared" si="54"/>
        <v>0</v>
      </c>
      <c r="AG172" s="198">
        <f t="shared" si="54"/>
        <v>0</v>
      </c>
      <c r="AH172" s="198">
        <f t="shared" si="54"/>
        <v>0</v>
      </c>
      <c r="AI172" s="198">
        <f t="shared" si="54"/>
        <v>0</v>
      </c>
      <c r="AJ172" s="198">
        <f t="shared" si="54"/>
        <v>0</v>
      </c>
    </row>
    <row r="173" spans="2:36" s="1" customFormat="1">
      <c r="B173" s="188" t="s">
        <v>370</v>
      </c>
      <c r="C173" s="188"/>
      <c r="D173" s="188"/>
      <c r="E173" s="197">
        <f t="shared" ref="E173:E179" si="55">SUM(G173:AJ173)</f>
        <v>0</v>
      </c>
      <c r="F173" s="197"/>
      <c r="G173" s="198">
        <f t="shared" ref="G173:AJ173" si="56">$E157*G157</f>
        <v>0</v>
      </c>
      <c r="H173" s="198">
        <f t="shared" si="56"/>
        <v>0</v>
      </c>
      <c r="I173" s="198">
        <f t="shared" si="56"/>
        <v>0</v>
      </c>
      <c r="J173" s="198">
        <f t="shared" si="56"/>
        <v>0</v>
      </c>
      <c r="K173" s="198">
        <f t="shared" si="56"/>
        <v>0</v>
      </c>
      <c r="L173" s="198">
        <f t="shared" si="56"/>
        <v>0</v>
      </c>
      <c r="M173" s="198">
        <f t="shared" si="56"/>
        <v>0</v>
      </c>
      <c r="N173" s="198">
        <f t="shared" si="56"/>
        <v>0</v>
      </c>
      <c r="O173" s="198">
        <f t="shared" si="56"/>
        <v>0</v>
      </c>
      <c r="P173" s="198">
        <f t="shared" si="56"/>
        <v>0</v>
      </c>
      <c r="Q173" s="198">
        <f t="shared" si="56"/>
        <v>0</v>
      </c>
      <c r="R173" s="198">
        <f t="shared" si="56"/>
        <v>0</v>
      </c>
      <c r="S173" s="198">
        <f t="shared" si="56"/>
        <v>0</v>
      </c>
      <c r="T173" s="198">
        <f t="shared" si="56"/>
        <v>0</v>
      </c>
      <c r="U173" s="198">
        <f t="shared" si="56"/>
        <v>0</v>
      </c>
      <c r="V173" s="198">
        <f t="shared" si="56"/>
        <v>0</v>
      </c>
      <c r="W173" s="198">
        <f t="shared" si="56"/>
        <v>0</v>
      </c>
      <c r="X173" s="198">
        <f t="shared" si="56"/>
        <v>0</v>
      </c>
      <c r="Y173" s="198">
        <f t="shared" si="56"/>
        <v>0</v>
      </c>
      <c r="Z173" s="198">
        <f t="shared" si="56"/>
        <v>0</v>
      </c>
      <c r="AA173" s="198">
        <f t="shared" si="56"/>
        <v>0</v>
      </c>
      <c r="AB173" s="198">
        <f t="shared" si="56"/>
        <v>0</v>
      </c>
      <c r="AC173" s="198">
        <f t="shared" si="56"/>
        <v>0</v>
      </c>
      <c r="AD173" s="198">
        <f t="shared" si="56"/>
        <v>0</v>
      </c>
      <c r="AE173" s="198">
        <f t="shared" si="56"/>
        <v>0</v>
      </c>
      <c r="AF173" s="198">
        <f t="shared" si="56"/>
        <v>0</v>
      </c>
      <c r="AG173" s="198">
        <f t="shared" si="56"/>
        <v>0</v>
      </c>
      <c r="AH173" s="198">
        <f t="shared" si="56"/>
        <v>0</v>
      </c>
      <c r="AI173" s="198">
        <f t="shared" si="56"/>
        <v>0</v>
      </c>
      <c r="AJ173" s="198">
        <f t="shared" si="56"/>
        <v>0</v>
      </c>
    </row>
    <row r="174" spans="2:36" s="1" customFormat="1">
      <c r="B174" s="188" t="s">
        <v>371</v>
      </c>
      <c r="C174" s="188"/>
      <c r="D174" s="188"/>
      <c r="E174" s="197">
        <f t="shared" si="55"/>
        <v>210065.63002156361</v>
      </c>
      <c r="F174" s="197"/>
      <c r="G174" s="198">
        <f t="shared" ref="G174:AJ174" si="57">$E158*G158</f>
        <v>10503.28150107818</v>
      </c>
      <c r="H174" s="198">
        <f t="shared" si="57"/>
        <v>19956.234852048539</v>
      </c>
      <c r="I174" s="198">
        <f t="shared" si="57"/>
        <v>17960.611366843688</v>
      </c>
      <c r="J174" s="198">
        <f t="shared" si="57"/>
        <v>16175.053511660395</v>
      </c>
      <c r="K174" s="198">
        <f t="shared" si="57"/>
        <v>14557.548160494356</v>
      </c>
      <c r="L174" s="198">
        <f t="shared" si="57"/>
        <v>13087.088750343411</v>
      </c>
      <c r="M174" s="198">
        <f t="shared" si="57"/>
        <v>12393.872171272251</v>
      </c>
      <c r="N174" s="198">
        <f t="shared" si="57"/>
        <v>12393.872171272251</v>
      </c>
      <c r="O174" s="198">
        <f t="shared" si="57"/>
        <v>12414.878734274407</v>
      </c>
      <c r="P174" s="198">
        <f t="shared" si="57"/>
        <v>12393.872171272251</v>
      </c>
      <c r="Q174" s="198">
        <f t="shared" si="57"/>
        <v>12414.878734274407</v>
      </c>
      <c r="R174" s="198">
        <f t="shared" si="57"/>
        <v>12393.872171272251</v>
      </c>
      <c r="S174" s="198">
        <f t="shared" si="57"/>
        <v>12414.878734274407</v>
      </c>
      <c r="T174" s="198">
        <f t="shared" si="57"/>
        <v>12393.872171272251</v>
      </c>
      <c r="U174" s="198">
        <f t="shared" si="57"/>
        <v>12414.878734274407</v>
      </c>
      <c r="V174" s="198">
        <f t="shared" si="57"/>
        <v>6196.9360856361254</v>
      </c>
      <c r="W174" s="198">
        <f t="shared" si="57"/>
        <v>0</v>
      </c>
      <c r="X174" s="198">
        <f t="shared" si="57"/>
        <v>0</v>
      </c>
      <c r="Y174" s="198">
        <f t="shared" si="57"/>
        <v>0</v>
      </c>
      <c r="Z174" s="198">
        <f t="shared" si="57"/>
        <v>0</v>
      </c>
      <c r="AA174" s="198">
        <f t="shared" si="57"/>
        <v>0</v>
      </c>
      <c r="AB174" s="198">
        <f t="shared" si="57"/>
        <v>0</v>
      </c>
      <c r="AC174" s="198">
        <f t="shared" si="57"/>
        <v>0</v>
      </c>
      <c r="AD174" s="198">
        <f t="shared" si="57"/>
        <v>0</v>
      </c>
      <c r="AE174" s="198">
        <f t="shared" si="57"/>
        <v>0</v>
      </c>
      <c r="AF174" s="198">
        <f t="shared" si="57"/>
        <v>0</v>
      </c>
      <c r="AG174" s="198">
        <f t="shared" si="57"/>
        <v>0</v>
      </c>
      <c r="AH174" s="198">
        <f t="shared" si="57"/>
        <v>0</v>
      </c>
      <c r="AI174" s="198">
        <f t="shared" si="57"/>
        <v>0</v>
      </c>
      <c r="AJ174" s="198">
        <f t="shared" si="57"/>
        <v>0</v>
      </c>
    </row>
    <row r="175" spans="2:36" s="1" customFormat="1">
      <c r="B175" s="188" t="s">
        <v>372</v>
      </c>
      <c r="C175" s="188"/>
      <c r="D175" s="188"/>
      <c r="E175" s="197">
        <f t="shared" si="55"/>
        <v>0</v>
      </c>
      <c r="F175" s="197"/>
      <c r="G175" s="198">
        <f t="shared" ref="G175:AJ175" si="58">$E159*G159</f>
        <v>0</v>
      </c>
      <c r="H175" s="198">
        <f t="shared" si="58"/>
        <v>0</v>
      </c>
      <c r="I175" s="198">
        <f t="shared" si="58"/>
        <v>0</v>
      </c>
      <c r="J175" s="198">
        <f t="shared" si="58"/>
        <v>0</v>
      </c>
      <c r="K175" s="198">
        <f t="shared" si="58"/>
        <v>0</v>
      </c>
      <c r="L175" s="198">
        <f t="shared" si="58"/>
        <v>0</v>
      </c>
      <c r="M175" s="198">
        <f t="shared" si="58"/>
        <v>0</v>
      </c>
      <c r="N175" s="198">
        <f t="shared" si="58"/>
        <v>0</v>
      </c>
      <c r="O175" s="198">
        <f t="shared" si="58"/>
        <v>0</v>
      </c>
      <c r="P175" s="198">
        <f t="shared" si="58"/>
        <v>0</v>
      </c>
      <c r="Q175" s="198">
        <f t="shared" si="58"/>
        <v>0</v>
      </c>
      <c r="R175" s="198">
        <f t="shared" si="58"/>
        <v>0</v>
      </c>
      <c r="S175" s="198">
        <f t="shared" si="58"/>
        <v>0</v>
      </c>
      <c r="T175" s="198">
        <f t="shared" si="58"/>
        <v>0</v>
      </c>
      <c r="U175" s="198">
        <f t="shared" si="58"/>
        <v>0</v>
      </c>
      <c r="V175" s="198">
        <f t="shared" si="58"/>
        <v>0</v>
      </c>
      <c r="W175" s="198">
        <f t="shared" si="58"/>
        <v>0</v>
      </c>
      <c r="X175" s="198">
        <f t="shared" si="58"/>
        <v>0</v>
      </c>
      <c r="Y175" s="198">
        <f t="shared" si="58"/>
        <v>0</v>
      </c>
      <c r="Z175" s="198">
        <f t="shared" si="58"/>
        <v>0</v>
      </c>
      <c r="AA175" s="198">
        <f t="shared" si="58"/>
        <v>0</v>
      </c>
      <c r="AB175" s="198">
        <f t="shared" si="58"/>
        <v>0</v>
      </c>
      <c r="AC175" s="198">
        <f t="shared" si="58"/>
        <v>0</v>
      </c>
      <c r="AD175" s="198">
        <f t="shared" si="58"/>
        <v>0</v>
      </c>
      <c r="AE175" s="198">
        <f t="shared" si="58"/>
        <v>0</v>
      </c>
      <c r="AF175" s="198">
        <f t="shared" si="58"/>
        <v>0</v>
      </c>
      <c r="AG175" s="198">
        <f t="shared" si="58"/>
        <v>0</v>
      </c>
      <c r="AH175" s="198">
        <f t="shared" si="58"/>
        <v>0</v>
      </c>
      <c r="AI175" s="198">
        <f t="shared" si="58"/>
        <v>0</v>
      </c>
      <c r="AJ175" s="198">
        <f t="shared" si="58"/>
        <v>0</v>
      </c>
    </row>
    <row r="176" spans="2:36" s="1" customFormat="1">
      <c r="B176" s="188" t="s">
        <v>373</v>
      </c>
      <c r="C176" s="188"/>
      <c r="D176" s="188"/>
      <c r="E176" s="197">
        <f t="shared" si="55"/>
        <v>0</v>
      </c>
      <c r="F176" s="197"/>
      <c r="G176" s="198">
        <f t="shared" ref="G176:AJ176" si="59">$E160*G160</f>
        <v>0</v>
      </c>
      <c r="H176" s="198">
        <f t="shared" si="59"/>
        <v>0</v>
      </c>
      <c r="I176" s="198">
        <f t="shared" si="59"/>
        <v>0</v>
      </c>
      <c r="J176" s="198">
        <f t="shared" si="59"/>
        <v>0</v>
      </c>
      <c r="K176" s="198">
        <f t="shared" si="59"/>
        <v>0</v>
      </c>
      <c r="L176" s="198">
        <f t="shared" si="59"/>
        <v>0</v>
      </c>
      <c r="M176" s="198">
        <f t="shared" si="59"/>
        <v>0</v>
      </c>
      <c r="N176" s="198">
        <f t="shared" si="59"/>
        <v>0</v>
      </c>
      <c r="O176" s="198">
        <f t="shared" si="59"/>
        <v>0</v>
      </c>
      <c r="P176" s="198">
        <f t="shared" si="59"/>
        <v>0</v>
      </c>
      <c r="Q176" s="198">
        <f t="shared" si="59"/>
        <v>0</v>
      </c>
      <c r="R176" s="198">
        <f t="shared" si="59"/>
        <v>0</v>
      </c>
      <c r="S176" s="198">
        <f t="shared" si="59"/>
        <v>0</v>
      </c>
      <c r="T176" s="198">
        <f t="shared" si="59"/>
        <v>0</v>
      </c>
      <c r="U176" s="198">
        <f t="shared" si="59"/>
        <v>0</v>
      </c>
      <c r="V176" s="198">
        <f t="shared" si="59"/>
        <v>0</v>
      </c>
      <c r="W176" s="198">
        <f t="shared" si="59"/>
        <v>0</v>
      </c>
      <c r="X176" s="198">
        <f t="shared" si="59"/>
        <v>0</v>
      </c>
      <c r="Y176" s="198">
        <f t="shared" si="59"/>
        <v>0</v>
      </c>
      <c r="Z176" s="198">
        <f t="shared" si="59"/>
        <v>0</v>
      </c>
      <c r="AA176" s="198">
        <f t="shared" si="59"/>
        <v>0</v>
      </c>
      <c r="AB176" s="198">
        <f t="shared" si="59"/>
        <v>0</v>
      </c>
      <c r="AC176" s="198">
        <f t="shared" si="59"/>
        <v>0</v>
      </c>
      <c r="AD176" s="198">
        <f t="shared" si="59"/>
        <v>0</v>
      </c>
      <c r="AE176" s="198">
        <f t="shared" si="59"/>
        <v>0</v>
      </c>
      <c r="AF176" s="198">
        <f t="shared" si="59"/>
        <v>0</v>
      </c>
      <c r="AG176" s="198">
        <f t="shared" si="59"/>
        <v>0</v>
      </c>
      <c r="AH176" s="198">
        <f t="shared" si="59"/>
        <v>0</v>
      </c>
      <c r="AI176" s="198">
        <f t="shared" si="59"/>
        <v>0</v>
      </c>
      <c r="AJ176" s="198">
        <f t="shared" si="59"/>
        <v>0</v>
      </c>
    </row>
    <row r="177" spans="2:36" s="1" customFormat="1">
      <c r="B177" s="188" t="s">
        <v>374</v>
      </c>
      <c r="C177" s="188"/>
      <c r="D177" s="188"/>
      <c r="E177" s="197">
        <f t="shared" si="55"/>
        <v>0</v>
      </c>
      <c r="F177" s="197"/>
      <c r="G177" s="198">
        <f t="shared" ref="G177:AJ177" si="60">$E161*G161</f>
        <v>0</v>
      </c>
      <c r="H177" s="198">
        <f t="shared" si="60"/>
        <v>0</v>
      </c>
      <c r="I177" s="198">
        <f t="shared" si="60"/>
        <v>0</v>
      </c>
      <c r="J177" s="198">
        <f t="shared" si="60"/>
        <v>0</v>
      </c>
      <c r="K177" s="198">
        <f t="shared" si="60"/>
        <v>0</v>
      </c>
      <c r="L177" s="198">
        <f t="shared" si="60"/>
        <v>0</v>
      </c>
      <c r="M177" s="198">
        <f t="shared" si="60"/>
        <v>0</v>
      </c>
      <c r="N177" s="198">
        <f t="shared" si="60"/>
        <v>0</v>
      </c>
      <c r="O177" s="198">
        <f t="shared" si="60"/>
        <v>0</v>
      </c>
      <c r="P177" s="198">
        <f t="shared" si="60"/>
        <v>0</v>
      </c>
      <c r="Q177" s="198">
        <f t="shared" si="60"/>
        <v>0</v>
      </c>
      <c r="R177" s="198">
        <f t="shared" si="60"/>
        <v>0</v>
      </c>
      <c r="S177" s="198">
        <f t="shared" si="60"/>
        <v>0</v>
      </c>
      <c r="T177" s="198">
        <f t="shared" si="60"/>
        <v>0</v>
      </c>
      <c r="U177" s="198">
        <f t="shared" si="60"/>
        <v>0</v>
      </c>
      <c r="V177" s="198">
        <f t="shared" si="60"/>
        <v>0</v>
      </c>
      <c r="W177" s="198">
        <f t="shared" si="60"/>
        <v>0</v>
      </c>
      <c r="X177" s="198">
        <f t="shared" si="60"/>
        <v>0</v>
      </c>
      <c r="Y177" s="198">
        <f t="shared" si="60"/>
        <v>0</v>
      </c>
      <c r="Z177" s="198">
        <f t="shared" si="60"/>
        <v>0</v>
      </c>
      <c r="AA177" s="198">
        <f t="shared" si="60"/>
        <v>0</v>
      </c>
      <c r="AB177" s="198">
        <f t="shared" si="60"/>
        <v>0</v>
      </c>
      <c r="AC177" s="198">
        <f t="shared" si="60"/>
        <v>0</v>
      </c>
      <c r="AD177" s="198">
        <f t="shared" si="60"/>
        <v>0</v>
      </c>
      <c r="AE177" s="198">
        <f t="shared" si="60"/>
        <v>0</v>
      </c>
      <c r="AF177" s="198">
        <f t="shared" si="60"/>
        <v>0</v>
      </c>
      <c r="AG177" s="198">
        <f t="shared" si="60"/>
        <v>0</v>
      </c>
      <c r="AH177" s="198">
        <f t="shared" si="60"/>
        <v>0</v>
      </c>
      <c r="AI177" s="198">
        <f t="shared" si="60"/>
        <v>0</v>
      </c>
      <c r="AJ177" s="198">
        <f t="shared" si="60"/>
        <v>0</v>
      </c>
    </row>
    <row r="178" spans="2:36" s="1" customFormat="1">
      <c r="B178" s="188" t="s">
        <v>375</v>
      </c>
      <c r="C178" s="188"/>
      <c r="D178" s="188"/>
      <c r="E178" s="197">
        <f t="shared" si="55"/>
        <v>256805.2327013615</v>
      </c>
      <c r="F178" s="197"/>
      <c r="G178" s="198">
        <f t="shared" ref="G178:AJ178" si="61">$E162*G162</f>
        <v>6420.1308175340364</v>
      </c>
      <c r="H178" s="198">
        <f t="shared" si="61"/>
        <v>12840.261635068073</v>
      </c>
      <c r="I178" s="198">
        <f t="shared" si="61"/>
        <v>12840.261635068073</v>
      </c>
      <c r="J178" s="198">
        <f t="shared" si="61"/>
        <v>12840.261635068073</v>
      </c>
      <c r="K178" s="198">
        <f t="shared" si="61"/>
        <v>12840.261635068073</v>
      </c>
      <c r="L178" s="198">
        <f t="shared" si="61"/>
        <v>12840.261635068073</v>
      </c>
      <c r="M178" s="198">
        <f t="shared" si="61"/>
        <v>12840.261635068073</v>
      </c>
      <c r="N178" s="198">
        <f t="shared" si="61"/>
        <v>12840.261635068073</v>
      </c>
      <c r="O178" s="198">
        <f t="shared" si="61"/>
        <v>12840.261635068073</v>
      </c>
      <c r="P178" s="198">
        <f t="shared" si="61"/>
        <v>12840.261635068073</v>
      </c>
      <c r="Q178" s="198">
        <f t="shared" si="61"/>
        <v>12840.261635068073</v>
      </c>
      <c r="R178" s="198">
        <f t="shared" si="61"/>
        <v>12840.261635068073</v>
      </c>
      <c r="S178" s="198">
        <f t="shared" si="61"/>
        <v>12840.261635068073</v>
      </c>
      <c r="T178" s="198">
        <f t="shared" si="61"/>
        <v>12840.261635068073</v>
      </c>
      <c r="U178" s="198">
        <f t="shared" si="61"/>
        <v>12840.261635068073</v>
      </c>
      <c r="V178" s="198">
        <f t="shared" si="61"/>
        <v>12840.261635068073</v>
      </c>
      <c r="W178" s="198">
        <f t="shared" si="61"/>
        <v>12840.261635068073</v>
      </c>
      <c r="X178" s="198">
        <f t="shared" si="61"/>
        <v>12840.261635068073</v>
      </c>
      <c r="Y178" s="198">
        <f t="shared" si="61"/>
        <v>12840.261635068073</v>
      </c>
      <c r="Z178" s="198">
        <f t="shared" si="61"/>
        <v>12840.261635068073</v>
      </c>
      <c r="AA178" s="198">
        <f t="shared" si="61"/>
        <v>6420.1308175340364</v>
      </c>
      <c r="AB178" s="198">
        <f t="shared" si="61"/>
        <v>0</v>
      </c>
      <c r="AC178" s="198">
        <f t="shared" si="61"/>
        <v>0</v>
      </c>
      <c r="AD178" s="198">
        <f t="shared" si="61"/>
        <v>0</v>
      </c>
      <c r="AE178" s="198">
        <f t="shared" si="61"/>
        <v>0</v>
      </c>
      <c r="AF178" s="198">
        <f t="shared" si="61"/>
        <v>0</v>
      </c>
      <c r="AG178" s="198">
        <f t="shared" si="61"/>
        <v>0</v>
      </c>
      <c r="AH178" s="198">
        <f t="shared" si="61"/>
        <v>0</v>
      </c>
      <c r="AI178" s="198">
        <f t="shared" si="61"/>
        <v>0</v>
      </c>
      <c r="AJ178" s="198">
        <f t="shared" si="61"/>
        <v>0</v>
      </c>
    </row>
    <row r="179" spans="2:36" s="1" customFormat="1">
      <c r="B179" s="188" t="s">
        <v>376</v>
      </c>
      <c r="C179" s="188"/>
      <c r="D179" s="188"/>
      <c r="E179" s="197">
        <f t="shared" si="55"/>
        <v>0</v>
      </c>
      <c r="F179" s="197"/>
      <c r="G179" s="198">
        <f t="shared" ref="G179:AJ179" si="62">$E163*G163</f>
        <v>0</v>
      </c>
      <c r="H179" s="198">
        <f t="shared" si="62"/>
        <v>0</v>
      </c>
      <c r="I179" s="198">
        <f t="shared" si="62"/>
        <v>0</v>
      </c>
      <c r="J179" s="198">
        <f t="shared" si="62"/>
        <v>0</v>
      </c>
      <c r="K179" s="198">
        <f t="shared" si="62"/>
        <v>0</v>
      </c>
      <c r="L179" s="198">
        <f t="shared" si="62"/>
        <v>0</v>
      </c>
      <c r="M179" s="198">
        <f t="shared" si="62"/>
        <v>0</v>
      </c>
      <c r="N179" s="198">
        <f t="shared" si="62"/>
        <v>0</v>
      </c>
      <c r="O179" s="198">
        <f t="shared" si="62"/>
        <v>0</v>
      </c>
      <c r="P179" s="198">
        <f t="shared" si="62"/>
        <v>0</v>
      </c>
      <c r="Q179" s="198">
        <f t="shared" si="62"/>
        <v>0</v>
      </c>
      <c r="R179" s="198">
        <f t="shared" si="62"/>
        <v>0</v>
      </c>
      <c r="S179" s="198">
        <f t="shared" si="62"/>
        <v>0</v>
      </c>
      <c r="T179" s="198">
        <f t="shared" si="62"/>
        <v>0</v>
      </c>
      <c r="U179" s="198">
        <f t="shared" si="62"/>
        <v>0</v>
      </c>
      <c r="V179" s="198">
        <f t="shared" si="62"/>
        <v>0</v>
      </c>
      <c r="W179" s="198">
        <f t="shared" si="62"/>
        <v>0</v>
      </c>
      <c r="X179" s="198">
        <f t="shared" si="62"/>
        <v>0</v>
      </c>
      <c r="Y179" s="198">
        <f t="shared" si="62"/>
        <v>0</v>
      </c>
      <c r="Z179" s="198">
        <f t="shared" si="62"/>
        <v>0</v>
      </c>
      <c r="AA179" s="198">
        <f t="shared" si="62"/>
        <v>0</v>
      </c>
      <c r="AB179" s="198">
        <f t="shared" si="62"/>
        <v>0</v>
      </c>
      <c r="AC179" s="198">
        <f t="shared" si="62"/>
        <v>0</v>
      </c>
      <c r="AD179" s="198">
        <f t="shared" si="62"/>
        <v>0</v>
      </c>
      <c r="AE179" s="198">
        <f t="shared" si="62"/>
        <v>0</v>
      </c>
      <c r="AF179" s="198">
        <f t="shared" si="62"/>
        <v>0</v>
      </c>
      <c r="AG179" s="198">
        <f t="shared" si="62"/>
        <v>0</v>
      </c>
      <c r="AH179" s="198">
        <f t="shared" si="62"/>
        <v>0</v>
      </c>
      <c r="AI179" s="198">
        <f t="shared" si="62"/>
        <v>0</v>
      </c>
      <c r="AJ179" s="198">
        <f t="shared" si="62"/>
        <v>0</v>
      </c>
    </row>
    <row r="180" spans="2:36" s="1" customFormat="1">
      <c r="B180" s="199" t="s">
        <v>175</v>
      </c>
      <c r="C180" s="199"/>
      <c r="D180" s="199"/>
      <c r="E180" s="200">
        <f>E164</f>
        <v>46739.602679797885</v>
      </c>
      <c r="F180" s="197"/>
      <c r="G180" s="198"/>
      <c r="H180" s="198"/>
      <c r="I180" s="198"/>
      <c r="J180" s="198"/>
      <c r="K180" s="198"/>
      <c r="L180" s="198"/>
      <c r="M180" s="198"/>
      <c r="N180" s="198"/>
      <c r="O180" s="198"/>
      <c r="P180" s="198"/>
      <c r="Q180" s="198"/>
      <c r="R180" s="198"/>
      <c r="S180" s="198"/>
      <c r="T180" s="198"/>
      <c r="U180" s="198"/>
      <c r="V180" s="198"/>
      <c r="W180" s="198"/>
      <c r="X180" s="198"/>
      <c r="Y180" s="198"/>
      <c r="Z180" s="198"/>
      <c r="AA180" s="198"/>
      <c r="AB180" s="198"/>
      <c r="AC180" s="198"/>
      <c r="AD180" s="198"/>
      <c r="AE180" s="198"/>
      <c r="AF180" s="198"/>
      <c r="AG180" s="198"/>
      <c r="AH180" s="198"/>
      <c r="AI180" s="198"/>
      <c r="AJ180" s="198"/>
    </row>
    <row r="181" spans="2:36" s="1" customFormat="1">
      <c r="B181" s="188" t="s">
        <v>385</v>
      </c>
      <c r="C181" s="188"/>
      <c r="D181" s="188"/>
      <c r="E181" s="197">
        <f>SUM(E172:E180)</f>
        <v>10596760.706437772</v>
      </c>
      <c r="F181" s="201" t="str">
        <f>IF(ROUND(E181,0)=ROUND(E166,0),"OK","error")</f>
        <v>OK</v>
      </c>
      <c r="G181" s="198"/>
      <c r="H181" s="198"/>
      <c r="I181" s="198"/>
      <c r="J181" s="198"/>
      <c r="K181" s="198"/>
      <c r="L181" s="198"/>
      <c r="M181" s="198"/>
      <c r="N181" s="198"/>
      <c r="O181" s="198"/>
      <c r="P181" s="198"/>
      <c r="Q181" s="198"/>
      <c r="R181" s="198"/>
      <c r="S181" s="198"/>
      <c r="T181" s="198"/>
      <c r="U181" s="198"/>
      <c r="V181" s="198"/>
      <c r="W181" s="198"/>
      <c r="X181" s="198"/>
      <c r="Y181" s="198"/>
      <c r="Z181" s="198"/>
      <c r="AA181" s="198"/>
      <c r="AB181" s="198"/>
      <c r="AC181" s="198"/>
      <c r="AD181" s="198"/>
      <c r="AE181" s="198"/>
      <c r="AF181" s="198"/>
      <c r="AG181" s="198"/>
      <c r="AH181" s="198"/>
      <c r="AI181" s="198"/>
      <c r="AJ181" s="198"/>
    </row>
    <row r="182" spans="2:36" s="1" customFormat="1">
      <c r="B182" s="188"/>
      <c r="C182" s="188"/>
      <c r="D182" s="188"/>
      <c r="E182" s="197"/>
      <c r="F182" s="201"/>
      <c r="G182" s="198"/>
      <c r="H182" s="198"/>
      <c r="I182" s="198"/>
      <c r="J182" s="198"/>
      <c r="K182" s="198"/>
      <c r="L182" s="198"/>
      <c r="M182" s="198"/>
      <c r="N182" s="198"/>
      <c r="O182" s="198"/>
      <c r="P182" s="198"/>
      <c r="Q182" s="198"/>
      <c r="R182" s="198"/>
      <c r="S182" s="198"/>
      <c r="T182" s="198"/>
      <c r="U182" s="198"/>
      <c r="V182" s="198"/>
      <c r="W182" s="198"/>
      <c r="X182" s="198"/>
      <c r="Y182" s="198"/>
      <c r="Z182" s="198"/>
      <c r="AA182" s="198"/>
      <c r="AB182" s="198"/>
      <c r="AC182" s="198"/>
      <c r="AD182" s="198"/>
      <c r="AE182" s="198"/>
      <c r="AF182" s="198"/>
      <c r="AG182" s="198"/>
      <c r="AH182" s="198"/>
      <c r="AI182" s="198"/>
      <c r="AJ182" s="198"/>
    </row>
    <row r="183" spans="2:36" s="1" customFormat="1" ht="15.75">
      <c r="B183" s="190" t="s">
        <v>386</v>
      </c>
      <c r="C183" s="190"/>
      <c r="D183" s="190"/>
      <c r="E183" s="197"/>
      <c r="F183" s="201"/>
      <c r="G183" s="198"/>
      <c r="H183" s="198"/>
      <c r="I183" s="198"/>
      <c r="J183" s="198"/>
      <c r="K183" s="198"/>
      <c r="L183" s="198"/>
      <c r="M183" s="198"/>
      <c r="N183" s="198"/>
      <c r="O183" s="198"/>
      <c r="P183" s="198"/>
      <c r="Q183" s="198"/>
      <c r="R183" s="198"/>
      <c r="S183" s="198"/>
      <c r="T183" s="198"/>
      <c r="U183" s="198"/>
      <c r="V183" s="198"/>
      <c r="W183" s="198"/>
      <c r="X183" s="198"/>
      <c r="Y183" s="198"/>
      <c r="Z183" s="198"/>
      <c r="AA183" s="198"/>
      <c r="AB183" s="198"/>
      <c r="AC183" s="198"/>
      <c r="AD183" s="198"/>
      <c r="AE183" s="198"/>
      <c r="AF183" s="198"/>
      <c r="AG183" s="198"/>
      <c r="AH183" s="198"/>
      <c r="AI183" s="198"/>
      <c r="AJ183" s="198"/>
    </row>
    <row r="184" spans="2:36" s="1" customFormat="1">
      <c r="B184" s="188" t="s">
        <v>387</v>
      </c>
      <c r="C184" s="188"/>
      <c r="D184" s="188"/>
      <c r="E184" s="197">
        <f>'Active Inputs'!$Q$52*'Active Inputs'!$G$7</f>
        <v>105000</v>
      </c>
      <c r="F184" s="201"/>
      <c r="G184" s="198">
        <f>IF(G$2='Active Inputs'!$Q$51,'Cash Flow'!$E$184,0)</f>
        <v>0</v>
      </c>
      <c r="H184" s="198">
        <f>IF(H$2='Active Inputs'!$Q$51,'Cash Flow'!$E$184,0)</f>
        <v>0</v>
      </c>
      <c r="I184" s="198">
        <f>IF(I$2='Active Inputs'!$Q$51,'Cash Flow'!$E$184,0)</f>
        <v>0</v>
      </c>
      <c r="J184" s="198">
        <f>IF(J$2='Active Inputs'!$Q$51,'Cash Flow'!$E$184,0)</f>
        <v>0</v>
      </c>
      <c r="K184" s="198">
        <f>IF(K$2='Active Inputs'!$Q$51,'Cash Flow'!$E$184,0)</f>
        <v>0</v>
      </c>
      <c r="L184" s="198">
        <f>IF(L$2='Active Inputs'!$Q$51,'Cash Flow'!$E$184,0)</f>
        <v>0</v>
      </c>
      <c r="M184" s="198">
        <f>IF(M$2='Active Inputs'!$Q$51,'Cash Flow'!$E$184,0)</f>
        <v>0</v>
      </c>
      <c r="N184" s="198">
        <f>IF(N$2='Active Inputs'!$Q$51,'Cash Flow'!$E$184,0)</f>
        <v>0</v>
      </c>
      <c r="O184" s="198">
        <f>IF(O$2='Active Inputs'!$Q$51,'Cash Flow'!$E$184,0)</f>
        <v>0</v>
      </c>
      <c r="P184" s="198">
        <f>IF(P$2='Active Inputs'!$Q$51,'Cash Flow'!$E$184,0)</f>
        <v>0</v>
      </c>
      <c r="Q184" s="198">
        <f>IF(Q$2='Active Inputs'!$Q$51,'Cash Flow'!$E$184,0)</f>
        <v>0</v>
      </c>
      <c r="R184" s="198">
        <f>IF(R$2='Active Inputs'!$Q$51,'Cash Flow'!$E$184,0)</f>
        <v>105000</v>
      </c>
      <c r="S184" s="198">
        <f>IF(S$2='Active Inputs'!$Q$51,'Cash Flow'!$E$184,0)</f>
        <v>0</v>
      </c>
      <c r="T184" s="198">
        <f>IF(T$2='Active Inputs'!$Q$51,'Cash Flow'!$E$184,0)</f>
        <v>0</v>
      </c>
      <c r="U184" s="198">
        <f>IF(U$2='Active Inputs'!$Q$51,'Cash Flow'!$E$184,0)</f>
        <v>0</v>
      </c>
      <c r="V184" s="198">
        <f>IF(V$2='Active Inputs'!$Q$51,'Cash Flow'!$E$184,0)</f>
        <v>0</v>
      </c>
      <c r="W184" s="198">
        <f>IF(W$2='Active Inputs'!$Q$51,'Cash Flow'!$E$184,0)</f>
        <v>0</v>
      </c>
      <c r="X184" s="198">
        <f>IF(X$2='Active Inputs'!$Q$51,'Cash Flow'!$E$184,0)</f>
        <v>0</v>
      </c>
      <c r="Y184" s="198">
        <f>IF(Y$2='Active Inputs'!$Q$51,'Cash Flow'!$E$184,0)</f>
        <v>0</v>
      </c>
      <c r="Z184" s="198">
        <f>IF(Z$2='Active Inputs'!$Q$51,'Cash Flow'!$E$184,0)</f>
        <v>0</v>
      </c>
      <c r="AA184" s="198">
        <f>IF(AA$2='Active Inputs'!$Q$51,'Cash Flow'!$E$184,0)</f>
        <v>0</v>
      </c>
      <c r="AB184" s="198">
        <f>IF(AB$2='Active Inputs'!$Q$51,'Cash Flow'!$E$184,0)</f>
        <v>0</v>
      </c>
      <c r="AC184" s="198">
        <f>IF(AC$2='Active Inputs'!$Q$51,'Cash Flow'!$E$184,0)</f>
        <v>0</v>
      </c>
      <c r="AD184" s="198">
        <f>IF(AD$2='Active Inputs'!$Q$51,'Cash Flow'!$E$184,0)</f>
        <v>0</v>
      </c>
      <c r="AE184" s="198">
        <f>IF(AE$2='Active Inputs'!$Q$51,'Cash Flow'!$E$184,0)</f>
        <v>0</v>
      </c>
      <c r="AF184" s="198">
        <f>IF(AF$2='Active Inputs'!$Q$51,'Cash Flow'!$E$184,0)</f>
        <v>0</v>
      </c>
      <c r="AG184" s="198">
        <f>IF(AG$2='Active Inputs'!$Q$51,'Cash Flow'!$E$184,0)</f>
        <v>0</v>
      </c>
      <c r="AH184" s="198">
        <f>IF(AH$2='Active Inputs'!$Q$51,'Cash Flow'!$E$184,0)</f>
        <v>0</v>
      </c>
      <c r="AI184" s="198">
        <f>IF(AI$2='Active Inputs'!$Q$51,'Cash Flow'!$E$184,0)</f>
        <v>0</v>
      </c>
      <c r="AJ184" s="198">
        <f>IF(AJ$2='Active Inputs'!$Q$51,'Cash Flow'!$E$184,0)</f>
        <v>0</v>
      </c>
    </row>
    <row r="185" spans="2:36" s="1" customFormat="1">
      <c r="B185" s="188" t="s">
        <v>388</v>
      </c>
      <c r="C185" s="188"/>
      <c r="D185" s="188"/>
      <c r="E185" s="197"/>
      <c r="F185" s="201"/>
      <c r="G185" s="202">
        <f>IF(G184&gt;0,1,IF(F185&gt;0,F185+1,0))</f>
        <v>0</v>
      </c>
      <c r="H185" s="202">
        <f t="shared" ref="H185" si="63">IF(H184&gt;0,1,IF(G185&gt;0,G185+1,0))</f>
        <v>0</v>
      </c>
      <c r="I185" s="202">
        <f t="shared" ref="I185" si="64">IF(I184&gt;0,1,IF(H185&gt;0,H185+1,0))</f>
        <v>0</v>
      </c>
      <c r="J185" s="202">
        <f t="shared" ref="J185" si="65">IF(J184&gt;0,1,IF(I185&gt;0,I185+1,0))</f>
        <v>0</v>
      </c>
      <c r="K185" s="202">
        <f t="shared" ref="K185" si="66">IF(K184&gt;0,1,IF(J185&gt;0,J185+1,0))</f>
        <v>0</v>
      </c>
      <c r="L185" s="202">
        <f t="shared" ref="L185" si="67">IF(L184&gt;0,1,IF(K185&gt;0,K185+1,0))</f>
        <v>0</v>
      </c>
      <c r="M185" s="202">
        <f t="shared" ref="M185" si="68">IF(M184&gt;0,1,IF(L185&gt;0,L185+1,0))</f>
        <v>0</v>
      </c>
      <c r="N185" s="202">
        <f t="shared" ref="N185" si="69">IF(N184&gt;0,1,IF(M185&gt;0,M185+1,0))</f>
        <v>0</v>
      </c>
      <c r="O185" s="202">
        <f t="shared" ref="O185" si="70">IF(O184&gt;0,1,IF(N185&gt;0,N185+1,0))</f>
        <v>0</v>
      </c>
      <c r="P185" s="202">
        <f t="shared" ref="P185" si="71">IF(P184&gt;0,1,IF(O185&gt;0,O185+1,0))</f>
        <v>0</v>
      </c>
      <c r="Q185" s="202">
        <f t="shared" ref="Q185" si="72">IF(Q184&gt;0,1,IF(P185&gt;0,P185+1,0))</f>
        <v>0</v>
      </c>
      <c r="R185" s="202">
        <f t="shared" ref="R185" si="73">IF(R184&gt;0,1,IF(Q185&gt;0,Q185+1,0))</f>
        <v>1</v>
      </c>
      <c r="S185" s="202">
        <f t="shared" ref="S185" si="74">IF(S184&gt;0,1,IF(R185&gt;0,R185+1,0))</f>
        <v>2</v>
      </c>
      <c r="T185" s="202">
        <f t="shared" ref="T185" si="75">IF(T184&gt;0,1,IF(S185&gt;0,S185+1,0))</f>
        <v>3</v>
      </c>
      <c r="U185" s="202">
        <f t="shared" ref="U185" si="76">IF(U184&gt;0,1,IF(T185&gt;0,T185+1,0))</f>
        <v>4</v>
      </c>
      <c r="V185" s="202">
        <f t="shared" ref="V185" si="77">IF(V184&gt;0,1,IF(U185&gt;0,U185+1,0))</f>
        <v>5</v>
      </c>
      <c r="W185" s="202">
        <f t="shared" ref="W185" si="78">IF(W184&gt;0,1,IF(V185&gt;0,V185+1,0))</f>
        <v>6</v>
      </c>
      <c r="X185" s="202">
        <f t="shared" ref="X185" si="79">IF(X184&gt;0,1,IF(W185&gt;0,W185+1,0))</f>
        <v>7</v>
      </c>
      <c r="Y185" s="202">
        <f t="shared" ref="Y185" si="80">IF(Y184&gt;0,1,IF(X185&gt;0,X185+1,0))</f>
        <v>8</v>
      </c>
      <c r="Z185" s="202">
        <f t="shared" ref="Z185" si="81">IF(Z184&gt;0,1,IF(Y185&gt;0,Y185+1,0))</f>
        <v>9</v>
      </c>
      <c r="AA185" s="202">
        <f t="shared" ref="AA185" si="82">IF(AA184&gt;0,1,IF(Z185&gt;0,Z185+1,0))</f>
        <v>10</v>
      </c>
      <c r="AB185" s="202">
        <f t="shared" ref="AB185" si="83">IF(AB184&gt;0,1,IF(AA185&gt;0,AA185+1,0))</f>
        <v>11</v>
      </c>
      <c r="AC185" s="202">
        <f t="shared" ref="AC185" si="84">IF(AC184&gt;0,1,IF(AB185&gt;0,AB185+1,0))</f>
        <v>12</v>
      </c>
      <c r="AD185" s="202">
        <f t="shared" ref="AD185" si="85">IF(AD184&gt;0,1,IF(AC185&gt;0,AC185+1,0))</f>
        <v>13</v>
      </c>
      <c r="AE185" s="202">
        <f t="shared" ref="AE185" si="86">IF(AE184&gt;0,1,IF(AD185&gt;0,AD185+1,0))</f>
        <v>14</v>
      </c>
      <c r="AF185" s="202">
        <f t="shared" ref="AF185" si="87">IF(AF184&gt;0,1,IF(AE185&gt;0,AE185+1,0))</f>
        <v>15</v>
      </c>
      <c r="AG185" s="202">
        <f t="shared" ref="AG185" si="88">IF(AG184&gt;0,1,IF(AF185&gt;0,AF185+1,0))</f>
        <v>16</v>
      </c>
      <c r="AH185" s="202">
        <f t="shared" ref="AH185" si="89">IF(AH184&gt;0,1,IF(AG185&gt;0,AG185+1,0))</f>
        <v>17</v>
      </c>
      <c r="AI185" s="202">
        <f t="shared" ref="AI185" si="90">IF(AI184&gt;0,1,IF(AH185&gt;0,AH185+1,0))</f>
        <v>18</v>
      </c>
      <c r="AJ185" s="202">
        <f t="shared" ref="AJ185" si="91">IF(AJ184&gt;0,1,IF(AI185&gt;0,AI185+1,0))</f>
        <v>19</v>
      </c>
    </row>
    <row r="186" spans="2:36" s="1" customFormat="1">
      <c r="B186" s="199" t="s">
        <v>389</v>
      </c>
      <c r="C186" s="199"/>
      <c r="D186" s="199"/>
      <c r="E186" s="200"/>
      <c r="F186" s="201"/>
      <c r="G186" s="198">
        <f>IF(G185=0,0,$E$184*LOOKUP(G185,$G$154:$AJ$154,$G$156:$AJ$156))</f>
        <v>0</v>
      </c>
      <c r="H186" s="198">
        <f t="shared" ref="H186:AJ186" si="92">IF(H185=0,0,$E$184*LOOKUP(H185,$G$154:$AJ$154,$G$156:$AJ$156))</f>
        <v>0</v>
      </c>
      <c r="I186" s="198">
        <f t="shared" si="92"/>
        <v>0</v>
      </c>
      <c r="J186" s="198">
        <f t="shared" si="92"/>
        <v>0</v>
      </c>
      <c r="K186" s="198">
        <f t="shared" si="92"/>
        <v>0</v>
      </c>
      <c r="L186" s="198">
        <f t="shared" si="92"/>
        <v>0</v>
      </c>
      <c r="M186" s="198">
        <f t="shared" si="92"/>
        <v>0</v>
      </c>
      <c r="N186" s="198">
        <f t="shared" si="92"/>
        <v>0</v>
      </c>
      <c r="O186" s="198">
        <f t="shared" si="92"/>
        <v>0</v>
      </c>
      <c r="P186" s="198">
        <f t="shared" si="92"/>
        <v>0</v>
      </c>
      <c r="Q186" s="198">
        <f t="shared" si="92"/>
        <v>0</v>
      </c>
      <c r="R186" s="198">
        <f t="shared" si="92"/>
        <v>21000</v>
      </c>
      <c r="S186" s="198">
        <f t="shared" si="92"/>
        <v>33600</v>
      </c>
      <c r="T186" s="198">
        <f t="shared" si="92"/>
        <v>20160</v>
      </c>
      <c r="U186" s="198">
        <f t="shared" si="92"/>
        <v>12096</v>
      </c>
      <c r="V186" s="198">
        <f t="shared" si="92"/>
        <v>12096</v>
      </c>
      <c r="W186" s="198">
        <f t="shared" si="92"/>
        <v>6048</v>
      </c>
      <c r="X186" s="198">
        <f t="shared" si="92"/>
        <v>0</v>
      </c>
      <c r="Y186" s="198">
        <f t="shared" si="92"/>
        <v>0</v>
      </c>
      <c r="Z186" s="198">
        <f t="shared" si="92"/>
        <v>0</v>
      </c>
      <c r="AA186" s="198">
        <f t="shared" si="92"/>
        <v>0</v>
      </c>
      <c r="AB186" s="198">
        <f t="shared" si="92"/>
        <v>0</v>
      </c>
      <c r="AC186" s="198">
        <f t="shared" si="92"/>
        <v>0</v>
      </c>
      <c r="AD186" s="198">
        <f t="shared" si="92"/>
        <v>0</v>
      </c>
      <c r="AE186" s="198">
        <f t="shared" si="92"/>
        <v>0</v>
      </c>
      <c r="AF186" s="198">
        <f t="shared" si="92"/>
        <v>0</v>
      </c>
      <c r="AG186" s="198">
        <f t="shared" si="92"/>
        <v>0</v>
      </c>
      <c r="AH186" s="198">
        <f t="shared" si="92"/>
        <v>0</v>
      </c>
      <c r="AI186" s="198">
        <f t="shared" si="92"/>
        <v>0</v>
      </c>
      <c r="AJ186" s="198">
        <f t="shared" si="92"/>
        <v>0</v>
      </c>
    </row>
    <row r="187" spans="2:36" s="1" customFormat="1">
      <c r="B187" s="188" t="s">
        <v>390</v>
      </c>
      <c r="C187" s="188"/>
      <c r="D187" s="188"/>
      <c r="E187" s="197">
        <f>'Active Inputs'!$Q$54*'Active Inputs'!$G$7</f>
        <v>0</v>
      </c>
      <c r="F187" s="201"/>
      <c r="G187" s="198">
        <f>IF(G$2='Active Inputs'!$Q$53,'Cash Flow'!$E$187,0)</f>
        <v>0</v>
      </c>
      <c r="H187" s="198">
        <f>IF(H$2='Active Inputs'!$Q$53,'Cash Flow'!$E$187,0)</f>
        <v>0</v>
      </c>
      <c r="I187" s="198">
        <f>IF(I$2='Active Inputs'!$Q$53,'Cash Flow'!$E$187,0)</f>
        <v>0</v>
      </c>
      <c r="J187" s="198">
        <f>IF(J$2='Active Inputs'!$Q$53,'Cash Flow'!$E$187,0)</f>
        <v>0</v>
      </c>
      <c r="K187" s="198">
        <f>IF(K$2='Active Inputs'!$Q$53,'Cash Flow'!$E$187,0)</f>
        <v>0</v>
      </c>
      <c r="L187" s="198">
        <f>IF(L$2='Active Inputs'!$Q$53,'Cash Flow'!$E$187,0)</f>
        <v>0</v>
      </c>
      <c r="M187" s="198">
        <f>IF(M$2='Active Inputs'!$Q$53,'Cash Flow'!$E$187,0)</f>
        <v>0</v>
      </c>
      <c r="N187" s="198">
        <f>IF(N$2='Active Inputs'!$Q$53,'Cash Flow'!$E$187,0)</f>
        <v>0</v>
      </c>
      <c r="O187" s="198">
        <f>IF(O$2='Active Inputs'!$Q$53,'Cash Flow'!$E$187,0)</f>
        <v>0</v>
      </c>
      <c r="P187" s="198">
        <f>IF(P$2='Active Inputs'!$Q$53,'Cash Flow'!$E$187,0)</f>
        <v>0</v>
      </c>
      <c r="Q187" s="198">
        <f>IF(Q$2='Active Inputs'!$Q$53,'Cash Flow'!$E$187,0)</f>
        <v>0</v>
      </c>
      <c r="R187" s="198">
        <f>IF(R$2='Active Inputs'!$Q$53,'Cash Flow'!$E$187,0)</f>
        <v>0</v>
      </c>
      <c r="S187" s="198">
        <f>IF(S$2='Active Inputs'!$Q$53,'Cash Flow'!$E$187,0)</f>
        <v>0</v>
      </c>
      <c r="T187" s="198">
        <f>IF(T$2='Active Inputs'!$Q$53,'Cash Flow'!$E$187,0)</f>
        <v>0</v>
      </c>
      <c r="U187" s="198">
        <f>IF(U$2='Active Inputs'!$Q$53,'Cash Flow'!$E$187,0)</f>
        <v>0</v>
      </c>
      <c r="V187" s="198">
        <f>IF(V$2='Active Inputs'!$Q$53,'Cash Flow'!$E$187,0)</f>
        <v>0</v>
      </c>
      <c r="W187" s="198">
        <f>IF(W$2='Active Inputs'!$Q$53,'Cash Flow'!$E$187,0)</f>
        <v>0</v>
      </c>
      <c r="X187" s="198">
        <f>IF(X$2='Active Inputs'!$Q$53,'Cash Flow'!$E$187,0)</f>
        <v>0</v>
      </c>
      <c r="Y187" s="198">
        <f>IF(Y$2='Active Inputs'!$Q$53,'Cash Flow'!$E$187,0)</f>
        <v>0</v>
      </c>
      <c r="Z187" s="198">
        <f>IF(Z$2='Active Inputs'!$Q$53,'Cash Flow'!$E$187,0)</f>
        <v>0</v>
      </c>
      <c r="AA187" s="198">
        <f>IF(AA$2='Active Inputs'!$Q$53,'Cash Flow'!$E$187,0)</f>
        <v>0</v>
      </c>
      <c r="AB187" s="198">
        <f>IF(AB$2='Active Inputs'!$Q$53,'Cash Flow'!$E$187,0)</f>
        <v>0</v>
      </c>
      <c r="AC187" s="198">
        <f>IF(AC$2='Active Inputs'!$Q$53,'Cash Flow'!$E$187,0)</f>
        <v>0</v>
      </c>
      <c r="AD187" s="198">
        <f>IF(AD$2='Active Inputs'!$Q$53,'Cash Flow'!$E$187,0)</f>
        <v>0</v>
      </c>
      <c r="AE187" s="198">
        <f>IF(AE$2='Active Inputs'!$Q$53,'Cash Flow'!$E$187,0)</f>
        <v>0</v>
      </c>
      <c r="AF187" s="198">
        <f>IF(AF$2='Active Inputs'!$Q$53,'Cash Flow'!$E$187,0)</f>
        <v>0</v>
      </c>
      <c r="AG187" s="198">
        <f>IF(AG$2='Active Inputs'!$Q$53,'Cash Flow'!$E$187,0)</f>
        <v>0</v>
      </c>
      <c r="AH187" s="198">
        <f>IF(AH$2='Active Inputs'!$Q$53,'Cash Flow'!$E$187,0)</f>
        <v>0</v>
      </c>
      <c r="AI187" s="198">
        <f>IF(AI$2='Active Inputs'!$Q$53,'Cash Flow'!$E$187,0)</f>
        <v>0</v>
      </c>
      <c r="AJ187" s="198">
        <f>IF(AJ$2='Active Inputs'!$Q$53,'Cash Flow'!$E$187,0)</f>
        <v>0</v>
      </c>
    </row>
    <row r="188" spans="2:36" s="1" customFormat="1">
      <c r="B188" s="188" t="s">
        <v>388</v>
      </c>
      <c r="C188" s="188"/>
      <c r="D188" s="188"/>
      <c r="E188" s="197"/>
      <c r="F188" s="201"/>
      <c r="G188" s="202">
        <f t="shared" ref="G188" si="93">IF(G187&gt;0,1,IF(F188&gt;0,F188+1,0))</f>
        <v>0</v>
      </c>
      <c r="H188" s="202">
        <f t="shared" ref="H188" si="94">IF(H187&gt;0,1,IF(G188&gt;0,G188+1,0))</f>
        <v>0</v>
      </c>
      <c r="I188" s="202">
        <f t="shared" ref="I188" si="95">IF(I187&gt;0,1,IF(H188&gt;0,H188+1,0))</f>
        <v>0</v>
      </c>
      <c r="J188" s="202">
        <f t="shared" ref="J188" si="96">IF(J187&gt;0,1,IF(I188&gt;0,I188+1,0))</f>
        <v>0</v>
      </c>
      <c r="K188" s="202">
        <f t="shared" ref="K188" si="97">IF(K187&gt;0,1,IF(J188&gt;0,J188+1,0))</f>
        <v>0</v>
      </c>
      <c r="L188" s="202">
        <f t="shared" ref="L188" si="98">IF(L187&gt;0,1,IF(K188&gt;0,K188+1,0))</f>
        <v>0</v>
      </c>
      <c r="M188" s="202">
        <f t="shared" ref="M188" si="99">IF(M187&gt;0,1,IF(L188&gt;0,L188+1,0))</f>
        <v>0</v>
      </c>
      <c r="N188" s="202">
        <f t="shared" ref="N188" si="100">IF(N187&gt;0,1,IF(M188&gt;0,M188+1,0))</f>
        <v>0</v>
      </c>
      <c r="O188" s="202">
        <f t="shared" ref="O188" si="101">IF(O187&gt;0,1,IF(N188&gt;0,N188+1,0))</f>
        <v>0</v>
      </c>
      <c r="P188" s="202">
        <f t="shared" ref="P188" si="102">IF(P187&gt;0,1,IF(O188&gt;0,O188+1,0))</f>
        <v>0</v>
      </c>
      <c r="Q188" s="202">
        <f t="shared" ref="Q188" si="103">IF(Q187&gt;0,1,IF(P188&gt;0,P188+1,0))</f>
        <v>0</v>
      </c>
      <c r="R188" s="202">
        <f t="shared" ref="R188" si="104">IF(R187&gt;0,1,IF(Q188&gt;0,Q188+1,0))</f>
        <v>0</v>
      </c>
      <c r="S188" s="202">
        <f t="shared" ref="S188" si="105">IF(S187&gt;0,1,IF(R188&gt;0,R188+1,0))</f>
        <v>0</v>
      </c>
      <c r="T188" s="202">
        <f t="shared" ref="T188" si="106">IF(T187&gt;0,1,IF(S188&gt;0,S188+1,0))</f>
        <v>0</v>
      </c>
      <c r="U188" s="202">
        <f t="shared" ref="U188" si="107">IF(U187&gt;0,1,IF(T188&gt;0,T188+1,0))</f>
        <v>0</v>
      </c>
      <c r="V188" s="202">
        <f t="shared" ref="V188" si="108">IF(V187&gt;0,1,IF(U188&gt;0,U188+1,0))</f>
        <v>0</v>
      </c>
      <c r="W188" s="202">
        <f t="shared" ref="W188" si="109">IF(W187&gt;0,1,IF(V188&gt;0,V188+1,0))</f>
        <v>0</v>
      </c>
      <c r="X188" s="202">
        <f t="shared" ref="X188" si="110">IF(X187&gt;0,1,IF(W188&gt;0,W188+1,0))</f>
        <v>0</v>
      </c>
      <c r="Y188" s="202">
        <f t="shared" ref="Y188" si="111">IF(Y187&gt;0,1,IF(X188&gt;0,X188+1,0))</f>
        <v>0</v>
      </c>
      <c r="Z188" s="202">
        <f t="shared" ref="Z188" si="112">IF(Z187&gt;0,1,IF(Y188&gt;0,Y188+1,0))</f>
        <v>0</v>
      </c>
      <c r="AA188" s="202">
        <f t="shared" ref="AA188" si="113">IF(AA187&gt;0,1,IF(Z188&gt;0,Z188+1,0))</f>
        <v>0</v>
      </c>
      <c r="AB188" s="202">
        <f t="shared" ref="AB188" si="114">IF(AB187&gt;0,1,IF(AA188&gt;0,AA188+1,0))</f>
        <v>0</v>
      </c>
      <c r="AC188" s="202">
        <f t="shared" ref="AC188" si="115">IF(AC187&gt;0,1,IF(AB188&gt;0,AB188+1,0))</f>
        <v>0</v>
      </c>
      <c r="AD188" s="202">
        <f t="shared" ref="AD188" si="116">IF(AD187&gt;0,1,IF(AC188&gt;0,AC188+1,0))</f>
        <v>0</v>
      </c>
      <c r="AE188" s="202">
        <f t="shared" ref="AE188" si="117">IF(AE187&gt;0,1,IF(AD188&gt;0,AD188+1,0))</f>
        <v>0</v>
      </c>
      <c r="AF188" s="202">
        <f t="shared" ref="AF188" si="118">IF(AF187&gt;0,1,IF(AE188&gt;0,AE188+1,0))</f>
        <v>0</v>
      </c>
      <c r="AG188" s="202">
        <f t="shared" ref="AG188" si="119">IF(AG187&gt;0,1,IF(AF188&gt;0,AF188+1,0))</f>
        <v>0</v>
      </c>
      <c r="AH188" s="202">
        <f t="shared" ref="AH188" si="120">IF(AH187&gt;0,1,IF(AG188&gt;0,AG188+1,0))</f>
        <v>0</v>
      </c>
      <c r="AI188" s="202">
        <f t="shared" ref="AI188" si="121">IF(AI187&gt;0,1,IF(AH188&gt;0,AH188+1,0))</f>
        <v>0</v>
      </c>
      <c r="AJ188" s="202">
        <f t="shared" ref="AJ188" si="122">IF(AJ187&gt;0,1,IF(AI188&gt;0,AI188+1,0))</f>
        <v>0</v>
      </c>
    </row>
    <row r="189" spans="2:36" s="1" customFormat="1">
      <c r="B189" s="199" t="s">
        <v>389</v>
      </c>
      <c r="C189" s="199"/>
      <c r="D189" s="199"/>
      <c r="E189" s="200"/>
      <c r="F189" s="201"/>
      <c r="G189" s="198">
        <f>IF(G188=0,0,$E$187*LOOKUP(G188,$G$154:$AJ$154,$G$156:$AJ$156))</f>
        <v>0</v>
      </c>
      <c r="H189" s="198">
        <f t="shared" ref="H189:AJ189" si="123">IF(H188=0,0,$E$187*LOOKUP(H188,$G$154:$AJ$154,$G$156:$AJ$156))</f>
        <v>0</v>
      </c>
      <c r="I189" s="198">
        <f t="shared" si="123"/>
        <v>0</v>
      </c>
      <c r="J189" s="198">
        <f t="shared" si="123"/>
        <v>0</v>
      </c>
      <c r="K189" s="198">
        <f t="shared" si="123"/>
        <v>0</v>
      </c>
      <c r="L189" s="198">
        <f t="shared" si="123"/>
        <v>0</v>
      </c>
      <c r="M189" s="198">
        <f t="shared" si="123"/>
        <v>0</v>
      </c>
      <c r="N189" s="198">
        <f t="shared" si="123"/>
        <v>0</v>
      </c>
      <c r="O189" s="198">
        <f t="shared" si="123"/>
        <v>0</v>
      </c>
      <c r="P189" s="198">
        <f t="shared" si="123"/>
        <v>0</v>
      </c>
      <c r="Q189" s="198">
        <f t="shared" si="123"/>
        <v>0</v>
      </c>
      <c r="R189" s="198">
        <f t="shared" si="123"/>
        <v>0</v>
      </c>
      <c r="S189" s="198">
        <f t="shared" si="123"/>
        <v>0</v>
      </c>
      <c r="T189" s="198">
        <f t="shared" si="123"/>
        <v>0</v>
      </c>
      <c r="U189" s="198">
        <f t="shared" si="123"/>
        <v>0</v>
      </c>
      <c r="V189" s="198">
        <f t="shared" si="123"/>
        <v>0</v>
      </c>
      <c r="W189" s="198">
        <f t="shared" si="123"/>
        <v>0</v>
      </c>
      <c r="X189" s="198">
        <f t="shared" si="123"/>
        <v>0</v>
      </c>
      <c r="Y189" s="198">
        <f t="shared" si="123"/>
        <v>0</v>
      </c>
      <c r="Z189" s="198">
        <f t="shared" si="123"/>
        <v>0</v>
      </c>
      <c r="AA189" s="198">
        <f t="shared" si="123"/>
        <v>0</v>
      </c>
      <c r="AB189" s="198">
        <f t="shared" si="123"/>
        <v>0</v>
      </c>
      <c r="AC189" s="198">
        <f t="shared" si="123"/>
        <v>0</v>
      </c>
      <c r="AD189" s="198">
        <f t="shared" si="123"/>
        <v>0</v>
      </c>
      <c r="AE189" s="198">
        <f t="shared" si="123"/>
        <v>0</v>
      </c>
      <c r="AF189" s="198">
        <f t="shared" si="123"/>
        <v>0</v>
      </c>
      <c r="AG189" s="198">
        <f t="shared" si="123"/>
        <v>0</v>
      </c>
      <c r="AH189" s="198">
        <f t="shared" si="123"/>
        <v>0</v>
      </c>
      <c r="AI189" s="198">
        <f t="shared" si="123"/>
        <v>0</v>
      </c>
      <c r="AJ189" s="198">
        <f t="shared" si="123"/>
        <v>0</v>
      </c>
    </row>
    <row r="190" spans="2:36" s="1" customFormat="1">
      <c r="B190" s="188" t="s">
        <v>391</v>
      </c>
      <c r="C190" s="188"/>
      <c r="D190" s="188"/>
      <c r="E190" s="197">
        <f>'Active Inputs'!$Q$56*'Active Inputs'!$G$7</f>
        <v>0</v>
      </c>
      <c r="F190" s="201"/>
      <c r="G190" s="198">
        <f>IF(G$2='Active Inputs'!$Q$55,'Cash Flow'!$E$190,0)</f>
        <v>0</v>
      </c>
      <c r="H190" s="198">
        <f>IF(H$2='Active Inputs'!$Q$55,'Cash Flow'!$E$190,0)</f>
        <v>0</v>
      </c>
      <c r="I190" s="198">
        <f>IF(I$2='Active Inputs'!$Q$55,'Cash Flow'!$E$190,0)</f>
        <v>0</v>
      </c>
      <c r="J190" s="198">
        <f>IF(J$2='Active Inputs'!$Q$55,'Cash Flow'!$E$190,0)</f>
        <v>0</v>
      </c>
      <c r="K190" s="198">
        <f>IF(K$2='Active Inputs'!$Q$55,'Cash Flow'!$E$190,0)</f>
        <v>0</v>
      </c>
      <c r="L190" s="198">
        <f>IF(L$2='Active Inputs'!$Q$55,'Cash Flow'!$E$190,0)</f>
        <v>0</v>
      </c>
      <c r="M190" s="198">
        <f>IF(M$2='Active Inputs'!$Q$55,'Cash Flow'!$E$190,0)</f>
        <v>0</v>
      </c>
      <c r="N190" s="198">
        <f>IF(N$2='Active Inputs'!$Q$55,'Cash Flow'!$E$190,0)</f>
        <v>0</v>
      </c>
      <c r="O190" s="198">
        <f>IF(O$2='Active Inputs'!$Q$55,'Cash Flow'!$E$190,0)</f>
        <v>0</v>
      </c>
      <c r="P190" s="198">
        <f>IF(P$2='Active Inputs'!$Q$55,'Cash Flow'!$E$190,0)</f>
        <v>0</v>
      </c>
      <c r="Q190" s="198">
        <f>IF(Q$2='Active Inputs'!$Q$55,'Cash Flow'!$E$190,0)</f>
        <v>0</v>
      </c>
      <c r="R190" s="198">
        <f>IF(R$2='Active Inputs'!$Q$55,'Cash Flow'!$E$190,0)</f>
        <v>0</v>
      </c>
      <c r="S190" s="198">
        <f>IF(S$2='Active Inputs'!$Q$55,'Cash Flow'!$E$190,0)</f>
        <v>0</v>
      </c>
      <c r="T190" s="198">
        <f>IF(T$2='Active Inputs'!$Q$55,'Cash Flow'!$E$190,0)</f>
        <v>0</v>
      </c>
      <c r="U190" s="198">
        <f>IF(U$2='Active Inputs'!$Q$55,'Cash Flow'!$E$190,0)</f>
        <v>0</v>
      </c>
      <c r="V190" s="198">
        <f>IF(V$2='Active Inputs'!$Q$55,'Cash Flow'!$E$190,0)</f>
        <v>0</v>
      </c>
      <c r="W190" s="198">
        <f>IF(W$2='Active Inputs'!$Q$55,'Cash Flow'!$E$190,0)</f>
        <v>0</v>
      </c>
      <c r="X190" s="198">
        <f>IF(X$2='Active Inputs'!$Q$55,'Cash Flow'!$E$190,0)</f>
        <v>0</v>
      </c>
      <c r="Y190" s="198">
        <f>IF(Y$2='Active Inputs'!$Q$55,'Cash Flow'!$E$190,0)</f>
        <v>0</v>
      </c>
      <c r="Z190" s="198">
        <f>IF(Z$2='Active Inputs'!$Q$55,'Cash Flow'!$E$190,0)</f>
        <v>0</v>
      </c>
      <c r="AA190" s="198">
        <f>IF(AA$2='Active Inputs'!$Q$55,'Cash Flow'!$E$190,0)</f>
        <v>0</v>
      </c>
      <c r="AB190" s="198">
        <f>IF(AB$2='Active Inputs'!$Q$55,'Cash Flow'!$E$190,0)</f>
        <v>0</v>
      </c>
      <c r="AC190" s="198">
        <f>IF(AC$2='Active Inputs'!$Q$55,'Cash Flow'!$E$190,0)</f>
        <v>0</v>
      </c>
      <c r="AD190" s="198">
        <f>IF(AD$2='Active Inputs'!$Q$55,'Cash Flow'!$E$190,0)</f>
        <v>0</v>
      </c>
      <c r="AE190" s="198">
        <f>IF(AE$2='Active Inputs'!$Q$55,'Cash Flow'!$E$190,0)</f>
        <v>0</v>
      </c>
      <c r="AF190" s="198">
        <f>IF(AF$2='Active Inputs'!$Q$55,'Cash Flow'!$E$190,0)</f>
        <v>0</v>
      </c>
      <c r="AG190" s="198">
        <f>IF(AG$2='Active Inputs'!$Q$55,'Cash Flow'!$E$190,0)</f>
        <v>0</v>
      </c>
      <c r="AH190" s="198">
        <f>IF(AH$2='Active Inputs'!$Q$55,'Cash Flow'!$E$190,0)</f>
        <v>0</v>
      </c>
      <c r="AI190" s="198">
        <f>IF(AI$2='Active Inputs'!$Q$55,'Cash Flow'!$E$190,0)</f>
        <v>0</v>
      </c>
      <c r="AJ190" s="198">
        <f>IF(AJ$2='Active Inputs'!$Q$55,'Cash Flow'!$E$190,0)</f>
        <v>0</v>
      </c>
    </row>
    <row r="191" spans="2:36" s="1" customFormat="1">
      <c r="B191" s="188" t="s">
        <v>388</v>
      </c>
      <c r="C191" s="188"/>
      <c r="D191" s="188"/>
      <c r="E191" s="197"/>
      <c r="F191" s="201"/>
      <c r="G191" s="202">
        <f>IF(G190&gt;0,1,IF(F191&gt;0,F191+1,0))</f>
        <v>0</v>
      </c>
      <c r="H191" s="202">
        <f t="shared" ref="H191" si="124">IF(H190&gt;0,1,IF(G191&gt;0,G191+1,0))</f>
        <v>0</v>
      </c>
      <c r="I191" s="202">
        <f t="shared" ref="I191" si="125">IF(I190&gt;0,1,IF(H191&gt;0,H191+1,0))</f>
        <v>0</v>
      </c>
      <c r="J191" s="202">
        <f t="shared" ref="J191" si="126">IF(J190&gt;0,1,IF(I191&gt;0,I191+1,0))</f>
        <v>0</v>
      </c>
      <c r="K191" s="202">
        <f t="shared" ref="K191" si="127">IF(K190&gt;0,1,IF(J191&gt;0,J191+1,0))</f>
        <v>0</v>
      </c>
      <c r="L191" s="202">
        <f t="shared" ref="L191" si="128">IF(L190&gt;0,1,IF(K191&gt;0,K191+1,0))</f>
        <v>0</v>
      </c>
      <c r="M191" s="202">
        <f t="shared" ref="M191" si="129">IF(M190&gt;0,1,IF(L191&gt;0,L191+1,0))</f>
        <v>0</v>
      </c>
      <c r="N191" s="202">
        <f t="shared" ref="N191" si="130">IF(N190&gt;0,1,IF(M191&gt;0,M191+1,0))</f>
        <v>0</v>
      </c>
      <c r="O191" s="202">
        <f t="shared" ref="O191" si="131">IF(O190&gt;0,1,IF(N191&gt;0,N191+1,0))</f>
        <v>0</v>
      </c>
      <c r="P191" s="202">
        <f t="shared" ref="P191" si="132">IF(P190&gt;0,1,IF(O191&gt;0,O191+1,0))</f>
        <v>0</v>
      </c>
      <c r="Q191" s="202">
        <f t="shared" ref="Q191" si="133">IF(Q190&gt;0,1,IF(P191&gt;0,P191+1,0))</f>
        <v>0</v>
      </c>
      <c r="R191" s="202">
        <f t="shared" ref="R191" si="134">IF(R190&gt;0,1,IF(Q191&gt;0,Q191+1,0))</f>
        <v>0</v>
      </c>
      <c r="S191" s="202">
        <f t="shared" ref="S191" si="135">IF(S190&gt;0,1,IF(R191&gt;0,R191+1,0))</f>
        <v>0</v>
      </c>
      <c r="T191" s="202">
        <f t="shared" ref="T191" si="136">IF(T190&gt;0,1,IF(S191&gt;0,S191+1,0))</f>
        <v>0</v>
      </c>
      <c r="U191" s="202">
        <f t="shared" ref="U191" si="137">IF(U190&gt;0,1,IF(T191&gt;0,T191+1,0))</f>
        <v>0</v>
      </c>
      <c r="V191" s="202">
        <f t="shared" ref="V191" si="138">IF(V190&gt;0,1,IF(U191&gt;0,U191+1,0))</f>
        <v>0</v>
      </c>
      <c r="W191" s="202">
        <f t="shared" ref="W191" si="139">IF(W190&gt;0,1,IF(V191&gt;0,V191+1,0))</f>
        <v>0</v>
      </c>
      <c r="X191" s="202">
        <f t="shared" ref="X191" si="140">IF(X190&gt;0,1,IF(W191&gt;0,W191+1,0))</f>
        <v>0</v>
      </c>
      <c r="Y191" s="202">
        <f t="shared" ref="Y191" si="141">IF(Y190&gt;0,1,IF(X191&gt;0,X191+1,0))</f>
        <v>0</v>
      </c>
      <c r="Z191" s="202">
        <f t="shared" ref="Z191" si="142">IF(Z190&gt;0,1,IF(Y191&gt;0,Y191+1,0))</f>
        <v>0</v>
      </c>
      <c r="AA191" s="202">
        <f t="shared" ref="AA191" si="143">IF(AA190&gt;0,1,IF(Z191&gt;0,Z191+1,0))</f>
        <v>0</v>
      </c>
      <c r="AB191" s="202">
        <f t="shared" ref="AB191" si="144">IF(AB190&gt;0,1,IF(AA191&gt;0,AA191+1,0))</f>
        <v>0</v>
      </c>
      <c r="AC191" s="202">
        <f t="shared" ref="AC191" si="145">IF(AC190&gt;0,1,IF(AB191&gt;0,AB191+1,0))</f>
        <v>0</v>
      </c>
      <c r="AD191" s="202">
        <f t="shared" ref="AD191" si="146">IF(AD190&gt;0,1,IF(AC191&gt;0,AC191+1,0))</f>
        <v>0</v>
      </c>
      <c r="AE191" s="202">
        <f t="shared" ref="AE191" si="147">IF(AE190&gt;0,1,IF(AD191&gt;0,AD191+1,0))</f>
        <v>0</v>
      </c>
      <c r="AF191" s="202">
        <f t="shared" ref="AF191" si="148">IF(AF190&gt;0,1,IF(AE191&gt;0,AE191+1,0))</f>
        <v>0</v>
      </c>
      <c r="AG191" s="202">
        <f t="shared" ref="AG191" si="149">IF(AG190&gt;0,1,IF(AF191&gt;0,AF191+1,0))</f>
        <v>0</v>
      </c>
      <c r="AH191" s="202">
        <f t="shared" ref="AH191" si="150">IF(AH190&gt;0,1,IF(AG191&gt;0,AG191+1,0))</f>
        <v>0</v>
      </c>
      <c r="AI191" s="202">
        <f t="shared" ref="AI191" si="151">IF(AI190&gt;0,1,IF(AH191&gt;0,AH191+1,0))</f>
        <v>0</v>
      </c>
      <c r="AJ191" s="202">
        <f t="shared" ref="AJ191" si="152">IF(AJ190&gt;0,1,IF(AI191&gt;0,AI191+1,0))</f>
        <v>0</v>
      </c>
    </row>
    <row r="192" spans="2:36" s="1" customFormat="1">
      <c r="B192" s="199" t="s">
        <v>389</v>
      </c>
      <c r="C192" s="199"/>
      <c r="D192" s="199"/>
      <c r="E192" s="200"/>
      <c r="F192" s="201"/>
      <c r="G192" s="198">
        <f>IF(G191=0,0,$E$190*LOOKUP(G191,$G$154:$AJ$154,$G$156:$AJ$156))</f>
        <v>0</v>
      </c>
      <c r="H192" s="198">
        <f t="shared" ref="H192:AJ192" si="153">IF(H191=0,0,$E$190*LOOKUP(H191,$G$154:$AJ$154,$G$156:$AJ$156))</f>
        <v>0</v>
      </c>
      <c r="I192" s="198">
        <f t="shared" si="153"/>
        <v>0</v>
      </c>
      <c r="J192" s="198">
        <f t="shared" si="153"/>
        <v>0</v>
      </c>
      <c r="K192" s="198">
        <f t="shared" si="153"/>
        <v>0</v>
      </c>
      <c r="L192" s="198">
        <f t="shared" si="153"/>
        <v>0</v>
      </c>
      <c r="M192" s="198">
        <f t="shared" si="153"/>
        <v>0</v>
      </c>
      <c r="N192" s="198">
        <f t="shared" si="153"/>
        <v>0</v>
      </c>
      <c r="O192" s="198">
        <f t="shared" si="153"/>
        <v>0</v>
      </c>
      <c r="P192" s="198">
        <f t="shared" si="153"/>
        <v>0</v>
      </c>
      <c r="Q192" s="198">
        <f t="shared" si="153"/>
        <v>0</v>
      </c>
      <c r="R192" s="198">
        <f t="shared" si="153"/>
        <v>0</v>
      </c>
      <c r="S192" s="198">
        <f t="shared" si="153"/>
        <v>0</v>
      </c>
      <c r="T192" s="198">
        <f t="shared" si="153"/>
        <v>0</v>
      </c>
      <c r="U192" s="198">
        <f t="shared" si="153"/>
        <v>0</v>
      </c>
      <c r="V192" s="198">
        <f t="shared" si="153"/>
        <v>0</v>
      </c>
      <c r="W192" s="198">
        <f t="shared" si="153"/>
        <v>0</v>
      </c>
      <c r="X192" s="198">
        <f t="shared" si="153"/>
        <v>0</v>
      </c>
      <c r="Y192" s="198">
        <f t="shared" si="153"/>
        <v>0</v>
      </c>
      <c r="Z192" s="198">
        <f t="shared" si="153"/>
        <v>0</v>
      </c>
      <c r="AA192" s="198">
        <f t="shared" si="153"/>
        <v>0</v>
      </c>
      <c r="AB192" s="198">
        <f t="shared" si="153"/>
        <v>0</v>
      </c>
      <c r="AC192" s="198">
        <f t="shared" si="153"/>
        <v>0</v>
      </c>
      <c r="AD192" s="198">
        <f t="shared" si="153"/>
        <v>0</v>
      </c>
      <c r="AE192" s="198">
        <f t="shared" si="153"/>
        <v>0</v>
      </c>
      <c r="AF192" s="198">
        <f t="shared" si="153"/>
        <v>0</v>
      </c>
      <c r="AG192" s="198">
        <f t="shared" si="153"/>
        <v>0</v>
      </c>
      <c r="AH192" s="198">
        <f t="shared" si="153"/>
        <v>0</v>
      </c>
      <c r="AI192" s="198">
        <f t="shared" si="153"/>
        <v>0</v>
      </c>
      <c r="AJ192" s="198">
        <f t="shared" si="153"/>
        <v>0</v>
      </c>
    </row>
    <row r="193" spans="2:36" s="1" customFormat="1">
      <c r="B193" s="188" t="s">
        <v>392</v>
      </c>
      <c r="C193" s="188"/>
      <c r="D193" s="188"/>
      <c r="E193" s="197">
        <f>'Active Inputs'!$Q$58*'Active Inputs'!$G$7</f>
        <v>0</v>
      </c>
      <c r="F193" s="201"/>
      <c r="G193" s="198">
        <f>IF(G$2='Active Inputs'!$Q$57,'Cash Flow'!$E$193,0)</f>
        <v>0</v>
      </c>
      <c r="H193" s="198">
        <f>IF(H$2='Active Inputs'!$Q$57,'Cash Flow'!$E$193,0)</f>
        <v>0</v>
      </c>
      <c r="I193" s="198">
        <f>IF(I$2='Active Inputs'!$Q$57,'Cash Flow'!$E$193,0)</f>
        <v>0</v>
      </c>
      <c r="J193" s="198">
        <f>IF(J$2='Active Inputs'!$Q$57,'Cash Flow'!$E$193,0)</f>
        <v>0</v>
      </c>
      <c r="K193" s="198">
        <f>IF(K$2='Active Inputs'!$Q$57,'Cash Flow'!$E$193,0)</f>
        <v>0</v>
      </c>
      <c r="L193" s="198">
        <f>IF(L$2='Active Inputs'!$Q$57,'Cash Flow'!$E$193,0)</f>
        <v>0</v>
      </c>
      <c r="M193" s="198">
        <f>IF(M$2='Active Inputs'!$Q$57,'Cash Flow'!$E$193,0)</f>
        <v>0</v>
      </c>
      <c r="N193" s="198">
        <f>IF(N$2='Active Inputs'!$Q$57,'Cash Flow'!$E$193,0)</f>
        <v>0</v>
      </c>
      <c r="O193" s="198">
        <f>IF(O$2='Active Inputs'!$Q$57,'Cash Flow'!$E$193,0)</f>
        <v>0</v>
      </c>
      <c r="P193" s="198">
        <f>IF(P$2='Active Inputs'!$Q$57,'Cash Flow'!$E$193,0)</f>
        <v>0</v>
      </c>
      <c r="Q193" s="198">
        <f>IF(Q$2='Active Inputs'!$Q$57,'Cash Flow'!$E$193,0)</f>
        <v>0</v>
      </c>
      <c r="R193" s="198">
        <f>IF(R$2='Active Inputs'!$Q$57,'Cash Flow'!$E$193,0)</f>
        <v>0</v>
      </c>
      <c r="S193" s="198">
        <f>IF(S$2='Active Inputs'!$Q$57,'Cash Flow'!$E$193,0)</f>
        <v>0</v>
      </c>
      <c r="T193" s="198">
        <f>IF(T$2='Active Inputs'!$Q$57,'Cash Flow'!$E$193,0)</f>
        <v>0</v>
      </c>
      <c r="U193" s="198">
        <f>IF(U$2='Active Inputs'!$Q$57,'Cash Flow'!$E$193,0)</f>
        <v>0</v>
      </c>
      <c r="V193" s="198">
        <f>IF(V$2='Active Inputs'!$Q$57,'Cash Flow'!$E$193,0)</f>
        <v>0</v>
      </c>
      <c r="W193" s="198">
        <f>IF(W$2='Active Inputs'!$Q$57,'Cash Flow'!$E$193,0)</f>
        <v>0</v>
      </c>
      <c r="X193" s="198">
        <f>IF(X$2='Active Inputs'!$Q$57,'Cash Flow'!$E$193,0)</f>
        <v>0</v>
      </c>
      <c r="Y193" s="198">
        <f>IF(Y$2='Active Inputs'!$Q$57,'Cash Flow'!$E$193,0)</f>
        <v>0</v>
      </c>
      <c r="Z193" s="198">
        <f>IF(Z$2='Active Inputs'!$Q$57,'Cash Flow'!$E$193,0)</f>
        <v>0</v>
      </c>
      <c r="AA193" s="198">
        <f>IF(AA$2='Active Inputs'!$Q$57,'Cash Flow'!$E$193,0)</f>
        <v>0</v>
      </c>
      <c r="AB193" s="198">
        <f>IF(AB$2='Active Inputs'!$Q$57,'Cash Flow'!$E$193,0)</f>
        <v>0</v>
      </c>
      <c r="AC193" s="198">
        <f>IF(AC$2='Active Inputs'!$Q$57,'Cash Flow'!$E$193,0)</f>
        <v>0</v>
      </c>
      <c r="AD193" s="198">
        <f>IF(AD$2='Active Inputs'!$Q$57,'Cash Flow'!$E$193,0)</f>
        <v>0</v>
      </c>
      <c r="AE193" s="198">
        <f>IF(AE$2='Active Inputs'!$Q$57,'Cash Flow'!$E$193,0)</f>
        <v>0</v>
      </c>
      <c r="AF193" s="198">
        <f>IF(AF$2='Active Inputs'!$Q$57,'Cash Flow'!$E$193,0)</f>
        <v>0</v>
      </c>
      <c r="AG193" s="198">
        <f>IF(AG$2='Active Inputs'!$Q$57,'Cash Flow'!$E$193,0)</f>
        <v>0</v>
      </c>
      <c r="AH193" s="198">
        <f>IF(AH$2='Active Inputs'!$Q$57,'Cash Flow'!$E$193,0)</f>
        <v>0</v>
      </c>
      <c r="AI193" s="198">
        <f>IF(AI$2='Active Inputs'!$Q$57,'Cash Flow'!$E$193,0)</f>
        <v>0</v>
      </c>
      <c r="AJ193" s="198">
        <f>IF(AJ$2='Active Inputs'!$Q$57,'Cash Flow'!$E$193,0)</f>
        <v>0</v>
      </c>
    </row>
    <row r="194" spans="2:36" s="1" customFormat="1">
      <c r="B194" s="188" t="s">
        <v>388</v>
      </c>
      <c r="C194" s="188"/>
      <c r="D194" s="188"/>
      <c r="E194" s="197"/>
      <c r="F194" s="201"/>
      <c r="G194" s="202">
        <f>IF(G193&gt;0,1,IF(F194&gt;0,F194+1,0))</f>
        <v>0</v>
      </c>
      <c r="H194" s="202">
        <f t="shared" ref="H194" si="154">IF(H193&gt;0,1,IF(G194&gt;0,G194+1,0))</f>
        <v>0</v>
      </c>
      <c r="I194" s="202">
        <f t="shared" ref="I194" si="155">IF(I193&gt;0,1,IF(H194&gt;0,H194+1,0))</f>
        <v>0</v>
      </c>
      <c r="J194" s="202">
        <f t="shared" ref="J194" si="156">IF(J193&gt;0,1,IF(I194&gt;0,I194+1,0))</f>
        <v>0</v>
      </c>
      <c r="K194" s="202">
        <f t="shared" ref="K194" si="157">IF(K193&gt;0,1,IF(J194&gt;0,J194+1,0))</f>
        <v>0</v>
      </c>
      <c r="L194" s="202">
        <f t="shared" ref="L194" si="158">IF(L193&gt;0,1,IF(K194&gt;0,K194+1,0))</f>
        <v>0</v>
      </c>
      <c r="M194" s="202">
        <f t="shared" ref="M194" si="159">IF(M193&gt;0,1,IF(L194&gt;0,L194+1,0))</f>
        <v>0</v>
      </c>
      <c r="N194" s="202">
        <f t="shared" ref="N194" si="160">IF(N193&gt;0,1,IF(M194&gt;0,M194+1,0))</f>
        <v>0</v>
      </c>
      <c r="O194" s="202">
        <f t="shared" ref="O194" si="161">IF(O193&gt;0,1,IF(N194&gt;0,N194+1,0))</f>
        <v>0</v>
      </c>
      <c r="P194" s="202">
        <f t="shared" ref="P194" si="162">IF(P193&gt;0,1,IF(O194&gt;0,O194+1,0))</f>
        <v>0</v>
      </c>
      <c r="Q194" s="202">
        <f t="shared" ref="Q194" si="163">IF(Q193&gt;0,1,IF(P194&gt;0,P194+1,0))</f>
        <v>0</v>
      </c>
      <c r="R194" s="202">
        <f t="shared" ref="R194" si="164">IF(R193&gt;0,1,IF(Q194&gt;0,Q194+1,0))</f>
        <v>0</v>
      </c>
      <c r="S194" s="202">
        <f t="shared" ref="S194" si="165">IF(S193&gt;0,1,IF(R194&gt;0,R194+1,0))</f>
        <v>0</v>
      </c>
      <c r="T194" s="202">
        <f t="shared" ref="T194" si="166">IF(T193&gt;0,1,IF(S194&gt;0,S194+1,0))</f>
        <v>0</v>
      </c>
      <c r="U194" s="202">
        <f t="shared" ref="U194" si="167">IF(U193&gt;0,1,IF(T194&gt;0,T194+1,0))</f>
        <v>0</v>
      </c>
      <c r="V194" s="202">
        <f t="shared" ref="V194" si="168">IF(V193&gt;0,1,IF(U194&gt;0,U194+1,0))</f>
        <v>0</v>
      </c>
      <c r="W194" s="202">
        <f t="shared" ref="W194" si="169">IF(W193&gt;0,1,IF(V194&gt;0,V194+1,0))</f>
        <v>0</v>
      </c>
      <c r="X194" s="202">
        <f t="shared" ref="X194" si="170">IF(X193&gt;0,1,IF(W194&gt;0,W194+1,0))</f>
        <v>0</v>
      </c>
      <c r="Y194" s="202">
        <f t="shared" ref="Y194" si="171">IF(Y193&gt;0,1,IF(X194&gt;0,X194+1,0))</f>
        <v>0</v>
      </c>
      <c r="Z194" s="202">
        <f t="shared" ref="Z194" si="172">IF(Z193&gt;0,1,IF(Y194&gt;0,Y194+1,0))</f>
        <v>0</v>
      </c>
      <c r="AA194" s="202">
        <f t="shared" ref="AA194" si="173">IF(AA193&gt;0,1,IF(Z194&gt;0,Z194+1,0))</f>
        <v>0</v>
      </c>
      <c r="AB194" s="202">
        <f t="shared" ref="AB194" si="174">IF(AB193&gt;0,1,IF(AA194&gt;0,AA194+1,0))</f>
        <v>0</v>
      </c>
      <c r="AC194" s="202">
        <f t="shared" ref="AC194" si="175">IF(AC193&gt;0,1,IF(AB194&gt;0,AB194+1,0))</f>
        <v>0</v>
      </c>
      <c r="AD194" s="202">
        <f t="shared" ref="AD194" si="176">IF(AD193&gt;0,1,IF(AC194&gt;0,AC194+1,0))</f>
        <v>0</v>
      </c>
      <c r="AE194" s="202">
        <f t="shared" ref="AE194" si="177">IF(AE193&gt;0,1,IF(AD194&gt;0,AD194+1,0))</f>
        <v>0</v>
      </c>
      <c r="AF194" s="202">
        <f t="shared" ref="AF194" si="178">IF(AF193&gt;0,1,IF(AE194&gt;0,AE194+1,0))</f>
        <v>0</v>
      </c>
      <c r="AG194" s="202">
        <f t="shared" ref="AG194" si="179">IF(AG193&gt;0,1,IF(AF194&gt;0,AF194+1,0))</f>
        <v>0</v>
      </c>
      <c r="AH194" s="202">
        <f t="shared" ref="AH194" si="180">IF(AH193&gt;0,1,IF(AG194&gt;0,AG194+1,0))</f>
        <v>0</v>
      </c>
      <c r="AI194" s="202">
        <f t="shared" ref="AI194" si="181">IF(AI193&gt;0,1,IF(AH194&gt;0,AH194+1,0))</f>
        <v>0</v>
      </c>
      <c r="AJ194" s="202">
        <f t="shared" ref="AJ194" si="182">IF(AJ193&gt;0,1,IF(AI194&gt;0,AI194+1,0))</f>
        <v>0</v>
      </c>
    </row>
    <row r="195" spans="2:36" s="1" customFormat="1">
      <c r="B195" s="199" t="s">
        <v>389</v>
      </c>
      <c r="C195" s="199"/>
      <c r="D195" s="199"/>
      <c r="E195" s="200"/>
      <c r="F195" s="201"/>
      <c r="G195" s="198">
        <f>IF(G194=0,0,$E$193*LOOKUP(G194,$G$154:$AJ$154,$G$156:$AJ$156))</f>
        <v>0</v>
      </c>
      <c r="H195" s="198">
        <f t="shared" ref="H195:AJ195" si="183">IF(H194=0,0,$E$193*LOOKUP(H194,$G$154:$AJ$154,$G$156:$AJ$156))</f>
        <v>0</v>
      </c>
      <c r="I195" s="198">
        <f t="shared" si="183"/>
        <v>0</v>
      </c>
      <c r="J195" s="198">
        <f t="shared" si="183"/>
        <v>0</v>
      </c>
      <c r="K195" s="198">
        <f t="shared" si="183"/>
        <v>0</v>
      </c>
      <c r="L195" s="198">
        <f t="shared" si="183"/>
        <v>0</v>
      </c>
      <c r="M195" s="198">
        <f t="shared" si="183"/>
        <v>0</v>
      </c>
      <c r="N195" s="198">
        <f t="shared" si="183"/>
        <v>0</v>
      </c>
      <c r="O195" s="198">
        <f t="shared" si="183"/>
        <v>0</v>
      </c>
      <c r="P195" s="198">
        <f t="shared" si="183"/>
        <v>0</v>
      </c>
      <c r="Q195" s="198">
        <f t="shared" si="183"/>
        <v>0</v>
      </c>
      <c r="R195" s="198">
        <f t="shared" si="183"/>
        <v>0</v>
      </c>
      <c r="S195" s="198">
        <f t="shared" si="183"/>
        <v>0</v>
      </c>
      <c r="T195" s="198">
        <f t="shared" si="183"/>
        <v>0</v>
      </c>
      <c r="U195" s="198">
        <f t="shared" si="183"/>
        <v>0</v>
      </c>
      <c r="V195" s="198">
        <f t="shared" si="183"/>
        <v>0</v>
      </c>
      <c r="W195" s="198">
        <f t="shared" si="183"/>
        <v>0</v>
      </c>
      <c r="X195" s="198">
        <f t="shared" si="183"/>
        <v>0</v>
      </c>
      <c r="Y195" s="198">
        <f t="shared" si="183"/>
        <v>0</v>
      </c>
      <c r="Z195" s="198">
        <f t="shared" si="183"/>
        <v>0</v>
      </c>
      <c r="AA195" s="198">
        <f t="shared" si="183"/>
        <v>0</v>
      </c>
      <c r="AB195" s="198">
        <f t="shared" si="183"/>
        <v>0</v>
      </c>
      <c r="AC195" s="198">
        <f t="shared" si="183"/>
        <v>0</v>
      </c>
      <c r="AD195" s="198">
        <f t="shared" si="183"/>
        <v>0</v>
      </c>
      <c r="AE195" s="198">
        <f t="shared" si="183"/>
        <v>0</v>
      </c>
      <c r="AF195" s="198">
        <f t="shared" si="183"/>
        <v>0</v>
      </c>
      <c r="AG195" s="198">
        <f t="shared" si="183"/>
        <v>0</v>
      </c>
      <c r="AH195" s="198">
        <f t="shared" si="183"/>
        <v>0</v>
      </c>
      <c r="AI195" s="198">
        <f t="shared" si="183"/>
        <v>0</v>
      </c>
      <c r="AJ195" s="198">
        <f t="shared" si="183"/>
        <v>0</v>
      </c>
    </row>
    <row r="196" spans="2:36" s="1" customFormat="1">
      <c r="B196" s="188"/>
      <c r="C196" s="188"/>
      <c r="D196" s="188"/>
      <c r="E196" s="197"/>
      <c r="F196" s="201"/>
      <c r="G196" s="198"/>
      <c r="H196" s="198"/>
      <c r="I196" s="198"/>
      <c r="J196" s="198"/>
      <c r="K196" s="198"/>
      <c r="L196" s="198"/>
      <c r="M196" s="198"/>
      <c r="N196" s="198"/>
      <c r="O196" s="198"/>
      <c r="P196" s="198"/>
      <c r="Q196" s="198"/>
      <c r="R196" s="198"/>
      <c r="S196" s="198"/>
      <c r="T196" s="198"/>
      <c r="U196" s="198"/>
      <c r="V196" s="198"/>
      <c r="W196" s="198"/>
      <c r="X196" s="198"/>
      <c r="Y196" s="198"/>
      <c r="Z196" s="198"/>
      <c r="AA196" s="198"/>
      <c r="AB196" s="198"/>
      <c r="AC196" s="198"/>
      <c r="AD196" s="198"/>
      <c r="AE196" s="198"/>
      <c r="AF196" s="198"/>
      <c r="AG196" s="198"/>
      <c r="AH196" s="198"/>
      <c r="AI196" s="198"/>
      <c r="AJ196" s="198"/>
    </row>
    <row r="197" spans="2:36" s="1" customFormat="1">
      <c r="B197" s="188" t="s">
        <v>396</v>
      </c>
      <c r="C197" s="188"/>
      <c r="D197" s="188"/>
      <c r="E197" s="197"/>
      <c r="F197" s="229"/>
      <c r="G197" s="203">
        <f>IF(AND('Active Inputs'!$G$72="Yes",G$2&lt;='Active Inputs'!$G$11),SUM('Cash Flow'!G172:G179)+G186+G189+G192+G195,0)</f>
        <v>2033553.4605256224</v>
      </c>
      <c r="H197" s="203">
        <f>IF(AND('Active Inputs'!$G$72="Yes",H$2&lt;='Active Inputs'!$G$11),SUM('Cash Flow'!H172:H179)+H186+H189+H192+H195,0)</f>
        <v>3259404.5736183324</v>
      </c>
      <c r="I197" s="203">
        <f>IF(AND('Active Inputs'!$G$72="Yes",I$2&lt;='Active Inputs'!$G$11),SUM('Cash Flow'!I172:I179)+I186+I189+I192+I195,0)</f>
        <v>1966765.7192806413</v>
      </c>
      <c r="J197" s="203">
        <f>IF(AND('Active Inputs'!$G$72="Yes",J$2&lt;='Active Inputs'!$G$11),SUM('Cash Flow'!J172:J179)+J186+J189+J192+J195,0)</f>
        <v>1190594.222913966</v>
      </c>
      <c r="K197" s="203">
        <f>IF(AND('Active Inputs'!$G$72="Yes",K$2&lt;='Active Inputs'!$G$11),SUM('Cash Flow'!K172:K179)+K186+K189+K192+K195,0)</f>
        <v>1188976.7175628</v>
      </c>
      <c r="L197" s="203">
        <f>IF(AND('Active Inputs'!$G$72="Yes",L$2&lt;='Active Inputs'!$G$11),SUM('Cash Flow'!L172:L179)+L186+L189+L192+L195,0)</f>
        <v>606716.80426903034</v>
      </c>
      <c r="M197" s="203">
        <f>IF(AND('Active Inputs'!$G$72="Yes",M$2&lt;='Active Inputs'!$G$11),SUM('Cash Flow'!M172:M179)+M186+M189+M192+M195,0)</f>
        <v>25234.133806340324</v>
      </c>
      <c r="N197" s="203">
        <f>IF(AND('Active Inputs'!$G$72="Yes",N$2&lt;='Active Inputs'!$G$11),SUM('Cash Flow'!N172:N179)+N186+N189+N192+N195,0)</f>
        <v>25234.133806340324</v>
      </c>
      <c r="O197" s="203">
        <f>IF(AND('Active Inputs'!$G$72="Yes",O$2&lt;='Active Inputs'!$G$11),SUM('Cash Flow'!O172:O179)+O186+O189+O192+O195,0)</f>
        <v>25255.14036934248</v>
      </c>
      <c r="P197" s="203">
        <f>IF(AND('Active Inputs'!$G$72="Yes",P$2&lt;='Active Inputs'!$G$11),SUM('Cash Flow'!P172:P179)+P186+P189+P192+P195,0)</f>
        <v>25234.133806340324</v>
      </c>
      <c r="Q197" s="203">
        <f>IF(AND('Active Inputs'!$G$72="Yes",Q$2&lt;='Active Inputs'!$G$11),SUM('Cash Flow'!Q172:Q179)+Q186+Q189+Q192+Q195,0)</f>
        <v>25255.14036934248</v>
      </c>
      <c r="R197" s="203">
        <f>IF(AND('Active Inputs'!$G$72="Yes",R$2&lt;='Active Inputs'!$G$11),SUM('Cash Flow'!R172:R179)+R186+R189+R192+R195,0)</f>
        <v>46234.133806340324</v>
      </c>
      <c r="S197" s="203">
        <f>IF(AND('Active Inputs'!$G$72="Yes",S$2&lt;='Active Inputs'!$G$11),SUM('Cash Flow'!S172:S179)+S186+S189+S192+S195,0)</f>
        <v>58855.14036934248</v>
      </c>
      <c r="T197" s="203">
        <f>IF(AND('Active Inputs'!$G$72="Yes",T$2&lt;='Active Inputs'!$G$11),SUM('Cash Flow'!T172:T179)+T186+T189+T192+T195,0)</f>
        <v>45394.133806340324</v>
      </c>
      <c r="U197" s="203">
        <f>IF(AND('Active Inputs'!$G$72="Yes",U$2&lt;='Active Inputs'!$G$11),SUM('Cash Flow'!U172:U179)+U186+U189+U192+U195,0)</f>
        <v>37351.14036934248</v>
      </c>
      <c r="V197" s="203">
        <f>IF(AND('Active Inputs'!$G$72="Yes",V$2&lt;='Active Inputs'!$G$11),SUM('Cash Flow'!V172:V179)+V186+V189+V192+V195,0)</f>
        <v>31133.1977207042</v>
      </c>
      <c r="W197" s="203">
        <f>IF(AND('Active Inputs'!$G$72="Yes",W$2&lt;='Active Inputs'!$G$11),SUM('Cash Flow'!W172:W179)+W186+W189+W192+W195,0)</f>
        <v>18888.261635068073</v>
      </c>
      <c r="X197" s="203">
        <f>IF(AND('Active Inputs'!$G$72="Yes",X$2&lt;='Active Inputs'!$G$11),SUM('Cash Flow'!X172:X179)+X186+X189+X192+X195,0)</f>
        <v>12840.261635068073</v>
      </c>
      <c r="Y197" s="203">
        <f>IF(AND('Active Inputs'!$G$72="Yes",Y$2&lt;='Active Inputs'!$G$11),SUM('Cash Flow'!Y172:Y179)+Y186+Y189+Y192+Y195,0)</f>
        <v>12840.261635068073</v>
      </c>
      <c r="Z197" s="203">
        <f>IF(AND('Active Inputs'!$G$72="Yes",Z$2&lt;='Active Inputs'!$G$11),SUM('Cash Flow'!Z172:Z179)+Z186+Z189+Z192+Z195,0)</f>
        <v>12840.261635068073</v>
      </c>
      <c r="AA197" s="203">
        <f>IF(AND('Active Inputs'!$G$72="Yes",AA$2&lt;='Active Inputs'!$G$11),SUM('Cash Flow'!AA172:AA179)+AA186+AA189+AA192+AA195,0)</f>
        <v>6420.1308175340364</v>
      </c>
      <c r="AB197" s="203">
        <f>IF(AND('Active Inputs'!$G$72="Yes",AB$2&lt;='Active Inputs'!$G$11),SUM('Cash Flow'!AB172:AB179)+AB186+AB189+AB192+AB195,0)</f>
        <v>0</v>
      </c>
      <c r="AC197" s="203">
        <f>IF(AND('Active Inputs'!$G$72="Yes",AC$2&lt;='Active Inputs'!$G$11),SUM('Cash Flow'!AC172:AC179)+AC186+AC189+AC192+AC195,0)</f>
        <v>0</v>
      </c>
      <c r="AD197" s="203">
        <f>IF(AND('Active Inputs'!$G$72="Yes",AD$2&lt;='Active Inputs'!$G$11),SUM('Cash Flow'!AD172:AD179)+AD186+AD189+AD192+AD195,0)</f>
        <v>0</v>
      </c>
      <c r="AE197" s="203">
        <f>IF(AND('Active Inputs'!$G$72="Yes",AE$2&lt;='Active Inputs'!$G$11),SUM('Cash Flow'!AE172:AE179)+AE186+AE189+AE192+AE195,0)</f>
        <v>0</v>
      </c>
      <c r="AF197" s="203">
        <f>IF(AND('Active Inputs'!$G$72="Yes",AF$2&lt;='Active Inputs'!$G$11),SUM('Cash Flow'!AF172:AF179)+AF186+AF189+AF192+AF195,0)</f>
        <v>0</v>
      </c>
      <c r="AG197" s="203">
        <f>IF(AND('Active Inputs'!$G$72="Yes",AG$2&lt;='Active Inputs'!$G$11),SUM('Cash Flow'!AG172:AG179)+AG186+AG189+AG192+AG195,0)</f>
        <v>0</v>
      </c>
      <c r="AH197" s="203">
        <f>IF(AND('Active Inputs'!$G$72="Yes",AH$2&lt;='Active Inputs'!$G$11),SUM('Cash Flow'!AH172:AH179)+AH186+AH189+AH192+AH195,0)</f>
        <v>0</v>
      </c>
      <c r="AI197" s="203">
        <f>IF(AND('Active Inputs'!$G$72="Yes",AI$2&lt;='Active Inputs'!$G$11),SUM('Cash Flow'!AI172:AI179)+AI186+AI189+AI192+AI195,0)</f>
        <v>0</v>
      </c>
      <c r="AJ197" s="203">
        <f>IF(AND('Active Inputs'!$G$72="Yes",AJ$2&lt;='Active Inputs'!$G$11),SUM('Cash Flow'!AJ172:AJ179)+AJ186+AJ189+AJ192+AJ195,0)</f>
        <v>0</v>
      </c>
    </row>
    <row r="198" spans="2:36" s="1" customFormat="1">
      <c r="B198" s="188"/>
      <c r="C198" s="188"/>
      <c r="D198" s="188"/>
      <c r="E198" s="197"/>
      <c r="F198" s="229"/>
      <c r="G198" s="203"/>
      <c r="H198" s="203"/>
      <c r="I198" s="203"/>
      <c r="J198" s="203"/>
      <c r="K198" s="203"/>
      <c r="L198" s="203"/>
      <c r="M198" s="203"/>
      <c r="N198" s="203"/>
      <c r="O198" s="203"/>
      <c r="P198" s="203"/>
      <c r="Q198" s="203"/>
      <c r="R198" s="203"/>
      <c r="S198" s="203"/>
      <c r="T198" s="203"/>
      <c r="U198" s="203"/>
      <c r="V198" s="203"/>
      <c r="W198" s="203"/>
      <c r="X198" s="203"/>
      <c r="Y198" s="203"/>
      <c r="Z198" s="203"/>
      <c r="AA198" s="203"/>
      <c r="AB198" s="203"/>
      <c r="AC198" s="203"/>
      <c r="AD198" s="203"/>
      <c r="AE198" s="203"/>
      <c r="AF198" s="203"/>
      <c r="AG198" s="203"/>
      <c r="AH198" s="203"/>
      <c r="AI198" s="203"/>
      <c r="AJ198" s="203"/>
    </row>
    <row r="199" spans="2:36" s="1" customFormat="1">
      <c r="B199" s="188" t="s">
        <v>397</v>
      </c>
      <c r="C199" s="188"/>
      <c r="D199" s="188"/>
      <c r="E199" s="197"/>
      <c r="F199" s="229"/>
      <c r="G199" s="205">
        <f>G197*'Active Inputs'!$G$75</f>
        <v>183019.81144730601</v>
      </c>
      <c r="H199" s="205">
        <f>H197*'Active Inputs'!$G$75</f>
        <v>293346.4116256499</v>
      </c>
      <c r="I199" s="205">
        <f>I197*'Active Inputs'!$G$75</f>
        <v>177008.91473525771</v>
      </c>
      <c r="J199" s="205">
        <f>J197*'Active Inputs'!$G$75</f>
        <v>107153.48006225695</v>
      </c>
      <c r="K199" s="205">
        <f>K197*'Active Inputs'!$G$75</f>
        <v>107007.904580652</v>
      </c>
      <c r="L199" s="205">
        <f>L197*'Active Inputs'!$G$75</f>
        <v>54604.512384212729</v>
      </c>
      <c r="M199" s="205">
        <f>M197*'Active Inputs'!$G$75</f>
        <v>2271.072042570629</v>
      </c>
      <c r="N199" s="205">
        <f>N197*'Active Inputs'!$G$75</f>
        <v>2271.072042570629</v>
      </c>
      <c r="O199" s="205">
        <f>O197*'Active Inputs'!$G$75</f>
        <v>2272.9626332408229</v>
      </c>
      <c r="P199" s="205">
        <f>P197*'Active Inputs'!$G$75</f>
        <v>2271.072042570629</v>
      </c>
      <c r="Q199" s="205">
        <f>Q197*'Active Inputs'!$G$75</f>
        <v>2272.9626332408229</v>
      </c>
      <c r="R199" s="205">
        <f>R197*'Active Inputs'!$G$75</f>
        <v>4161.0720425706286</v>
      </c>
      <c r="S199" s="205">
        <f>S197*'Active Inputs'!$G$75</f>
        <v>5296.9626332408234</v>
      </c>
      <c r="T199" s="205">
        <f>T197*'Active Inputs'!$G$75</f>
        <v>4085.4720425706291</v>
      </c>
      <c r="U199" s="205">
        <f>U197*'Active Inputs'!$G$75</f>
        <v>3361.6026332408233</v>
      </c>
      <c r="V199" s="205">
        <f>V197*'Active Inputs'!$G$75</f>
        <v>2801.987794863378</v>
      </c>
      <c r="W199" s="205">
        <f>W197*'Active Inputs'!$G$75</f>
        <v>1699.9435471561264</v>
      </c>
      <c r="X199" s="205">
        <f>X197*'Active Inputs'!$G$75</f>
        <v>1155.6235471561265</v>
      </c>
      <c r="Y199" s="205">
        <f>Y197*'Active Inputs'!$G$75</f>
        <v>1155.6235471561265</v>
      </c>
      <c r="Z199" s="205">
        <f>Z197*'Active Inputs'!$G$75</f>
        <v>1155.6235471561265</v>
      </c>
      <c r="AA199" s="205">
        <f>AA197*'Active Inputs'!$G$75</f>
        <v>577.81177357806325</v>
      </c>
      <c r="AB199" s="205">
        <f>AB197*'Active Inputs'!$G$75</f>
        <v>0</v>
      </c>
      <c r="AC199" s="205">
        <f>AC197*'Active Inputs'!$G$75</f>
        <v>0</v>
      </c>
      <c r="AD199" s="205">
        <f>AD197*'Active Inputs'!$G$75</f>
        <v>0</v>
      </c>
      <c r="AE199" s="205">
        <f>AE197*'Active Inputs'!$G$75</f>
        <v>0</v>
      </c>
      <c r="AF199" s="205">
        <f>AF197*'Active Inputs'!$G$75</f>
        <v>0</v>
      </c>
      <c r="AG199" s="205">
        <f>AG197*'Active Inputs'!$G$75</f>
        <v>0</v>
      </c>
      <c r="AH199" s="205">
        <f>AH197*'Active Inputs'!$G$75</f>
        <v>0</v>
      </c>
      <c r="AI199" s="205">
        <f>AI197*'Active Inputs'!$G$75</f>
        <v>0</v>
      </c>
      <c r="AJ199" s="205">
        <f>AJ197*'Active Inputs'!$G$75</f>
        <v>0</v>
      </c>
    </row>
    <row r="200" spans="2:36" s="1" customFormat="1" ht="16.5" thickBot="1">
      <c r="B200" s="206"/>
      <c r="C200" s="206"/>
      <c r="D200" s="206"/>
      <c r="E200" s="207"/>
      <c r="F200" s="207"/>
      <c r="G200" s="208"/>
      <c r="H200" s="209"/>
      <c r="I200" s="207"/>
      <c r="J200" s="207"/>
      <c r="K200" s="207"/>
      <c r="L200" s="207"/>
      <c r="M200" s="207"/>
      <c r="N200" s="207"/>
      <c r="O200" s="207"/>
      <c r="P200" s="207"/>
      <c r="Q200" s="207"/>
      <c r="R200" s="207"/>
      <c r="S200" s="207"/>
      <c r="T200" s="207"/>
      <c r="U200" s="207"/>
      <c r="V200" s="207"/>
      <c r="W200" s="207"/>
      <c r="X200" s="207"/>
      <c r="Y200" s="207"/>
      <c r="Z200" s="207"/>
      <c r="AA200" s="207"/>
      <c r="AB200" s="207"/>
      <c r="AC200" s="207"/>
      <c r="AD200" s="207"/>
      <c r="AE200" s="207"/>
      <c r="AF200" s="207"/>
      <c r="AG200" s="207"/>
      <c r="AH200" s="207"/>
      <c r="AI200" s="207"/>
      <c r="AJ200" s="207"/>
    </row>
    <row r="201" spans="2:36">
      <c r="B201" s="225"/>
      <c r="C201" s="225"/>
      <c r="D201" s="225"/>
      <c r="E201" s="225"/>
      <c r="F201" s="225"/>
      <c r="G201" s="225"/>
      <c r="H201" s="225"/>
      <c r="I201" s="225"/>
      <c r="J201" s="225"/>
      <c r="K201" s="225"/>
      <c r="L201" s="225"/>
      <c r="M201" s="225"/>
      <c r="N201" s="225"/>
      <c r="O201" s="225"/>
      <c r="P201" s="225"/>
      <c r="Q201" s="225"/>
      <c r="R201" s="225"/>
      <c r="S201" s="225"/>
      <c r="T201" s="225"/>
      <c r="U201" s="225"/>
      <c r="V201" s="225"/>
      <c r="W201" s="225"/>
      <c r="X201" s="225"/>
      <c r="Y201" s="225"/>
      <c r="Z201" s="225"/>
      <c r="AA201" s="225"/>
      <c r="AB201" s="225"/>
      <c r="AC201" s="225"/>
      <c r="AD201" s="225"/>
      <c r="AE201" s="225"/>
      <c r="AF201" s="225"/>
      <c r="AG201" s="225"/>
      <c r="AH201" s="225"/>
      <c r="AI201" s="225"/>
      <c r="AJ201" s="225"/>
    </row>
    <row r="202" spans="2:36" ht="15.75">
      <c r="B202" s="187" t="s">
        <v>398</v>
      </c>
      <c r="C202" s="187"/>
      <c r="D202" s="187"/>
      <c r="E202" s="225"/>
      <c r="F202" s="225"/>
      <c r="G202" s="225"/>
      <c r="H202" s="225"/>
      <c r="I202" s="225"/>
      <c r="J202" s="225"/>
      <c r="K202" s="225"/>
      <c r="L202" s="225"/>
      <c r="M202" s="225"/>
      <c r="N202" s="225"/>
      <c r="O202" s="225"/>
      <c r="P202" s="225"/>
      <c r="Q202" s="225"/>
      <c r="R202" s="225"/>
      <c r="S202" s="225"/>
      <c r="T202" s="225"/>
      <c r="U202" s="225"/>
      <c r="V202" s="225"/>
      <c r="W202" s="225"/>
      <c r="X202" s="225"/>
      <c r="Y202" s="225"/>
      <c r="Z202" s="225"/>
      <c r="AA202" s="225"/>
      <c r="AB202" s="225"/>
      <c r="AC202" s="225"/>
      <c r="AD202" s="225"/>
      <c r="AE202" s="225"/>
      <c r="AF202" s="225"/>
      <c r="AG202" s="225"/>
      <c r="AH202" s="225"/>
      <c r="AI202" s="225"/>
      <c r="AJ202" s="225"/>
    </row>
    <row r="203" spans="2:36" ht="15.75">
      <c r="B203" s="188"/>
      <c r="C203" s="188"/>
      <c r="D203" s="188"/>
      <c r="E203" s="225"/>
      <c r="F203" s="225"/>
      <c r="G203" s="225"/>
      <c r="H203" s="225"/>
      <c r="I203" s="225"/>
      <c r="J203" s="225"/>
      <c r="K203" s="225"/>
      <c r="L203" s="225"/>
      <c r="M203" s="225"/>
      <c r="N203" s="225"/>
      <c r="O203" s="225"/>
      <c r="P203" s="225"/>
      <c r="Q203" s="225"/>
      <c r="R203" s="225"/>
      <c r="S203" s="225"/>
      <c r="T203" s="225"/>
      <c r="U203" s="225"/>
      <c r="V203" s="225"/>
      <c r="W203" s="225"/>
      <c r="X203" s="225"/>
      <c r="Y203" s="225"/>
      <c r="Z203" s="225"/>
      <c r="AA203" s="225"/>
      <c r="AB203" s="225"/>
      <c r="AC203" s="225"/>
      <c r="AD203" s="225"/>
      <c r="AE203" s="225"/>
      <c r="AF203" s="225"/>
      <c r="AG203" s="225"/>
      <c r="AH203" s="225"/>
      <c r="AI203" s="225"/>
      <c r="AJ203" s="225"/>
    </row>
    <row r="204" spans="2:36" ht="15.75">
      <c r="B204" s="188"/>
      <c r="C204" s="188"/>
      <c r="D204" s="188"/>
      <c r="E204" s="225"/>
      <c r="F204" s="225"/>
      <c r="G204" s="205"/>
      <c r="H204" s="205"/>
      <c r="I204" s="205"/>
      <c r="J204" s="205"/>
      <c r="K204" s="205"/>
      <c r="L204" s="205"/>
      <c r="M204" s="205"/>
      <c r="N204" s="205"/>
      <c r="O204" s="205"/>
      <c r="P204" s="205"/>
      <c r="Q204" s="205"/>
      <c r="R204" s="205"/>
      <c r="S204" s="205"/>
      <c r="T204" s="205"/>
      <c r="U204" s="205"/>
      <c r="V204" s="205"/>
      <c r="W204" s="205"/>
      <c r="X204" s="205"/>
      <c r="Y204" s="205"/>
      <c r="Z204" s="205"/>
      <c r="AA204" s="205"/>
      <c r="AB204" s="205"/>
      <c r="AC204" s="205"/>
      <c r="AD204" s="205"/>
      <c r="AE204" s="205"/>
      <c r="AF204" s="205"/>
      <c r="AG204" s="205"/>
      <c r="AH204" s="205"/>
      <c r="AI204" s="205"/>
      <c r="AJ204" s="205"/>
    </row>
    <row r="205" spans="2:36" ht="15.75">
      <c r="B205" s="264" t="s">
        <v>399</v>
      </c>
      <c r="C205" s="264"/>
      <c r="D205" s="264"/>
      <c r="E205" s="225"/>
      <c r="F205" s="225"/>
      <c r="G205" s="205"/>
      <c r="H205" s="205"/>
      <c r="I205" s="205"/>
      <c r="J205" s="205"/>
      <c r="K205" s="205"/>
      <c r="L205" s="205"/>
      <c r="M205" s="205"/>
      <c r="N205" s="205"/>
      <c r="O205" s="205"/>
      <c r="P205" s="205"/>
      <c r="Q205" s="205"/>
      <c r="R205" s="205"/>
      <c r="S205" s="205"/>
      <c r="T205" s="205"/>
      <c r="U205" s="205"/>
      <c r="V205" s="205"/>
      <c r="W205" s="205"/>
      <c r="X205" s="205"/>
      <c r="Y205" s="205"/>
      <c r="Z205" s="205"/>
      <c r="AA205" s="205"/>
      <c r="AB205" s="205"/>
      <c r="AC205" s="205"/>
      <c r="AD205" s="205"/>
      <c r="AE205" s="205"/>
      <c r="AF205" s="205"/>
      <c r="AG205" s="205"/>
      <c r="AH205" s="205"/>
      <c r="AI205" s="205"/>
      <c r="AJ205" s="205"/>
    </row>
    <row r="206" spans="2:36" ht="15.75">
      <c r="B206" s="188" t="s">
        <v>400</v>
      </c>
      <c r="C206" s="188"/>
      <c r="D206" s="188"/>
      <c r="E206" s="225"/>
      <c r="F206" s="225"/>
      <c r="G206" s="205">
        <f>G62</f>
        <v>-1555253.404077929</v>
      </c>
      <c r="H206" s="205">
        <f t="shared" ref="H206:AJ206" si="184">H62</f>
        <v>-2777719.1317853872</v>
      </c>
      <c r="I206" s="205">
        <f t="shared" si="184"/>
        <v>-1480474.0262486343</v>
      </c>
      <c r="J206" s="205">
        <f t="shared" si="184"/>
        <v>-698489.42293683719</v>
      </c>
      <c r="K206" s="205">
        <f t="shared" si="184"/>
        <v>-689753.79615581909</v>
      </c>
      <c r="L206" s="205">
        <f t="shared" si="184"/>
        <v>-98964.865706991986</v>
      </c>
      <c r="M206" s="205">
        <f t="shared" si="184"/>
        <v>492571.91761624301</v>
      </c>
      <c r="N206" s="205">
        <f t="shared" si="184"/>
        <v>504274.28694618266</v>
      </c>
      <c r="O206" s="205">
        <f t="shared" si="184"/>
        <v>517736.71909302211</v>
      </c>
      <c r="P206" s="205">
        <f t="shared" si="184"/>
        <v>533165.44326770806</v>
      </c>
      <c r="Q206" s="205">
        <f t="shared" si="184"/>
        <v>550630.84099095</v>
      </c>
      <c r="R206" s="205">
        <f t="shared" si="184"/>
        <v>548228.40773699223</v>
      </c>
      <c r="S206" s="205">
        <f t="shared" si="184"/>
        <v>556503.57740470895</v>
      </c>
      <c r="T206" s="205">
        <f t="shared" si="184"/>
        <v>594528.82816806878</v>
      </c>
      <c r="U206" s="205">
        <f t="shared" si="184"/>
        <v>629962.65514636226</v>
      </c>
      <c r="V206" s="205">
        <f t="shared" si="184"/>
        <v>666622.7719040066</v>
      </c>
      <c r="W206" s="205">
        <f t="shared" si="184"/>
        <v>663827.64710366831</v>
      </c>
      <c r="X206" s="205">
        <f t="shared" si="184"/>
        <v>654652.09502859705</v>
      </c>
      <c r="Y206" s="205">
        <f t="shared" si="184"/>
        <v>639239.89566432103</v>
      </c>
      <c r="Z206" s="205">
        <f t="shared" si="184"/>
        <v>623633.77022832609</v>
      </c>
      <c r="AA206" s="205">
        <f t="shared" si="184"/>
        <v>649498.95274508966</v>
      </c>
      <c r="AB206" s="205">
        <f t="shared" si="184"/>
        <v>665805.59244156489</v>
      </c>
      <c r="AC206" s="205">
        <f t="shared" si="184"/>
        <v>675029.64020103705</v>
      </c>
      <c r="AD206" s="205">
        <f t="shared" si="184"/>
        <v>684212.77443751181</v>
      </c>
      <c r="AE206" s="205">
        <f t="shared" si="184"/>
        <v>693668.3216091434</v>
      </c>
      <c r="AF206" s="205">
        <f t="shared" si="184"/>
        <v>703170.08594576549</v>
      </c>
      <c r="AG206" s="205">
        <f t="shared" si="184"/>
        <v>708413.86818287242</v>
      </c>
      <c r="AH206" s="205">
        <f t="shared" si="184"/>
        <v>690115.07491257798</v>
      </c>
      <c r="AI206" s="205">
        <f t="shared" si="184"/>
        <v>671573.45174814714</v>
      </c>
      <c r="AJ206" s="205">
        <f t="shared" si="184"/>
        <v>652782.28093038383</v>
      </c>
    </row>
    <row r="207" spans="2:36" ht="15.75">
      <c r="B207" s="188" t="s">
        <v>401</v>
      </c>
      <c r="C207" s="188"/>
      <c r="D207" s="188"/>
      <c r="E207" s="225"/>
      <c r="F207" s="225"/>
      <c r="G207" s="205">
        <v>0</v>
      </c>
      <c r="H207" s="205">
        <f>G210</f>
        <v>1555253.404077929</v>
      </c>
      <c r="I207" s="205">
        <f t="shared" ref="I207:AI207" si="185">H210</f>
        <v>4332972.5358633157</v>
      </c>
      <c r="J207" s="205">
        <f t="shared" si="185"/>
        <v>5813446.5621119495</v>
      </c>
      <c r="K207" s="205">
        <f t="shared" si="185"/>
        <v>6511935.9850487867</v>
      </c>
      <c r="L207" s="205">
        <f t="shared" si="185"/>
        <v>7201689.7812046055</v>
      </c>
      <c r="M207" s="205">
        <f t="shared" si="185"/>
        <v>7300654.6469115978</v>
      </c>
      <c r="N207" s="205">
        <f t="shared" si="185"/>
        <v>6808082.7292953543</v>
      </c>
      <c r="O207" s="205">
        <f t="shared" si="185"/>
        <v>6303808.4423491713</v>
      </c>
      <c r="P207" s="205">
        <f t="shared" si="185"/>
        <v>5786071.7232561493</v>
      </c>
      <c r="Q207" s="205">
        <f t="shared" si="185"/>
        <v>5252906.2799884416</v>
      </c>
      <c r="R207" s="205">
        <f t="shared" si="185"/>
        <v>4702275.4389974913</v>
      </c>
      <c r="S207" s="205">
        <f t="shared" si="185"/>
        <v>4154047.0312604988</v>
      </c>
      <c r="T207" s="205">
        <f t="shared" si="185"/>
        <v>3597543.4538557897</v>
      </c>
      <c r="U207" s="205">
        <f t="shared" si="185"/>
        <v>3003014.6256877212</v>
      </c>
      <c r="V207" s="205">
        <f t="shared" si="185"/>
        <v>2373051.9705413589</v>
      </c>
      <c r="W207" s="205">
        <f t="shared" si="185"/>
        <v>1706429.1986373523</v>
      </c>
      <c r="X207" s="205">
        <f t="shared" si="185"/>
        <v>1042601.551533684</v>
      </c>
      <c r="Y207" s="205">
        <f t="shared" si="185"/>
        <v>387949.45650508697</v>
      </c>
      <c r="Z207" s="205">
        <f t="shared" si="185"/>
        <v>0</v>
      </c>
      <c r="AA207" s="205">
        <f t="shared" si="185"/>
        <v>0</v>
      </c>
      <c r="AB207" s="205">
        <f t="shared" si="185"/>
        <v>0</v>
      </c>
      <c r="AC207" s="205">
        <f t="shared" si="185"/>
        <v>0</v>
      </c>
      <c r="AD207" s="205">
        <f t="shared" si="185"/>
        <v>0</v>
      </c>
      <c r="AE207" s="205">
        <f t="shared" si="185"/>
        <v>0</v>
      </c>
      <c r="AF207" s="205">
        <f t="shared" si="185"/>
        <v>0</v>
      </c>
      <c r="AG207" s="205">
        <f t="shared" si="185"/>
        <v>0</v>
      </c>
      <c r="AH207" s="205">
        <f t="shared" si="185"/>
        <v>0</v>
      </c>
      <c r="AI207" s="205">
        <f t="shared" si="185"/>
        <v>0</v>
      </c>
      <c r="AJ207" s="205">
        <f>AI210</f>
        <v>0</v>
      </c>
    </row>
    <row r="208" spans="2:36" ht="15.75">
      <c r="B208" s="188" t="s">
        <v>402</v>
      </c>
      <c r="C208" s="188"/>
      <c r="D208" s="188"/>
      <c r="E208" s="225"/>
      <c r="F208" s="225"/>
      <c r="G208" s="205">
        <f t="shared" ref="G208:AJ208" si="186">IF(G$206&gt;0,0,-G$206)</f>
        <v>1555253.404077929</v>
      </c>
      <c r="H208" s="205">
        <f t="shared" si="186"/>
        <v>2777719.1317853872</v>
      </c>
      <c r="I208" s="205">
        <f t="shared" si="186"/>
        <v>1480474.0262486343</v>
      </c>
      <c r="J208" s="205">
        <f t="shared" si="186"/>
        <v>698489.42293683719</v>
      </c>
      <c r="K208" s="205">
        <f t="shared" si="186"/>
        <v>689753.79615581909</v>
      </c>
      <c r="L208" s="205">
        <f t="shared" si="186"/>
        <v>98964.865706991986</v>
      </c>
      <c r="M208" s="205">
        <f t="shared" si="186"/>
        <v>0</v>
      </c>
      <c r="N208" s="205">
        <f t="shared" si="186"/>
        <v>0</v>
      </c>
      <c r="O208" s="205">
        <f t="shared" si="186"/>
        <v>0</v>
      </c>
      <c r="P208" s="205">
        <f t="shared" si="186"/>
        <v>0</v>
      </c>
      <c r="Q208" s="205">
        <f t="shared" si="186"/>
        <v>0</v>
      </c>
      <c r="R208" s="205">
        <f t="shared" si="186"/>
        <v>0</v>
      </c>
      <c r="S208" s="205">
        <f t="shared" si="186"/>
        <v>0</v>
      </c>
      <c r="T208" s="205">
        <f t="shared" si="186"/>
        <v>0</v>
      </c>
      <c r="U208" s="205">
        <f t="shared" si="186"/>
        <v>0</v>
      </c>
      <c r="V208" s="205">
        <f t="shared" si="186"/>
        <v>0</v>
      </c>
      <c r="W208" s="205">
        <f t="shared" si="186"/>
        <v>0</v>
      </c>
      <c r="X208" s="205">
        <f t="shared" si="186"/>
        <v>0</v>
      </c>
      <c r="Y208" s="205">
        <f t="shared" si="186"/>
        <v>0</v>
      </c>
      <c r="Z208" s="205">
        <f t="shared" si="186"/>
        <v>0</v>
      </c>
      <c r="AA208" s="205">
        <f t="shared" si="186"/>
        <v>0</v>
      </c>
      <c r="AB208" s="205">
        <f t="shared" si="186"/>
        <v>0</v>
      </c>
      <c r="AC208" s="205">
        <f t="shared" si="186"/>
        <v>0</v>
      </c>
      <c r="AD208" s="205">
        <f t="shared" si="186"/>
        <v>0</v>
      </c>
      <c r="AE208" s="205">
        <f t="shared" si="186"/>
        <v>0</v>
      </c>
      <c r="AF208" s="205">
        <f t="shared" si="186"/>
        <v>0</v>
      </c>
      <c r="AG208" s="205">
        <f t="shared" si="186"/>
        <v>0</v>
      </c>
      <c r="AH208" s="205">
        <f t="shared" si="186"/>
        <v>0</v>
      </c>
      <c r="AI208" s="205">
        <f t="shared" si="186"/>
        <v>0</v>
      </c>
      <c r="AJ208" s="205">
        <f t="shared" si="186"/>
        <v>0</v>
      </c>
    </row>
    <row r="209" spans="2:36" ht="15.75">
      <c r="B209" s="188" t="s">
        <v>403</v>
      </c>
      <c r="C209" s="188"/>
      <c r="D209" s="188"/>
      <c r="E209" s="225"/>
      <c r="F209" s="225"/>
      <c r="G209" s="205">
        <f t="shared" ref="G209:AJ209" si="187">IF(G$206&lt;=0,0,-MIN(G$206,F$210))</f>
        <v>0</v>
      </c>
      <c r="H209" s="205">
        <f t="shared" si="187"/>
        <v>0</v>
      </c>
      <c r="I209" s="205">
        <f t="shared" si="187"/>
        <v>0</v>
      </c>
      <c r="J209" s="205">
        <f t="shared" si="187"/>
        <v>0</v>
      </c>
      <c r="K209" s="205">
        <f t="shared" si="187"/>
        <v>0</v>
      </c>
      <c r="L209" s="205">
        <f t="shared" si="187"/>
        <v>0</v>
      </c>
      <c r="M209" s="205">
        <f t="shared" si="187"/>
        <v>-492571.91761624301</v>
      </c>
      <c r="N209" s="205">
        <f t="shared" si="187"/>
        <v>-504274.28694618266</v>
      </c>
      <c r="O209" s="205">
        <f t="shared" si="187"/>
        <v>-517736.71909302211</v>
      </c>
      <c r="P209" s="205">
        <f t="shared" si="187"/>
        <v>-533165.44326770806</v>
      </c>
      <c r="Q209" s="205">
        <f t="shared" si="187"/>
        <v>-550630.84099095</v>
      </c>
      <c r="R209" s="205">
        <f t="shared" si="187"/>
        <v>-548228.40773699223</v>
      </c>
      <c r="S209" s="205">
        <f t="shared" si="187"/>
        <v>-556503.57740470895</v>
      </c>
      <c r="T209" s="205">
        <f t="shared" si="187"/>
        <v>-594528.82816806878</v>
      </c>
      <c r="U209" s="205">
        <f t="shared" si="187"/>
        <v>-629962.65514636226</v>
      </c>
      <c r="V209" s="205">
        <f t="shared" si="187"/>
        <v>-666622.7719040066</v>
      </c>
      <c r="W209" s="205">
        <f t="shared" si="187"/>
        <v>-663827.64710366831</v>
      </c>
      <c r="X209" s="205">
        <f t="shared" si="187"/>
        <v>-654652.09502859705</v>
      </c>
      <c r="Y209" s="205">
        <f t="shared" si="187"/>
        <v>-387949.45650508697</v>
      </c>
      <c r="Z209" s="205">
        <f t="shared" si="187"/>
        <v>0</v>
      </c>
      <c r="AA209" s="205">
        <f t="shared" si="187"/>
        <v>0</v>
      </c>
      <c r="AB209" s="205">
        <f t="shared" si="187"/>
        <v>0</v>
      </c>
      <c r="AC209" s="205">
        <f t="shared" si="187"/>
        <v>0</v>
      </c>
      <c r="AD209" s="205">
        <f t="shared" si="187"/>
        <v>0</v>
      </c>
      <c r="AE209" s="205">
        <f t="shared" si="187"/>
        <v>0</v>
      </c>
      <c r="AF209" s="205">
        <f t="shared" si="187"/>
        <v>0</v>
      </c>
      <c r="AG209" s="205">
        <f t="shared" si="187"/>
        <v>0</v>
      </c>
      <c r="AH209" s="205">
        <f t="shared" si="187"/>
        <v>0</v>
      </c>
      <c r="AI209" s="205">
        <f t="shared" si="187"/>
        <v>0</v>
      </c>
      <c r="AJ209" s="205">
        <f t="shared" si="187"/>
        <v>0</v>
      </c>
    </row>
    <row r="210" spans="2:36" ht="15.75">
      <c r="B210" s="188" t="s">
        <v>404</v>
      </c>
      <c r="C210" s="188"/>
      <c r="D210" s="188"/>
      <c r="E210" s="225"/>
      <c r="F210" s="225"/>
      <c r="G210" s="205">
        <f>SUM(G207:G209)</f>
        <v>1555253.404077929</v>
      </c>
      <c r="H210" s="205">
        <f t="shared" ref="H210:AJ210" si="188">SUM(H207:H209)</f>
        <v>4332972.5358633157</v>
      </c>
      <c r="I210" s="205">
        <f t="shared" si="188"/>
        <v>5813446.5621119495</v>
      </c>
      <c r="J210" s="205">
        <f t="shared" si="188"/>
        <v>6511935.9850487867</v>
      </c>
      <c r="K210" s="205">
        <f t="shared" si="188"/>
        <v>7201689.7812046055</v>
      </c>
      <c r="L210" s="205">
        <f t="shared" si="188"/>
        <v>7300654.6469115978</v>
      </c>
      <c r="M210" s="205">
        <f t="shared" si="188"/>
        <v>6808082.7292953543</v>
      </c>
      <c r="N210" s="205">
        <f t="shared" si="188"/>
        <v>6303808.4423491713</v>
      </c>
      <c r="O210" s="205">
        <f t="shared" si="188"/>
        <v>5786071.7232561493</v>
      </c>
      <c r="P210" s="205">
        <f t="shared" si="188"/>
        <v>5252906.2799884416</v>
      </c>
      <c r="Q210" s="205">
        <f t="shared" si="188"/>
        <v>4702275.4389974913</v>
      </c>
      <c r="R210" s="205">
        <f t="shared" si="188"/>
        <v>4154047.0312604988</v>
      </c>
      <c r="S210" s="205">
        <f t="shared" si="188"/>
        <v>3597543.4538557897</v>
      </c>
      <c r="T210" s="205">
        <f t="shared" si="188"/>
        <v>3003014.6256877212</v>
      </c>
      <c r="U210" s="205">
        <f t="shared" si="188"/>
        <v>2373051.9705413589</v>
      </c>
      <c r="V210" s="205">
        <f t="shared" si="188"/>
        <v>1706429.1986373523</v>
      </c>
      <c r="W210" s="205">
        <f t="shared" si="188"/>
        <v>1042601.551533684</v>
      </c>
      <c r="X210" s="205">
        <f t="shared" si="188"/>
        <v>387949.45650508697</v>
      </c>
      <c r="Y210" s="205">
        <f t="shared" si="188"/>
        <v>0</v>
      </c>
      <c r="Z210" s="205">
        <f t="shared" si="188"/>
        <v>0</v>
      </c>
      <c r="AA210" s="205">
        <f t="shared" si="188"/>
        <v>0</v>
      </c>
      <c r="AB210" s="205">
        <f t="shared" si="188"/>
        <v>0</v>
      </c>
      <c r="AC210" s="205">
        <f t="shared" si="188"/>
        <v>0</v>
      </c>
      <c r="AD210" s="205">
        <f t="shared" si="188"/>
        <v>0</v>
      </c>
      <c r="AE210" s="205">
        <f t="shared" si="188"/>
        <v>0</v>
      </c>
      <c r="AF210" s="205">
        <f t="shared" si="188"/>
        <v>0</v>
      </c>
      <c r="AG210" s="205">
        <f t="shared" si="188"/>
        <v>0</v>
      </c>
      <c r="AH210" s="205">
        <f t="shared" si="188"/>
        <v>0</v>
      </c>
      <c r="AI210" s="205">
        <f t="shared" si="188"/>
        <v>0</v>
      </c>
      <c r="AJ210" s="205">
        <f t="shared" si="188"/>
        <v>0</v>
      </c>
    </row>
    <row r="211" spans="2:36" ht="15.75">
      <c r="B211" s="188"/>
      <c r="C211" s="188"/>
      <c r="D211" s="188"/>
      <c r="E211" s="225"/>
      <c r="F211" s="225"/>
      <c r="G211" s="225"/>
      <c r="H211" s="225"/>
      <c r="I211" s="225"/>
      <c r="J211" s="225"/>
      <c r="K211" s="225"/>
      <c r="L211" s="225"/>
      <c r="M211" s="225"/>
      <c r="N211" s="225"/>
      <c r="O211" s="225"/>
      <c r="P211" s="225"/>
      <c r="Q211" s="225"/>
      <c r="R211" s="225"/>
      <c r="S211" s="225"/>
      <c r="T211" s="225"/>
      <c r="U211" s="225"/>
      <c r="V211" s="225"/>
      <c r="W211" s="225"/>
      <c r="X211" s="225"/>
      <c r="Y211" s="225"/>
      <c r="Z211" s="225"/>
      <c r="AA211" s="225"/>
      <c r="AB211" s="225"/>
      <c r="AC211" s="225"/>
      <c r="AD211" s="225"/>
      <c r="AE211" s="225"/>
      <c r="AF211" s="225"/>
      <c r="AG211" s="225"/>
      <c r="AH211" s="225"/>
      <c r="AI211" s="225"/>
      <c r="AJ211" s="225"/>
    </row>
    <row r="212" spans="2:36" ht="15.75">
      <c r="B212" s="188" t="s">
        <v>405</v>
      </c>
      <c r="C212" s="188"/>
      <c r="D212" s="188"/>
      <c r="E212" s="225"/>
      <c r="F212" s="225"/>
      <c r="G212" s="205">
        <f t="shared" ref="G212:AJ212" si="189">G206+G208+G209</f>
        <v>0</v>
      </c>
      <c r="H212" s="205">
        <f t="shared" si="189"/>
        <v>0</v>
      </c>
      <c r="I212" s="205">
        <f t="shared" si="189"/>
        <v>0</v>
      </c>
      <c r="J212" s="205">
        <f t="shared" si="189"/>
        <v>0</v>
      </c>
      <c r="K212" s="205">
        <f t="shared" si="189"/>
        <v>0</v>
      </c>
      <c r="L212" s="205">
        <f t="shared" si="189"/>
        <v>0</v>
      </c>
      <c r="M212" s="205">
        <f t="shared" si="189"/>
        <v>0</v>
      </c>
      <c r="N212" s="205">
        <f t="shared" si="189"/>
        <v>0</v>
      </c>
      <c r="O212" s="205">
        <f t="shared" si="189"/>
        <v>0</v>
      </c>
      <c r="P212" s="205">
        <f t="shared" si="189"/>
        <v>0</v>
      </c>
      <c r="Q212" s="205">
        <f t="shared" si="189"/>
        <v>0</v>
      </c>
      <c r="R212" s="205">
        <f t="shared" si="189"/>
        <v>0</v>
      </c>
      <c r="S212" s="205">
        <f t="shared" si="189"/>
        <v>0</v>
      </c>
      <c r="T212" s="205">
        <f t="shared" si="189"/>
        <v>0</v>
      </c>
      <c r="U212" s="205">
        <f t="shared" si="189"/>
        <v>0</v>
      </c>
      <c r="V212" s="205">
        <f t="shared" si="189"/>
        <v>0</v>
      </c>
      <c r="W212" s="205">
        <f t="shared" si="189"/>
        <v>0</v>
      </c>
      <c r="X212" s="205">
        <f t="shared" si="189"/>
        <v>0</v>
      </c>
      <c r="Y212" s="205">
        <f t="shared" si="189"/>
        <v>251290.43915923405</v>
      </c>
      <c r="Z212" s="205">
        <f t="shared" si="189"/>
        <v>623633.77022832609</v>
      </c>
      <c r="AA212" s="205">
        <f t="shared" si="189"/>
        <v>649498.95274508966</v>
      </c>
      <c r="AB212" s="205">
        <f t="shared" si="189"/>
        <v>665805.59244156489</v>
      </c>
      <c r="AC212" s="205">
        <f t="shared" si="189"/>
        <v>675029.64020103705</v>
      </c>
      <c r="AD212" s="205">
        <f t="shared" si="189"/>
        <v>684212.77443751181</v>
      </c>
      <c r="AE212" s="205">
        <f t="shared" si="189"/>
        <v>693668.3216091434</v>
      </c>
      <c r="AF212" s="205">
        <f t="shared" si="189"/>
        <v>703170.08594576549</v>
      </c>
      <c r="AG212" s="205">
        <f t="shared" si="189"/>
        <v>708413.86818287242</v>
      </c>
      <c r="AH212" s="205">
        <f t="shared" si="189"/>
        <v>690115.07491257798</v>
      </c>
      <c r="AI212" s="205">
        <f t="shared" si="189"/>
        <v>671573.45174814714</v>
      </c>
      <c r="AJ212" s="205">
        <f t="shared" si="189"/>
        <v>652782.28093038383</v>
      </c>
    </row>
    <row r="213" spans="2:36" ht="15.75">
      <c r="B213" s="188"/>
      <c r="C213" s="188"/>
      <c r="D213" s="188"/>
      <c r="E213" s="225"/>
      <c r="F213" s="225"/>
      <c r="G213" s="205"/>
      <c r="H213" s="205"/>
      <c r="I213" s="205"/>
      <c r="J213" s="205"/>
      <c r="K213" s="205"/>
      <c r="L213" s="205"/>
      <c r="M213" s="205"/>
      <c r="N213" s="205"/>
      <c r="O213" s="205"/>
      <c r="P213" s="205"/>
      <c r="Q213" s="205"/>
      <c r="R213" s="205"/>
      <c r="S213" s="205"/>
      <c r="T213" s="205"/>
      <c r="U213" s="205"/>
      <c r="V213" s="205"/>
      <c r="W213" s="205"/>
      <c r="X213" s="205"/>
      <c r="Y213" s="205"/>
      <c r="Z213" s="205"/>
      <c r="AA213" s="205"/>
      <c r="AB213" s="205"/>
      <c r="AC213" s="205"/>
      <c r="AD213" s="205"/>
      <c r="AE213" s="205"/>
      <c r="AF213" s="205"/>
      <c r="AG213" s="205"/>
      <c r="AH213" s="205"/>
      <c r="AI213" s="205"/>
      <c r="AJ213" s="205"/>
    </row>
    <row r="214" spans="2:36" ht="15.75">
      <c r="B214" s="264" t="s">
        <v>406</v>
      </c>
      <c r="C214" s="264"/>
      <c r="D214" s="264"/>
      <c r="E214" s="225"/>
      <c r="F214" s="225"/>
      <c r="G214" s="205"/>
      <c r="H214" s="205"/>
      <c r="I214" s="205"/>
      <c r="J214" s="205"/>
      <c r="K214" s="205"/>
      <c r="L214" s="205"/>
      <c r="M214" s="205"/>
      <c r="N214" s="205"/>
      <c r="O214" s="205"/>
      <c r="P214" s="205"/>
      <c r="Q214" s="205"/>
      <c r="R214" s="205"/>
      <c r="S214" s="205"/>
      <c r="T214" s="205"/>
      <c r="U214" s="205"/>
      <c r="V214" s="205"/>
      <c r="W214" s="205"/>
      <c r="X214" s="205"/>
      <c r="Y214" s="205"/>
      <c r="Z214" s="205"/>
      <c r="AA214" s="205"/>
      <c r="AB214" s="205"/>
      <c r="AC214" s="205"/>
      <c r="AD214" s="205"/>
      <c r="AE214" s="205"/>
      <c r="AF214" s="205"/>
      <c r="AG214" s="205"/>
      <c r="AH214" s="205"/>
      <c r="AI214" s="205"/>
      <c r="AJ214" s="205"/>
    </row>
    <row r="215" spans="2:36" ht="15.75">
      <c r="B215" s="188" t="s">
        <v>407</v>
      </c>
      <c r="C215" s="264"/>
      <c r="D215" s="264"/>
      <c r="E215" s="225"/>
      <c r="F215" s="225"/>
      <c r="G215" s="205">
        <f t="shared" ref="G215:AJ215" si="190">G63</f>
        <v>-1555253.404077929</v>
      </c>
      <c r="H215" s="205">
        <f t="shared" si="190"/>
        <v>-2777719.1317853872</v>
      </c>
      <c r="I215" s="205">
        <f>I63</f>
        <v>-1480474.0262486343</v>
      </c>
      <c r="J215" s="205">
        <f t="shared" si="190"/>
        <v>-698489.42293683719</v>
      </c>
      <c r="K215" s="205">
        <f t="shared" si="190"/>
        <v>-689753.79615581909</v>
      </c>
      <c r="L215" s="205">
        <f t="shared" si="190"/>
        <v>-98964.865706991986</v>
      </c>
      <c r="M215" s="205">
        <f t="shared" si="190"/>
        <v>492571.91761624301</v>
      </c>
      <c r="N215" s="205">
        <f t="shared" si="190"/>
        <v>504274.28694618266</v>
      </c>
      <c r="O215" s="205">
        <f t="shared" si="190"/>
        <v>517736.71909302211</v>
      </c>
      <c r="P215" s="205">
        <f t="shared" si="190"/>
        <v>533165.44326770806</v>
      </c>
      <c r="Q215" s="205">
        <f t="shared" si="190"/>
        <v>550630.84099095</v>
      </c>
      <c r="R215" s="205">
        <f t="shared" si="190"/>
        <v>548228.40773699223</v>
      </c>
      <c r="S215" s="205">
        <f t="shared" si="190"/>
        <v>556503.57740470895</v>
      </c>
      <c r="T215" s="205">
        <f t="shared" si="190"/>
        <v>594528.82816806878</v>
      </c>
      <c r="U215" s="205">
        <f t="shared" si="190"/>
        <v>629962.65514636226</v>
      </c>
      <c r="V215" s="205">
        <f t="shared" si="190"/>
        <v>666622.7719040066</v>
      </c>
      <c r="W215" s="205">
        <f t="shared" si="190"/>
        <v>663827.64710366831</v>
      </c>
      <c r="X215" s="205">
        <f t="shared" si="190"/>
        <v>654652.09502859705</v>
      </c>
      <c r="Y215" s="205">
        <f t="shared" si="190"/>
        <v>639239.89566432103</v>
      </c>
      <c r="Z215" s="205">
        <f t="shared" si="190"/>
        <v>623633.77022832609</v>
      </c>
      <c r="AA215" s="205">
        <f t="shared" si="190"/>
        <v>649498.95274508966</v>
      </c>
      <c r="AB215" s="205">
        <f t="shared" si="190"/>
        <v>665805.59244156489</v>
      </c>
      <c r="AC215" s="205">
        <f t="shared" si="190"/>
        <v>675029.64020103705</v>
      </c>
      <c r="AD215" s="205">
        <f t="shared" si="190"/>
        <v>684212.77443751181</v>
      </c>
      <c r="AE215" s="205">
        <f t="shared" si="190"/>
        <v>693668.3216091434</v>
      </c>
      <c r="AF215" s="205">
        <f t="shared" si="190"/>
        <v>703170.08594576549</v>
      </c>
      <c r="AG215" s="205">
        <f t="shared" si="190"/>
        <v>708413.86818287242</v>
      </c>
      <c r="AH215" s="205">
        <f t="shared" si="190"/>
        <v>690115.07491257798</v>
      </c>
      <c r="AI215" s="205">
        <f t="shared" si="190"/>
        <v>671573.45174814714</v>
      </c>
      <c r="AJ215" s="205">
        <f t="shared" si="190"/>
        <v>652782.28093038383</v>
      </c>
    </row>
    <row r="216" spans="2:36" ht="15.75">
      <c r="B216" s="188" t="s">
        <v>401</v>
      </c>
      <c r="C216" s="188"/>
      <c r="D216" s="188"/>
      <c r="E216" s="225"/>
      <c r="F216" s="225"/>
      <c r="G216" s="205">
        <v>0</v>
      </c>
      <c r="H216" s="205">
        <f>G219</f>
        <v>1555253.404077929</v>
      </c>
      <c r="I216" s="205">
        <f t="shared" ref="I216:AI216" si="191">H219</f>
        <v>4332972.5358633157</v>
      </c>
      <c r="J216" s="205">
        <f t="shared" si="191"/>
        <v>5813446.5621119495</v>
      </c>
      <c r="K216" s="205">
        <f t="shared" si="191"/>
        <v>6511935.9850487867</v>
      </c>
      <c r="L216" s="205">
        <f t="shared" si="191"/>
        <v>7201689.7812046055</v>
      </c>
      <c r="M216" s="205">
        <f t="shared" si="191"/>
        <v>7300654.6469115978</v>
      </c>
      <c r="N216" s="205">
        <f t="shared" si="191"/>
        <v>6808082.7292953543</v>
      </c>
      <c r="O216" s="205">
        <f t="shared" si="191"/>
        <v>6303808.4423491713</v>
      </c>
      <c r="P216" s="205">
        <f t="shared" si="191"/>
        <v>5786071.7232561493</v>
      </c>
      <c r="Q216" s="205">
        <f t="shared" si="191"/>
        <v>5252906.2799884416</v>
      </c>
      <c r="R216" s="205">
        <f t="shared" si="191"/>
        <v>4702275.4389974913</v>
      </c>
      <c r="S216" s="205">
        <f t="shared" si="191"/>
        <v>4154047.0312604988</v>
      </c>
      <c r="T216" s="205">
        <f t="shared" si="191"/>
        <v>3597543.4538557897</v>
      </c>
      <c r="U216" s="205">
        <f t="shared" si="191"/>
        <v>3003014.6256877212</v>
      </c>
      <c r="V216" s="205">
        <f t="shared" si="191"/>
        <v>2373051.9705413589</v>
      </c>
      <c r="W216" s="205">
        <f t="shared" si="191"/>
        <v>1706429.1986373523</v>
      </c>
      <c r="X216" s="205">
        <f t="shared" si="191"/>
        <v>1042601.551533684</v>
      </c>
      <c r="Y216" s="205">
        <f t="shared" si="191"/>
        <v>387949.45650508697</v>
      </c>
      <c r="Z216" s="205">
        <f t="shared" si="191"/>
        <v>0</v>
      </c>
      <c r="AA216" s="205">
        <f t="shared" si="191"/>
        <v>0</v>
      </c>
      <c r="AB216" s="205">
        <f t="shared" si="191"/>
        <v>0</v>
      </c>
      <c r="AC216" s="205">
        <f t="shared" si="191"/>
        <v>0</v>
      </c>
      <c r="AD216" s="205">
        <f t="shared" si="191"/>
        <v>0</v>
      </c>
      <c r="AE216" s="205">
        <f t="shared" si="191"/>
        <v>0</v>
      </c>
      <c r="AF216" s="205">
        <f t="shared" si="191"/>
        <v>0</v>
      </c>
      <c r="AG216" s="205">
        <f t="shared" si="191"/>
        <v>0</v>
      </c>
      <c r="AH216" s="205">
        <f t="shared" si="191"/>
        <v>0</v>
      </c>
      <c r="AI216" s="205">
        <f t="shared" si="191"/>
        <v>0</v>
      </c>
      <c r="AJ216" s="205">
        <f>AI219</f>
        <v>0</v>
      </c>
    </row>
    <row r="217" spans="2:36" ht="15.75">
      <c r="B217" s="188" t="s">
        <v>402</v>
      </c>
      <c r="C217" s="188"/>
      <c r="D217" s="188"/>
      <c r="E217" s="225"/>
      <c r="F217" s="225"/>
      <c r="G217" s="205">
        <f>IF(G$215&gt;0,0,-G$215)</f>
        <v>1555253.404077929</v>
      </c>
      <c r="H217" s="205">
        <f t="shared" ref="H217:AJ217" si="192">IF(H$215&gt;0,0,-H$215)</f>
        <v>2777719.1317853872</v>
      </c>
      <c r="I217" s="205">
        <f t="shared" si="192"/>
        <v>1480474.0262486343</v>
      </c>
      <c r="J217" s="205">
        <f t="shared" si="192"/>
        <v>698489.42293683719</v>
      </c>
      <c r="K217" s="205">
        <f t="shared" si="192"/>
        <v>689753.79615581909</v>
      </c>
      <c r="L217" s="205">
        <f t="shared" si="192"/>
        <v>98964.865706991986</v>
      </c>
      <c r="M217" s="205">
        <f t="shared" si="192"/>
        <v>0</v>
      </c>
      <c r="N217" s="205">
        <f t="shared" si="192"/>
        <v>0</v>
      </c>
      <c r="O217" s="205">
        <f t="shared" si="192"/>
        <v>0</v>
      </c>
      <c r="P217" s="205">
        <f t="shared" si="192"/>
        <v>0</v>
      </c>
      <c r="Q217" s="205">
        <f t="shared" si="192"/>
        <v>0</v>
      </c>
      <c r="R217" s="205">
        <f t="shared" si="192"/>
        <v>0</v>
      </c>
      <c r="S217" s="205">
        <f t="shared" si="192"/>
        <v>0</v>
      </c>
      <c r="T217" s="205">
        <f t="shared" si="192"/>
        <v>0</v>
      </c>
      <c r="U217" s="205">
        <f t="shared" si="192"/>
        <v>0</v>
      </c>
      <c r="V217" s="205">
        <f t="shared" si="192"/>
        <v>0</v>
      </c>
      <c r="W217" s="205">
        <f t="shared" si="192"/>
        <v>0</v>
      </c>
      <c r="X217" s="205">
        <f t="shared" si="192"/>
        <v>0</v>
      </c>
      <c r="Y217" s="205">
        <f t="shared" si="192"/>
        <v>0</v>
      </c>
      <c r="Z217" s="205">
        <f t="shared" si="192"/>
        <v>0</v>
      </c>
      <c r="AA217" s="205">
        <f t="shared" si="192"/>
        <v>0</v>
      </c>
      <c r="AB217" s="205">
        <f t="shared" si="192"/>
        <v>0</v>
      </c>
      <c r="AC217" s="205">
        <f t="shared" si="192"/>
        <v>0</v>
      </c>
      <c r="AD217" s="205">
        <f t="shared" si="192"/>
        <v>0</v>
      </c>
      <c r="AE217" s="205">
        <f t="shared" si="192"/>
        <v>0</v>
      </c>
      <c r="AF217" s="205">
        <f t="shared" si="192"/>
        <v>0</v>
      </c>
      <c r="AG217" s="205">
        <f t="shared" si="192"/>
        <v>0</v>
      </c>
      <c r="AH217" s="205">
        <f t="shared" si="192"/>
        <v>0</v>
      </c>
      <c r="AI217" s="205">
        <f t="shared" si="192"/>
        <v>0</v>
      </c>
      <c r="AJ217" s="205">
        <f t="shared" si="192"/>
        <v>0</v>
      </c>
    </row>
    <row r="218" spans="2:36" ht="15.75">
      <c r="B218" s="188" t="s">
        <v>403</v>
      </c>
      <c r="C218" s="188"/>
      <c r="D218" s="188"/>
      <c r="E218" s="225"/>
      <c r="F218" s="225"/>
      <c r="G218" s="205">
        <f>IF(G$215&lt;=0,0,-MIN(G$215,F$219))</f>
        <v>0</v>
      </c>
      <c r="H218" s="205">
        <f t="shared" ref="H218:AJ218" si="193">IF(H$215&lt;=0,0,-MIN(H$215,G$219))</f>
        <v>0</v>
      </c>
      <c r="I218" s="205">
        <f t="shared" si="193"/>
        <v>0</v>
      </c>
      <c r="J218" s="205">
        <f t="shared" si="193"/>
        <v>0</v>
      </c>
      <c r="K218" s="205">
        <f t="shared" si="193"/>
        <v>0</v>
      </c>
      <c r="L218" s="205">
        <f t="shared" si="193"/>
        <v>0</v>
      </c>
      <c r="M218" s="205">
        <f t="shared" si="193"/>
        <v>-492571.91761624301</v>
      </c>
      <c r="N218" s="205">
        <f t="shared" si="193"/>
        <v>-504274.28694618266</v>
      </c>
      <c r="O218" s="205">
        <f t="shared" si="193"/>
        <v>-517736.71909302211</v>
      </c>
      <c r="P218" s="205">
        <f t="shared" si="193"/>
        <v>-533165.44326770806</v>
      </c>
      <c r="Q218" s="205">
        <f t="shared" si="193"/>
        <v>-550630.84099095</v>
      </c>
      <c r="R218" s="205">
        <f t="shared" si="193"/>
        <v>-548228.40773699223</v>
      </c>
      <c r="S218" s="205">
        <f t="shared" si="193"/>
        <v>-556503.57740470895</v>
      </c>
      <c r="T218" s="205">
        <f t="shared" si="193"/>
        <v>-594528.82816806878</v>
      </c>
      <c r="U218" s="205">
        <f t="shared" si="193"/>
        <v>-629962.65514636226</v>
      </c>
      <c r="V218" s="205">
        <f t="shared" si="193"/>
        <v>-666622.7719040066</v>
      </c>
      <c r="W218" s="205">
        <f t="shared" si="193"/>
        <v>-663827.64710366831</v>
      </c>
      <c r="X218" s="205">
        <f t="shared" si="193"/>
        <v>-654652.09502859705</v>
      </c>
      <c r="Y218" s="205">
        <f t="shared" si="193"/>
        <v>-387949.45650508697</v>
      </c>
      <c r="Z218" s="205">
        <f t="shared" si="193"/>
        <v>0</v>
      </c>
      <c r="AA218" s="205">
        <f t="shared" si="193"/>
        <v>0</v>
      </c>
      <c r="AB218" s="205">
        <f t="shared" si="193"/>
        <v>0</v>
      </c>
      <c r="AC218" s="205">
        <f t="shared" si="193"/>
        <v>0</v>
      </c>
      <c r="AD218" s="205">
        <f t="shared" si="193"/>
        <v>0</v>
      </c>
      <c r="AE218" s="205">
        <f t="shared" si="193"/>
        <v>0</v>
      </c>
      <c r="AF218" s="205">
        <f t="shared" si="193"/>
        <v>0</v>
      </c>
      <c r="AG218" s="205">
        <f t="shared" si="193"/>
        <v>0</v>
      </c>
      <c r="AH218" s="205">
        <f t="shared" si="193"/>
        <v>0</v>
      </c>
      <c r="AI218" s="205">
        <f t="shared" si="193"/>
        <v>0</v>
      </c>
      <c r="AJ218" s="205">
        <f t="shared" si="193"/>
        <v>0</v>
      </c>
    </row>
    <row r="219" spans="2:36" ht="15.75">
      <c r="B219" s="188" t="s">
        <v>404</v>
      </c>
      <c r="C219" s="188"/>
      <c r="D219" s="188"/>
      <c r="E219" s="225"/>
      <c r="F219" s="225"/>
      <c r="G219" s="205">
        <f>SUM(G216:G218)</f>
        <v>1555253.404077929</v>
      </c>
      <c r="H219" s="205">
        <f t="shared" ref="H219:AJ219" si="194">SUM(H216:H218)</f>
        <v>4332972.5358633157</v>
      </c>
      <c r="I219" s="205">
        <f t="shared" si="194"/>
        <v>5813446.5621119495</v>
      </c>
      <c r="J219" s="205">
        <f t="shared" si="194"/>
        <v>6511935.9850487867</v>
      </c>
      <c r="K219" s="205">
        <f t="shared" si="194"/>
        <v>7201689.7812046055</v>
      </c>
      <c r="L219" s="205">
        <f t="shared" si="194"/>
        <v>7300654.6469115978</v>
      </c>
      <c r="M219" s="205">
        <f t="shared" si="194"/>
        <v>6808082.7292953543</v>
      </c>
      <c r="N219" s="205">
        <f t="shared" si="194"/>
        <v>6303808.4423491713</v>
      </c>
      <c r="O219" s="205">
        <f t="shared" si="194"/>
        <v>5786071.7232561493</v>
      </c>
      <c r="P219" s="205">
        <f t="shared" si="194"/>
        <v>5252906.2799884416</v>
      </c>
      <c r="Q219" s="205">
        <f t="shared" si="194"/>
        <v>4702275.4389974913</v>
      </c>
      <c r="R219" s="205">
        <f t="shared" si="194"/>
        <v>4154047.0312604988</v>
      </c>
      <c r="S219" s="205">
        <f t="shared" si="194"/>
        <v>3597543.4538557897</v>
      </c>
      <c r="T219" s="205">
        <f t="shared" si="194"/>
        <v>3003014.6256877212</v>
      </c>
      <c r="U219" s="205">
        <f t="shared" si="194"/>
        <v>2373051.9705413589</v>
      </c>
      <c r="V219" s="205">
        <f t="shared" si="194"/>
        <v>1706429.1986373523</v>
      </c>
      <c r="W219" s="205">
        <f t="shared" si="194"/>
        <v>1042601.551533684</v>
      </c>
      <c r="X219" s="205">
        <f t="shared" si="194"/>
        <v>387949.45650508697</v>
      </c>
      <c r="Y219" s="205">
        <f t="shared" si="194"/>
        <v>0</v>
      </c>
      <c r="Z219" s="205">
        <f t="shared" si="194"/>
        <v>0</v>
      </c>
      <c r="AA219" s="205">
        <f t="shared" si="194"/>
        <v>0</v>
      </c>
      <c r="AB219" s="205">
        <f t="shared" si="194"/>
        <v>0</v>
      </c>
      <c r="AC219" s="205">
        <f t="shared" si="194"/>
        <v>0</v>
      </c>
      <c r="AD219" s="205">
        <f t="shared" si="194"/>
        <v>0</v>
      </c>
      <c r="AE219" s="205">
        <f t="shared" si="194"/>
        <v>0</v>
      </c>
      <c r="AF219" s="205">
        <f t="shared" si="194"/>
        <v>0</v>
      </c>
      <c r="AG219" s="205">
        <f t="shared" si="194"/>
        <v>0</v>
      </c>
      <c r="AH219" s="205">
        <f t="shared" si="194"/>
        <v>0</v>
      </c>
      <c r="AI219" s="205">
        <f t="shared" si="194"/>
        <v>0</v>
      </c>
      <c r="AJ219" s="205">
        <f t="shared" si="194"/>
        <v>0</v>
      </c>
    </row>
    <row r="220" spans="2:36" ht="15.75">
      <c r="B220" s="188"/>
      <c r="C220" s="188"/>
      <c r="D220" s="188"/>
      <c r="E220" s="225"/>
      <c r="F220" s="225"/>
      <c r="G220" s="225"/>
      <c r="H220" s="225"/>
      <c r="I220" s="225"/>
      <c r="J220" s="225"/>
      <c r="K220" s="225"/>
      <c r="L220" s="225"/>
      <c r="M220" s="225"/>
      <c r="N220" s="225"/>
      <c r="O220" s="225"/>
      <c r="P220" s="225"/>
      <c r="Q220" s="225"/>
      <c r="R220" s="225"/>
      <c r="S220" s="225"/>
      <c r="T220" s="225"/>
      <c r="U220" s="225"/>
      <c r="V220" s="225"/>
      <c r="W220" s="225"/>
      <c r="X220" s="225"/>
      <c r="Y220" s="225"/>
      <c r="Z220" s="225"/>
      <c r="AA220" s="225"/>
      <c r="AB220" s="225"/>
      <c r="AC220" s="225"/>
      <c r="AD220" s="225"/>
      <c r="AE220" s="225"/>
      <c r="AF220" s="225"/>
      <c r="AG220" s="225"/>
      <c r="AH220" s="225"/>
      <c r="AI220" s="225"/>
      <c r="AJ220" s="225"/>
    </row>
    <row r="221" spans="2:36" ht="15.75">
      <c r="B221" s="188" t="s">
        <v>408</v>
      </c>
      <c r="C221" s="188"/>
      <c r="D221" s="188"/>
      <c r="E221" s="225"/>
      <c r="F221" s="225"/>
      <c r="G221" s="205">
        <f>G215+G217+G218</f>
        <v>0</v>
      </c>
      <c r="H221" s="205">
        <f t="shared" ref="H221:AJ221" si="195">H215+H217+H218</f>
        <v>0</v>
      </c>
      <c r="I221" s="205">
        <f t="shared" si="195"/>
        <v>0</v>
      </c>
      <c r="J221" s="205">
        <f t="shared" si="195"/>
        <v>0</v>
      </c>
      <c r="K221" s="205">
        <f t="shared" si="195"/>
        <v>0</v>
      </c>
      <c r="L221" s="205">
        <f t="shared" si="195"/>
        <v>0</v>
      </c>
      <c r="M221" s="205">
        <f t="shared" si="195"/>
        <v>0</v>
      </c>
      <c r="N221" s="205">
        <f t="shared" si="195"/>
        <v>0</v>
      </c>
      <c r="O221" s="205">
        <f t="shared" si="195"/>
        <v>0</v>
      </c>
      <c r="P221" s="205">
        <f t="shared" si="195"/>
        <v>0</v>
      </c>
      <c r="Q221" s="205">
        <f t="shared" si="195"/>
        <v>0</v>
      </c>
      <c r="R221" s="205">
        <f t="shared" si="195"/>
        <v>0</v>
      </c>
      <c r="S221" s="205">
        <f t="shared" si="195"/>
        <v>0</v>
      </c>
      <c r="T221" s="205">
        <f t="shared" si="195"/>
        <v>0</v>
      </c>
      <c r="U221" s="205">
        <f t="shared" si="195"/>
        <v>0</v>
      </c>
      <c r="V221" s="205">
        <f t="shared" si="195"/>
        <v>0</v>
      </c>
      <c r="W221" s="205">
        <f t="shared" si="195"/>
        <v>0</v>
      </c>
      <c r="X221" s="205">
        <f t="shared" si="195"/>
        <v>0</v>
      </c>
      <c r="Y221" s="205">
        <f t="shared" si="195"/>
        <v>251290.43915923405</v>
      </c>
      <c r="Z221" s="205">
        <f t="shared" si="195"/>
        <v>623633.77022832609</v>
      </c>
      <c r="AA221" s="205">
        <f t="shared" si="195"/>
        <v>649498.95274508966</v>
      </c>
      <c r="AB221" s="205">
        <f t="shared" si="195"/>
        <v>665805.59244156489</v>
      </c>
      <c r="AC221" s="205">
        <f t="shared" si="195"/>
        <v>675029.64020103705</v>
      </c>
      <c r="AD221" s="205">
        <f t="shared" si="195"/>
        <v>684212.77443751181</v>
      </c>
      <c r="AE221" s="205">
        <f t="shared" si="195"/>
        <v>693668.3216091434</v>
      </c>
      <c r="AF221" s="205">
        <f t="shared" si="195"/>
        <v>703170.08594576549</v>
      </c>
      <c r="AG221" s="205">
        <f t="shared" si="195"/>
        <v>708413.86818287242</v>
      </c>
      <c r="AH221" s="205">
        <f t="shared" si="195"/>
        <v>690115.07491257798</v>
      </c>
      <c r="AI221" s="205">
        <f t="shared" si="195"/>
        <v>671573.45174814714</v>
      </c>
      <c r="AJ221" s="205">
        <f t="shared" si="195"/>
        <v>652782.28093038383</v>
      </c>
    </row>
    <row r="222" spans="2:36" ht="15.75" thickBot="1">
      <c r="B222" s="227"/>
      <c r="C222" s="227"/>
      <c r="D222" s="227"/>
      <c r="E222" s="227"/>
      <c r="F222" s="227"/>
      <c r="G222" s="227"/>
      <c r="H222" s="227"/>
      <c r="I222" s="227"/>
      <c r="J222" s="227"/>
      <c r="K222" s="227"/>
      <c r="L222" s="227"/>
      <c r="M222" s="227"/>
      <c r="N222" s="227"/>
      <c r="O222" s="227"/>
      <c r="P222" s="227"/>
      <c r="Q222" s="227"/>
      <c r="R222" s="227"/>
      <c r="S222" s="227"/>
      <c r="T222" s="227"/>
      <c r="U222" s="227"/>
      <c r="V222" s="227"/>
      <c r="W222" s="227"/>
      <c r="X222" s="227"/>
      <c r="Y222" s="227"/>
      <c r="Z222" s="227"/>
      <c r="AA222" s="227"/>
      <c r="AB222" s="227"/>
      <c r="AC222" s="227"/>
      <c r="AD222" s="227"/>
      <c r="AE222" s="227"/>
      <c r="AF222" s="227"/>
      <c r="AG222" s="227"/>
      <c r="AH222" s="227"/>
      <c r="AI222" s="227"/>
      <c r="AJ222" s="227"/>
    </row>
    <row r="223" spans="2:36" s="1" customFormat="1" ht="15.75">
      <c r="B223" s="188"/>
      <c r="C223" s="188"/>
      <c r="D223" s="188"/>
      <c r="E223" s="188"/>
      <c r="F223" s="188"/>
      <c r="G223" s="650"/>
      <c r="H223" s="210"/>
      <c r="I223" s="188"/>
      <c r="J223" s="188"/>
      <c r="K223" s="188"/>
      <c r="L223" s="188"/>
      <c r="M223" s="188"/>
      <c r="N223" s="188"/>
      <c r="O223" s="188"/>
      <c r="P223" s="188"/>
      <c r="Q223" s="188"/>
      <c r="R223" s="188"/>
      <c r="S223" s="188"/>
      <c r="T223" s="188"/>
      <c r="U223" s="188"/>
      <c r="V223" s="188"/>
      <c r="W223" s="188"/>
      <c r="X223" s="188"/>
      <c r="Y223" s="188"/>
      <c r="Z223" s="188"/>
      <c r="AA223" s="188"/>
      <c r="AB223" s="188"/>
      <c r="AC223" s="188"/>
      <c r="AD223" s="188"/>
      <c r="AE223" s="188"/>
      <c r="AF223" s="188"/>
      <c r="AG223" s="188"/>
      <c r="AH223" s="188"/>
      <c r="AI223" s="188"/>
      <c r="AJ223" s="188"/>
    </row>
    <row r="224" spans="2:36" s="1" customFormat="1" ht="15.75">
      <c r="B224" s="187" t="s">
        <v>409</v>
      </c>
      <c r="C224" s="187"/>
      <c r="D224" s="187"/>
      <c r="E224" s="188"/>
      <c r="F224" s="188"/>
      <c r="G224" s="650"/>
      <c r="H224" s="210"/>
      <c r="I224" s="188"/>
      <c r="J224" s="188"/>
      <c r="K224" s="188"/>
      <c r="L224" s="188"/>
      <c r="M224" s="188"/>
      <c r="N224" s="188"/>
      <c r="O224" s="188"/>
      <c r="P224" s="188"/>
      <c r="Q224" s="188"/>
      <c r="R224" s="188"/>
      <c r="S224" s="188"/>
      <c r="T224" s="188"/>
      <c r="U224" s="188"/>
      <c r="V224" s="188"/>
      <c r="W224" s="188"/>
      <c r="X224" s="188"/>
      <c r="Y224" s="188"/>
      <c r="Z224" s="188"/>
      <c r="AA224" s="188"/>
      <c r="AB224" s="188"/>
      <c r="AC224" s="188"/>
      <c r="AD224" s="188"/>
      <c r="AE224" s="188"/>
      <c r="AF224" s="188"/>
      <c r="AG224" s="188"/>
      <c r="AH224" s="188"/>
      <c r="AI224" s="188"/>
      <c r="AJ224" s="188"/>
    </row>
    <row r="225" spans="2:36" s="1" customFormat="1">
      <c r="B225" s="188" t="s">
        <v>410</v>
      </c>
      <c r="C225" s="188"/>
      <c r="D225" s="188"/>
      <c r="E225" s="188"/>
      <c r="F225" s="188"/>
      <c r="G225" s="263">
        <f>IF(OR('Active Inputs'!$G$72="No",'Active Inputs'!$Q$18="Performance-Based"),0,IF(AND('Active Inputs'!$Q$19="ITC",G$2=1),'Active Inputs'!$Q$22,IF(G$2&gt;1,0,IF('Active Inputs'!$Q$19="Cash Grant",0,"ERROR"))))</f>
        <v>3528577.9667638787</v>
      </c>
      <c r="H225" s="263">
        <f>IF(OR('Active Inputs'!$G$72="No",'Active Inputs'!$Q$18="Performance-Based"),0,IF(AND('Active Inputs'!$Q$19="ITC",H$2=1),'Active Inputs'!$Q$22,IF(H$2&gt;1,0,IF('Active Inputs'!$Q$19="Cash Grant",0,"ERROR"))))</f>
        <v>0</v>
      </c>
      <c r="I225" s="263">
        <f>IF(OR('Active Inputs'!$G$72="No",'Active Inputs'!$Q$18="Performance-Based"),0,IF(AND('Active Inputs'!$Q$19="ITC",I$2=1),'Active Inputs'!$Q$22,IF(I$2&gt;1,0,IF('Active Inputs'!$Q$19="Cash Grant",0,"ERROR"))))</f>
        <v>0</v>
      </c>
      <c r="J225" s="263">
        <f>IF(OR('Active Inputs'!$G$72="No",'Active Inputs'!$Q$18="Performance-Based"),0,IF(AND('Active Inputs'!$Q$19="ITC",J$2=1),'Active Inputs'!$Q$22,IF(J$2&gt;1,0,IF('Active Inputs'!$Q$19="Cash Grant",0,"ERROR"))))</f>
        <v>0</v>
      </c>
      <c r="K225" s="263">
        <f>IF(OR('Active Inputs'!$G$72="No",'Active Inputs'!$Q$18="Performance-Based"),0,IF(AND('Active Inputs'!$Q$19="ITC",K$2=1),'Active Inputs'!$Q$22,IF(K$2&gt;1,0,IF('Active Inputs'!$Q$19="Cash Grant",0,"ERROR"))))</f>
        <v>0</v>
      </c>
      <c r="L225" s="263">
        <f>IF(OR('Active Inputs'!$G$72="No",'Active Inputs'!$Q$18="Performance-Based"),0,IF(AND('Active Inputs'!$Q$19="ITC",L$2=1),'Active Inputs'!$Q$22,IF(L$2&gt;1,0,IF('Active Inputs'!$Q$19="Cash Grant",0,"ERROR"))))</f>
        <v>0</v>
      </c>
      <c r="M225" s="263">
        <f>IF(OR('Active Inputs'!$G$72="No",'Active Inputs'!$Q$18="Performance-Based"),0,IF(AND('Active Inputs'!$Q$19="ITC",M$2=1),'Active Inputs'!$Q$22,IF(M$2&gt;1,0,IF('Active Inputs'!$Q$19="Cash Grant",0,"ERROR"))))</f>
        <v>0</v>
      </c>
      <c r="N225" s="263">
        <f>IF(OR('Active Inputs'!$G$72="No",'Active Inputs'!$Q$18="Performance-Based"),0,IF(AND('Active Inputs'!$Q$19="ITC",N$2=1),'Active Inputs'!$Q$22,IF(N$2&gt;1,0,IF('Active Inputs'!$Q$19="Cash Grant",0,"ERROR"))))</f>
        <v>0</v>
      </c>
      <c r="O225" s="263">
        <f>IF(OR('Active Inputs'!$G$72="No",'Active Inputs'!$Q$18="Performance-Based"),0,IF(AND('Active Inputs'!$Q$19="ITC",O$2=1),'Active Inputs'!$Q$22,IF(O$2&gt;1,0,IF('Active Inputs'!$Q$19="Cash Grant",0,"ERROR"))))</f>
        <v>0</v>
      </c>
      <c r="P225" s="263">
        <f>IF(OR('Active Inputs'!$G$72="No",'Active Inputs'!$Q$18="Performance-Based"),0,IF(AND('Active Inputs'!$Q$19="ITC",P$2=1),'Active Inputs'!$Q$22,IF(P$2&gt;1,0,IF('Active Inputs'!$Q$19="Cash Grant",0,"ERROR"))))</f>
        <v>0</v>
      </c>
      <c r="Q225" s="263">
        <f>IF(OR('Active Inputs'!$G$72="No",'Active Inputs'!$Q$18="Performance-Based"),0,IF(AND('Active Inputs'!$Q$19="ITC",Q$2=1),'Active Inputs'!$Q$22,IF(Q$2&gt;1,0,IF('Active Inputs'!$Q$19="Cash Grant",0,"ERROR"))))</f>
        <v>0</v>
      </c>
      <c r="R225" s="263">
        <f>IF(OR('Active Inputs'!$G$72="No",'Active Inputs'!$Q$18="Performance-Based"),0,IF(AND('Active Inputs'!$Q$19="ITC",R$2=1),'Active Inputs'!$Q$22,IF(R$2&gt;1,0,IF('Active Inputs'!$Q$19="Cash Grant",0,"ERROR"))))</f>
        <v>0</v>
      </c>
      <c r="S225" s="263">
        <f>IF(OR('Active Inputs'!$G$72="No",'Active Inputs'!$Q$18="Performance-Based"),0,IF(AND('Active Inputs'!$Q$19="ITC",S$2=1),'Active Inputs'!$Q$22,IF(S$2&gt;1,0,IF('Active Inputs'!$Q$19="Cash Grant",0,"ERROR"))))</f>
        <v>0</v>
      </c>
      <c r="T225" s="263">
        <f>IF(OR('Active Inputs'!$G$72="No",'Active Inputs'!$Q$18="Performance-Based"),0,IF(AND('Active Inputs'!$Q$19="ITC",T$2=1),'Active Inputs'!$Q$22,IF(T$2&gt;1,0,IF('Active Inputs'!$Q$19="Cash Grant",0,"ERROR"))))</f>
        <v>0</v>
      </c>
      <c r="U225" s="263">
        <f>IF(OR('Active Inputs'!$G$72="No",'Active Inputs'!$Q$18="Performance-Based"),0,IF(AND('Active Inputs'!$Q$19="ITC",U$2=1),'Active Inputs'!$Q$22,IF(U$2&gt;1,0,IF('Active Inputs'!$Q$19="Cash Grant",0,"ERROR"))))</f>
        <v>0</v>
      </c>
      <c r="V225" s="263">
        <f>IF(OR('Active Inputs'!$G$72="No",'Active Inputs'!$Q$18="Performance-Based"),0,IF(AND('Active Inputs'!$Q$19="ITC",V$2=1),'Active Inputs'!$Q$22,IF(V$2&gt;1,0,IF('Active Inputs'!$Q$19="Cash Grant",0,"ERROR"))))</f>
        <v>0</v>
      </c>
      <c r="W225" s="263">
        <f>IF(OR('Active Inputs'!$G$72="No",'Active Inputs'!$Q$18="Performance-Based"),0,IF(AND('Active Inputs'!$Q$19="ITC",W$2=1),'Active Inputs'!$Q$22,IF(W$2&gt;1,0,IF('Active Inputs'!$Q$19="Cash Grant",0,"ERROR"))))</f>
        <v>0</v>
      </c>
      <c r="X225" s="263">
        <f>IF(OR('Active Inputs'!$G$72="No",'Active Inputs'!$Q$18="Performance-Based"),0,IF(AND('Active Inputs'!$Q$19="ITC",X$2=1),'Active Inputs'!$Q$22,IF(X$2&gt;1,0,IF('Active Inputs'!$Q$19="Cash Grant",0,"ERROR"))))</f>
        <v>0</v>
      </c>
      <c r="Y225" s="263">
        <f>IF(OR('Active Inputs'!$G$72="No",'Active Inputs'!$Q$18="Performance-Based"),0,IF(AND('Active Inputs'!$Q$19="ITC",Y$2=1),'Active Inputs'!$Q$22,IF(Y$2&gt;1,0,IF('Active Inputs'!$Q$19="Cash Grant",0,"ERROR"))))</f>
        <v>0</v>
      </c>
      <c r="Z225" s="263">
        <f>IF(OR('Active Inputs'!$G$72="No",'Active Inputs'!$Q$18="Performance-Based"),0,IF(AND('Active Inputs'!$Q$19="ITC",Z$2=1),'Active Inputs'!$Q$22,IF(Z$2&gt;1,0,IF('Active Inputs'!$Q$19="Cash Grant",0,"ERROR"))))</f>
        <v>0</v>
      </c>
      <c r="AA225" s="263">
        <f>IF(OR('Active Inputs'!$G$72="No",'Active Inputs'!$Q$18="Performance-Based"),0,IF(AND('Active Inputs'!$Q$19="ITC",AA$2=1),'Active Inputs'!$Q$22,IF(AA$2&gt;1,0,IF('Active Inputs'!$Q$19="Cash Grant",0,"ERROR"))))</f>
        <v>0</v>
      </c>
      <c r="AB225" s="263">
        <f>IF(OR('Active Inputs'!$G$72="No",'Active Inputs'!$Q$18="Performance-Based"),0,IF(AND('Active Inputs'!$Q$19="ITC",AB$2=1),'Active Inputs'!$Q$22,IF(AB$2&gt;1,0,IF('Active Inputs'!$Q$19="Cash Grant",0,"ERROR"))))</f>
        <v>0</v>
      </c>
      <c r="AC225" s="263">
        <f>IF(OR('Active Inputs'!$G$72="No",'Active Inputs'!$Q$18="Performance-Based"),0,IF(AND('Active Inputs'!$Q$19="ITC",AC$2=1),'Active Inputs'!$Q$22,IF(AC$2&gt;1,0,IF('Active Inputs'!$Q$19="Cash Grant",0,"ERROR"))))</f>
        <v>0</v>
      </c>
      <c r="AD225" s="263">
        <f>IF(OR('Active Inputs'!$G$72="No",'Active Inputs'!$Q$18="Performance-Based"),0,IF(AND('Active Inputs'!$Q$19="ITC",AD$2=1),'Active Inputs'!$Q$22,IF(AD$2&gt;1,0,IF('Active Inputs'!$Q$19="Cash Grant",0,"ERROR"))))</f>
        <v>0</v>
      </c>
      <c r="AE225" s="263">
        <f>IF(OR('Active Inputs'!$G$72="No",'Active Inputs'!$Q$18="Performance-Based"),0,IF(AND('Active Inputs'!$Q$19="ITC",AE$2=1),'Active Inputs'!$Q$22,IF(AE$2&gt;1,0,IF('Active Inputs'!$Q$19="Cash Grant",0,"ERROR"))))</f>
        <v>0</v>
      </c>
      <c r="AF225" s="263">
        <f>IF(OR('Active Inputs'!$G$72="No",'Active Inputs'!$Q$18="Performance-Based"),0,IF(AND('Active Inputs'!$Q$19="ITC",AF$2=1),'Active Inputs'!$Q$22,IF(AF$2&gt;1,0,IF('Active Inputs'!$Q$19="Cash Grant",0,"ERROR"))))</f>
        <v>0</v>
      </c>
      <c r="AG225" s="263">
        <f>IF(OR('Active Inputs'!$G$72="No",'Active Inputs'!$Q$18="Performance-Based"),0,IF(AND('Active Inputs'!$Q$19="ITC",AG$2=1),'Active Inputs'!$Q$22,IF(AG$2&gt;1,0,IF('Active Inputs'!$Q$19="Cash Grant",0,"ERROR"))))</f>
        <v>0</v>
      </c>
      <c r="AH225" s="263">
        <f>IF(OR('Active Inputs'!$G$72="No",'Active Inputs'!$Q$18="Performance-Based"),0,IF(AND('Active Inputs'!$Q$19="ITC",AH$2=1),'Active Inputs'!$Q$22,IF(AH$2&gt;1,0,IF('Active Inputs'!$Q$19="Cash Grant",0,"ERROR"))))</f>
        <v>0</v>
      </c>
      <c r="AI225" s="263">
        <f>IF(OR('Active Inputs'!$G$72="No",'Active Inputs'!$Q$18="Performance-Based"),0,IF(AND('Active Inputs'!$Q$19="ITC",AI$2=1),'Active Inputs'!$Q$22,IF(AI$2&gt;1,0,IF('Active Inputs'!$Q$19="Cash Grant",0,"ERROR"))))</f>
        <v>0</v>
      </c>
      <c r="AJ225" s="263">
        <f>IF(OR('Active Inputs'!$G$72="No",'Active Inputs'!$Q$18="Performance-Based"),0,IF(AND('Active Inputs'!$Q$19="ITC",AJ$2=1),'Active Inputs'!$Q$22,IF(AJ$2&gt;1,0,IF('Active Inputs'!$Q$19="Cash Grant",0,"ERROR"))))</f>
        <v>0</v>
      </c>
    </row>
    <row r="226" spans="2:36" s="1" customFormat="1">
      <c r="B226" s="188" t="s">
        <v>411</v>
      </c>
      <c r="C226" s="188"/>
      <c r="D226" s="188"/>
      <c r="E226" s="188"/>
      <c r="F226" s="188"/>
      <c r="G226" s="205">
        <f>IF(OR('Active Inputs'!$G$72="No",'Active Inputs'!$Q$18="Cost-Based"),0,IF('Active Inputs'!$Q$23="Tax Credit",IF(G$2&gt;'Active Inputs'!$Q$25,0,'Active Inputs'!$Q$24/100*G$9*'Active Inputs'!$Q$27*G$5*(1-MIN('Active Inputs'!$Q$30/'Active Inputs'!$G$22,50%))),0))</f>
        <v>0</v>
      </c>
      <c r="H226" s="205">
        <f>IF(OR('Active Inputs'!$G$72="No",'Active Inputs'!$Q$18="Cost-Based"),0,IF('Active Inputs'!$Q$23="Tax Credit",IF(H$2&gt;'Active Inputs'!$Q$25,0,'Active Inputs'!$Q$24/100*H$9*'Active Inputs'!$Q$27*H$5*(1-MIN('Active Inputs'!$Q$30/'Active Inputs'!$G$22,50%))),0))</f>
        <v>0</v>
      </c>
      <c r="I226" s="205">
        <f>IF(OR('Active Inputs'!$G$72="No",'Active Inputs'!$Q$18="Cost-Based"),0,IF('Active Inputs'!$Q$23="Tax Credit",IF(I$2&gt;'Active Inputs'!$Q$25,0,'Active Inputs'!$Q$24/100*I$9*'Active Inputs'!$Q$27*I$5*(1-MIN('Active Inputs'!$Q$30/'Active Inputs'!$G$22,50%))),0))</f>
        <v>0</v>
      </c>
      <c r="J226" s="205">
        <f>IF(OR('Active Inputs'!$G$72="No",'Active Inputs'!$Q$18="Cost-Based"),0,IF('Active Inputs'!$Q$23="Tax Credit",IF(J$2&gt;'Active Inputs'!$Q$25,0,'Active Inputs'!$Q$24/100*J$9*'Active Inputs'!$Q$27*J$5*(1-MIN('Active Inputs'!$Q$30/'Active Inputs'!$G$22,50%))),0))</f>
        <v>0</v>
      </c>
      <c r="K226" s="205">
        <f>IF(OR('Active Inputs'!$G$72="No",'Active Inputs'!$Q$18="Cost-Based"),0,IF('Active Inputs'!$Q$23="Tax Credit",IF(K$2&gt;'Active Inputs'!$Q$25,0,'Active Inputs'!$Q$24/100*K$9*'Active Inputs'!$Q$27*K$5*(1-MIN('Active Inputs'!$Q$30/'Active Inputs'!$G$22,50%))),0))</f>
        <v>0</v>
      </c>
      <c r="L226" s="205">
        <f>IF(OR('Active Inputs'!$G$72="No",'Active Inputs'!$Q$18="Cost-Based"),0,IF('Active Inputs'!$Q$23="Tax Credit",IF(L$2&gt;'Active Inputs'!$Q$25,0,'Active Inputs'!$Q$24/100*L$9*'Active Inputs'!$Q$27*L$5*(1-MIN('Active Inputs'!$Q$30/'Active Inputs'!$G$22,50%))),0))</f>
        <v>0</v>
      </c>
      <c r="M226" s="205">
        <f>IF(OR('Active Inputs'!$G$72="No",'Active Inputs'!$Q$18="Cost-Based"),0,IF('Active Inputs'!$Q$23="Tax Credit",IF(M$2&gt;'Active Inputs'!$Q$25,0,'Active Inputs'!$Q$24/100*M$9*'Active Inputs'!$Q$27*M$5*(1-MIN('Active Inputs'!$Q$30/'Active Inputs'!$G$22,50%))),0))</f>
        <v>0</v>
      </c>
      <c r="N226" s="205">
        <f>IF(OR('Active Inputs'!$G$72="No",'Active Inputs'!$Q$18="Cost-Based"),0,IF('Active Inputs'!$Q$23="Tax Credit",IF(N$2&gt;'Active Inputs'!$Q$25,0,'Active Inputs'!$Q$24/100*N$9*'Active Inputs'!$Q$27*N$5*(1-MIN('Active Inputs'!$Q$30/'Active Inputs'!$G$22,50%))),0))</f>
        <v>0</v>
      </c>
      <c r="O226" s="205">
        <f>IF(OR('Active Inputs'!$G$72="No",'Active Inputs'!$Q$18="Cost-Based"),0,IF('Active Inputs'!$Q$23="Tax Credit",IF(O$2&gt;'Active Inputs'!$Q$25,0,'Active Inputs'!$Q$24/100*O$9*'Active Inputs'!$Q$27*O$5*(1-MIN('Active Inputs'!$Q$30/'Active Inputs'!$G$22,50%))),0))</f>
        <v>0</v>
      </c>
      <c r="P226" s="205">
        <f>IF(OR('Active Inputs'!$G$72="No",'Active Inputs'!$Q$18="Cost-Based"),0,IF('Active Inputs'!$Q$23="Tax Credit",IF(P$2&gt;'Active Inputs'!$Q$25,0,'Active Inputs'!$Q$24/100*P$9*'Active Inputs'!$Q$27*P$5*(1-MIN('Active Inputs'!$Q$30/'Active Inputs'!$G$22,50%))),0))</f>
        <v>0</v>
      </c>
      <c r="Q226" s="205">
        <f>IF(OR('Active Inputs'!$G$72="No",'Active Inputs'!$Q$18="Cost-Based"),0,IF('Active Inputs'!$Q$23="Tax Credit",IF(Q$2&gt;'Active Inputs'!$Q$25,0,'Active Inputs'!$Q$24/100*Q$9*'Active Inputs'!$Q$27*Q$5*(1-MIN('Active Inputs'!$Q$30/'Active Inputs'!$G$22,50%))),0))</f>
        <v>0</v>
      </c>
      <c r="R226" s="205">
        <f>IF(OR('Active Inputs'!$G$72="No",'Active Inputs'!$Q$18="Cost-Based"),0,IF('Active Inputs'!$Q$23="Tax Credit",IF(R$2&gt;'Active Inputs'!$Q$25,0,'Active Inputs'!$Q$24/100*R$9*'Active Inputs'!$Q$27*R$5*(1-MIN('Active Inputs'!$Q$30/'Active Inputs'!$G$22,50%))),0))</f>
        <v>0</v>
      </c>
      <c r="S226" s="205">
        <f>IF(OR('Active Inputs'!$G$72="No",'Active Inputs'!$Q$18="Cost-Based"),0,IF('Active Inputs'!$Q$23="Tax Credit",IF(S$2&gt;'Active Inputs'!$Q$25,0,'Active Inputs'!$Q$24/100*S$9*'Active Inputs'!$Q$27*S$5*(1-MIN('Active Inputs'!$Q$30/'Active Inputs'!$G$22,50%))),0))</f>
        <v>0</v>
      </c>
      <c r="T226" s="205">
        <f>IF(OR('Active Inputs'!$G$72="No",'Active Inputs'!$Q$18="Cost-Based"),0,IF('Active Inputs'!$Q$23="Tax Credit",IF(T$2&gt;'Active Inputs'!$Q$25,0,'Active Inputs'!$Q$24/100*T$9*'Active Inputs'!$Q$27*T$5*(1-MIN('Active Inputs'!$Q$30/'Active Inputs'!$G$22,50%))),0))</f>
        <v>0</v>
      </c>
      <c r="U226" s="205">
        <f>IF(OR('Active Inputs'!$G$72="No",'Active Inputs'!$Q$18="Cost-Based"),0,IF('Active Inputs'!$Q$23="Tax Credit",IF(U$2&gt;'Active Inputs'!$Q$25,0,'Active Inputs'!$Q$24/100*U$9*'Active Inputs'!$Q$27*U$5*(1-MIN('Active Inputs'!$Q$30/'Active Inputs'!$G$22,50%))),0))</f>
        <v>0</v>
      </c>
      <c r="V226" s="205">
        <f>IF(OR('Active Inputs'!$G$72="No",'Active Inputs'!$Q$18="Cost-Based"),0,IF('Active Inputs'!$Q$23="Tax Credit",IF(V$2&gt;'Active Inputs'!$Q$25,0,'Active Inputs'!$Q$24/100*V$9*'Active Inputs'!$Q$27*V$5*(1-MIN('Active Inputs'!$Q$30/'Active Inputs'!$G$22,50%))),0))</f>
        <v>0</v>
      </c>
      <c r="W226" s="205">
        <f>IF(OR('Active Inputs'!$G$72="No",'Active Inputs'!$Q$18="Cost-Based"),0,IF('Active Inputs'!$Q$23="Tax Credit",IF(W$2&gt;'Active Inputs'!$Q$25,0,'Active Inputs'!$Q$24/100*W$9*'Active Inputs'!$Q$27*W$5*(1-MIN('Active Inputs'!$Q$30/'Active Inputs'!$G$22,50%))),0))</f>
        <v>0</v>
      </c>
      <c r="X226" s="205">
        <f>IF(OR('Active Inputs'!$G$72="No",'Active Inputs'!$Q$18="Cost-Based"),0,IF('Active Inputs'!$Q$23="Tax Credit",IF(X$2&gt;'Active Inputs'!$Q$25,0,'Active Inputs'!$Q$24/100*X$9*'Active Inputs'!$Q$27*X$5*(1-MIN('Active Inputs'!$Q$30/'Active Inputs'!$G$22,50%))),0))</f>
        <v>0</v>
      </c>
      <c r="Y226" s="205">
        <f>IF(OR('Active Inputs'!$G$72="No",'Active Inputs'!$Q$18="Cost-Based"),0,IF('Active Inputs'!$Q$23="Tax Credit",IF(Y$2&gt;'Active Inputs'!$Q$25,0,'Active Inputs'!$Q$24/100*Y$9*'Active Inputs'!$Q$27*Y$5*(1-MIN('Active Inputs'!$Q$30/'Active Inputs'!$G$22,50%))),0))</f>
        <v>0</v>
      </c>
      <c r="Z226" s="205">
        <f>IF(OR('Active Inputs'!$G$72="No",'Active Inputs'!$Q$18="Cost-Based"),0,IF('Active Inputs'!$Q$23="Tax Credit",IF(Z$2&gt;'Active Inputs'!$Q$25,0,'Active Inputs'!$Q$24/100*Z$9*'Active Inputs'!$Q$27*Z$5*(1-MIN('Active Inputs'!$Q$30/'Active Inputs'!$G$22,50%))),0))</f>
        <v>0</v>
      </c>
      <c r="AA226" s="205">
        <f>IF(OR('Active Inputs'!$G$72="No",'Active Inputs'!$Q$18="Cost-Based"),0,IF('Active Inputs'!$Q$23="Tax Credit",IF(AA$2&gt;'Active Inputs'!$Q$25,0,'Active Inputs'!$Q$24/100*AA$9*'Active Inputs'!$Q$27*AA$5*(1-MIN('Active Inputs'!$Q$30/'Active Inputs'!$G$22,50%))),0))</f>
        <v>0</v>
      </c>
      <c r="AB226" s="205">
        <f>IF(OR('Active Inputs'!$G$72="No",'Active Inputs'!$Q$18="Cost-Based"),0,IF('Active Inputs'!$Q$23="Tax Credit",IF(AB$2&gt;'Active Inputs'!$Q$25,0,'Active Inputs'!$Q$24/100*AB$9*'Active Inputs'!$Q$27*AB$5*(1-MIN('Active Inputs'!$Q$30/'Active Inputs'!$G$22,50%))),0))</f>
        <v>0</v>
      </c>
      <c r="AC226" s="205">
        <f>IF(OR('Active Inputs'!$G$72="No",'Active Inputs'!$Q$18="Cost-Based"),0,IF('Active Inputs'!$Q$23="Tax Credit",IF(AC$2&gt;'Active Inputs'!$Q$25,0,'Active Inputs'!$Q$24/100*AC$9*'Active Inputs'!$Q$27*AC$5*(1-MIN('Active Inputs'!$Q$30/'Active Inputs'!$G$22,50%))),0))</f>
        <v>0</v>
      </c>
      <c r="AD226" s="205">
        <f>IF(OR('Active Inputs'!$G$72="No",'Active Inputs'!$Q$18="Cost-Based"),0,IF('Active Inputs'!$Q$23="Tax Credit",IF(AD$2&gt;'Active Inputs'!$Q$25,0,'Active Inputs'!$Q$24/100*AD$9*'Active Inputs'!$Q$27*AD$5*(1-MIN('Active Inputs'!$Q$30/'Active Inputs'!$G$22,50%))),0))</f>
        <v>0</v>
      </c>
      <c r="AE226" s="205">
        <f>IF(OR('Active Inputs'!$G$72="No",'Active Inputs'!$Q$18="Cost-Based"),0,IF('Active Inputs'!$Q$23="Tax Credit",IF(AE$2&gt;'Active Inputs'!$Q$25,0,'Active Inputs'!$Q$24/100*AE$9*'Active Inputs'!$Q$27*AE$5*(1-MIN('Active Inputs'!$Q$30/'Active Inputs'!$G$22,50%))),0))</f>
        <v>0</v>
      </c>
      <c r="AF226" s="205">
        <f>IF(OR('Active Inputs'!$G$72="No",'Active Inputs'!$Q$18="Cost-Based"),0,IF('Active Inputs'!$Q$23="Tax Credit",IF(AF$2&gt;'Active Inputs'!$Q$25,0,'Active Inputs'!$Q$24/100*AF$9*'Active Inputs'!$Q$27*AF$5*(1-MIN('Active Inputs'!$Q$30/'Active Inputs'!$G$22,50%))),0))</f>
        <v>0</v>
      </c>
      <c r="AG226" s="205">
        <f>IF(OR('Active Inputs'!$G$72="No",'Active Inputs'!$Q$18="Cost-Based"),0,IF('Active Inputs'!$Q$23="Tax Credit",IF(AG$2&gt;'Active Inputs'!$Q$25,0,'Active Inputs'!$Q$24/100*AG$9*'Active Inputs'!$Q$27*AG$5*(1-MIN('Active Inputs'!$Q$30/'Active Inputs'!$G$22,50%))),0))</f>
        <v>0</v>
      </c>
      <c r="AH226" s="205">
        <f>IF(OR('Active Inputs'!$G$72="No",'Active Inputs'!$Q$18="Cost-Based"),0,IF('Active Inputs'!$Q$23="Tax Credit",IF(AH$2&gt;'Active Inputs'!$Q$25,0,'Active Inputs'!$Q$24/100*AH$9*'Active Inputs'!$Q$27*AH$5*(1-MIN('Active Inputs'!$Q$30/'Active Inputs'!$G$22,50%))),0))</f>
        <v>0</v>
      </c>
      <c r="AI226" s="205">
        <f>IF(OR('Active Inputs'!$G$72="No",'Active Inputs'!$Q$18="Cost-Based"),0,IF('Active Inputs'!$Q$23="Tax Credit",IF(AI$2&gt;'Active Inputs'!$Q$25,0,'Active Inputs'!$Q$24/100*AI$9*'Active Inputs'!$Q$27*AI$5*(1-MIN('Active Inputs'!$Q$30/'Active Inputs'!$G$22,50%))),0))</f>
        <v>0</v>
      </c>
      <c r="AJ226" s="205">
        <f>IF(OR('Active Inputs'!$G$72="No",'Active Inputs'!$Q$18="Cost-Based"),0,IF('Active Inputs'!$Q$23="Tax Credit",IF(AJ$2&gt;'Active Inputs'!$Q$25,0,'Active Inputs'!$Q$24/100*AJ$9*'Active Inputs'!$Q$27*AJ$5*(1-MIN('Active Inputs'!$Q$30/'Active Inputs'!$G$22,50%))),0))</f>
        <v>0</v>
      </c>
    </row>
    <row r="227" spans="2:36" s="1" customFormat="1">
      <c r="B227" s="188"/>
      <c r="C227" s="188"/>
      <c r="D227" s="188"/>
      <c r="E227" s="188"/>
      <c r="F227" s="188"/>
      <c r="G227" s="205"/>
      <c r="H227" s="205"/>
      <c r="I227" s="205"/>
      <c r="J227" s="205"/>
      <c r="K227" s="205"/>
      <c r="L227" s="205"/>
      <c r="M227" s="205"/>
      <c r="N227" s="205"/>
      <c r="O227" s="205"/>
      <c r="P227" s="205"/>
      <c r="Q227" s="205"/>
      <c r="R227" s="205"/>
      <c r="S227" s="205"/>
      <c r="T227" s="205"/>
      <c r="U227" s="205"/>
      <c r="V227" s="205"/>
      <c r="W227" s="205"/>
      <c r="X227" s="205"/>
      <c r="Y227" s="205"/>
      <c r="Z227" s="205"/>
      <c r="AA227" s="205"/>
      <c r="AB227" s="205"/>
      <c r="AC227" s="205"/>
      <c r="AD227" s="205"/>
      <c r="AE227" s="205"/>
      <c r="AF227" s="205"/>
      <c r="AG227" s="205"/>
      <c r="AH227" s="205"/>
      <c r="AI227" s="205"/>
      <c r="AJ227" s="205"/>
    </row>
    <row r="228" spans="2:36" s="1" customFormat="1">
      <c r="B228" s="188" t="s">
        <v>412</v>
      </c>
      <c r="C228" s="188"/>
      <c r="D228" s="188"/>
      <c r="E228" s="188"/>
      <c r="F228" s="188"/>
      <c r="G228" s="205">
        <f>SUM(G225:G226)</f>
        <v>3528577.9667638787</v>
      </c>
      <c r="H228" s="205">
        <f t="shared" ref="H228:AJ228" si="196">SUM(H225:H226)</f>
        <v>0</v>
      </c>
      <c r="I228" s="205">
        <f t="shared" si="196"/>
        <v>0</v>
      </c>
      <c r="J228" s="205">
        <f t="shared" si="196"/>
        <v>0</v>
      </c>
      <c r="K228" s="205">
        <f t="shared" si="196"/>
        <v>0</v>
      </c>
      <c r="L228" s="205">
        <f t="shared" si="196"/>
        <v>0</v>
      </c>
      <c r="M228" s="205">
        <f t="shared" si="196"/>
        <v>0</v>
      </c>
      <c r="N228" s="205">
        <f t="shared" si="196"/>
        <v>0</v>
      </c>
      <c r="O228" s="205">
        <f t="shared" si="196"/>
        <v>0</v>
      </c>
      <c r="P228" s="205">
        <f t="shared" si="196"/>
        <v>0</v>
      </c>
      <c r="Q228" s="205">
        <f t="shared" si="196"/>
        <v>0</v>
      </c>
      <c r="R228" s="205">
        <f t="shared" si="196"/>
        <v>0</v>
      </c>
      <c r="S228" s="205">
        <f t="shared" si="196"/>
        <v>0</v>
      </c>
      <c r="T228" s="205">
        <f t="shared" si="196"/>
        <v>0</v>
      </c>
      <c r="U228" s="205">
        <f t="shared" si="196"/>
        <v>0</v>
      </c>
      <c r="V228" s="205">
        <f t="shared" si="196"/>
        <v>0</v>
      </c>
      <c r="W228" s="205">
        <f t="shared" si="196"/>
        <v>0</v>
      </c>
      <c r="X228" s="205">
        <f t="shared" si="196"/>
        <v>0</v>
      </c>
      <c r="Y228" s="205">
        <f t="shared" si="196"/>
        <v>0</v>
      </c>
      <c r="Z228" s="205">
        <f t="shared" si="196"/>
        <v>0</v>
      </c>
      <c r="AA228" s="205">
        <f t="shared" si="196"/>
        <v>0</v>
      </c>
      <c r="AB228" s="205">
        <f t="shared" si="196"/>
        <v>0</v>
      </c>
      <c r="AC228" s="205">
        <f t="shared" si="196"/>
        <v>0</v>
      </c>
      <c r="AD228" s="205">
        <f t="shared" si="196"/>
        <v>0</v>
      </c>
      <c r="AE228" s="205">
        <f t="shared" si="196"/>
        <v>0</v>
      </c>
      <c r="AF228" s="205">
        <f t="shared" si="196"/>
        <v>0</v>
      </c>
      <c r="AG228" s="205">
        <f t="shared" si="196"/>
        <v>0</v>
      </c>
      <c r="AH228" s="205">
        <f t="shared" si="196"/>
        <v>0</v>
      </c>
      <c r="AI228" s="205">
        <f t="shared" si="196"/>
        <v>0</v>
      </c>
      <c r="AJ228" s="205">
        <f t="shared" si="196"/>
        <v>0</v>
      </c>
    </row>
    <row r="229" spans="2:36" s="1" customFormat="1">
      <c r="B229" s="188"/>
      <c r="C229" s="188"/>
      <c r="D229" s="188"/>
      <c r="E229" s="188"/>
      <c r="F229" s="188"/>
      <c r="G229" s="205"/>
      <c r="H229" s="205"/>
      <c r="I229" s="205"/>
      <c r="J229" s="205"/>
      <c r="K229" s="205"/>
      <c r="L229" s="205"/>
      <c r="M229" s="205"/>
      <c r="N229" s="205"/>
      <c r="O229" s="205"/>
      <c r="P229" s="205"/>
      <c r="Q229" s="205"/>
      <c r="R229" s="205"/>
      <c r="S229" s="205"/>
      <c r="T229" s="205"/>
      <c r="U229" s="205"/>
      <c r="V229" s="205"/>
      <c r="W229" s="205"/>
      <c r="X229" s="205"/>
      <c r="Y229" s="205"/>
      <c r="Z229" s="205"/>
      <c r="AA229" s="205"/>
      <c r="AB229" s="205"/>
      <c r="AC229" s="205"/>
      <c r="AD229" s="205"/>
      <c r="AE229" s="205"/>
      <c r="AF229" s="205"/>
      <c r="AG229" s="205"/>
      <c r="AH229" s="205"/>
      <c r="AI229" s="205"/>
      <c r="AJ229" s="205"/>
    </row>
    <row r="230" spans="2:36" s="1" customFormat="1">
      <c r="B230" s="264" t="s">
        <v>413</v>
      </c>
      <c r="C230" s="264"/>
      <c r="D230" s="264"/>
      <c r="E230" s="188"/>
      <c r="F230" s="188"/>
      <c r="G230" s="205"/>
      <c r="H230" s="205"/>
      <c r="I230" s="205"/>
      <c r="J230" s="205"/>
      <c r="K230" s="205"/>
      <c r="L230" s="205"/>
      <c r="M230" s="205"/>
      <c r="N230" s="205"/>
      <c r="O230" s="205"/>
      <c r="P230" s="205"/>
      <c r="Q230" s="205"/>
      <c r="R230" s="205"/>
      <c r="S230" s="205"/>
      <c r="T230" s="205"/>
      <c r="U230" s="205"/>
      <c r="V230" s="205"/>
      <c r="W230" s="205"/>
      <c r="X230" s="205"/>
      <c r="Y230" s="205"/>
      <c r="Z230" s="205"/>
      <c r="AA230" s="205"/>
      <c r="AB230" s="205"/>
      <c r="AC230" s="205"/>
      <c r="AD230" s="205"/>
      <c r="AE230" s="205"/>
      <c r="AF230" s="205"/>
      <c r="AG230" s="205"/>
      <c r="AH230" s="205"/>
      <c r="AI230" s="205"/>
      <c r="AJ230" s="205"/>
    </row>
    <row r="231" spans="2:36" s="1" customFormat="1">
      <c r="B231" s="188" t="str">
        <f>B68</f>
        <v>Federal Income Taxes Saved / (Paid), before ITC/PTC</v>
      </c>
      <c r="C231" s="188"/>
      <c r="D231" s="188"/>
      <c r="E231" s="188"/>
      <c r="F231" s="188"/>
      <c r="G231" s="205" t="str">
        <f>IF('Active Inputs'!$G$74="as generated","N/A",'Cash Flow'!G68)</f>
        <v>N/A</v>
      </c>
      <c r="H231" s="205" t="str">
        <f>IF('Active Inputs'!$G$74="as generated","N/A",'Cash Flow'!H68)</f>
        <v>N/A</v>
      </c>
      <c r="I231" s="205" t="str">
        <f>IF('Active Inputs'!$G$74="as generated","N/A",'Cash Flow'!I68)</f>
        <v>N/A</v>
      </c>
      <c r="J231" s="205" t="str">
        <f>IF('Active Inputs'!$G$74="as generated","N/A",'Cash Flow'!J68)</f>
        <v>N/A</v>
      </c>
      <c r="K231" s="205" t="str">
        <f>IF('Active Inputs'!$G$74="as generated","N/A",'Cash Flow'!K68)</f>
        <v>N/A</v>
      </c>
      <c r="L231" s="205" t="str">
        <f>IF('Active Inputs'!$G$74="as generated","N/A",'Cash Flow'!L68)</f>
        <v>N/A</v>
      </c>
      <c r="M231" s="205" t="str">
        <f>IF('Active Inputs'!$G$74="as generated","N/A",'Cash Flow'!M68)</f>
        <v>N/A</v>
      </c>
      <c r="N231" s="205" t="str">
        <f>IF('Active Inputs'!$G$74="as generated","N/A",'Cash Flow'!N68)</f>
        <v>N/A</v>
      </c>
      <c r="O231" s="205" t="str">
        <f>IF('Active Inputs'!$G$74="as generated","N/A",'Cash Flow'!O68)</f>
        <v>N/A</v>
      </c>
      <c r="P231" s="205" t="str">
        <f>IF('Active Inputs'!$G$74="as generated","N/A",'Cash Flow'!P68)</f>
        <v>N/A</v>
      </c>
      <c r="Q231" s="205" t="str">
        <f>IF('Active Inputs'!$G$74="as generated","N/A",'Cash Flow'!Q68)</f>
        <v>N/A</v>
      </c>
      <c r="R231" s="205" t="str">
        <f>IF('Active Inputs'!$G$74="as generated","N/A",'Cash Flow'!R68)</f>
        <v>N/A</v>
      </c>
      <c r="S231" s="205" t="str">
        <f>IF('Active Inputs'!$G$74="as generated","N/A",'Cash Flow'!S68)</f>
        <v>N/A</v>
      </c>
      <c r="T231" s="205" t="str">
        <f>IF('Active Inputs'!$G$74="as generated","N/A",'Cash Flow'!T68)</f>
        <v>N/A</v>
      </c>
      <c r="U231" s="205" t="str">
        <f>IF('Active Inputs'!$G$74="as generated","N/A",'Cash Flow'!U68)</f>
        <v>N/A</v>
      </c>
      <c r="V231" s="205" t="str">
        <f>IF('Active Inputs'!$G$74="as generated","N/A",'Cash Flow'!V68)</f>
        <v>N/A</v>
      </c>
      <c r="W231" s="205" t="str">
        <f>IF('Active Inputs'!$G$74="as generated","N/A",'Cash Flow'!W68)</f>
        <v>N/A</v>
      </c>
      <c r="X231" s="205" t="str">
        <f>IF('Active Inputs'!$G$74="as generated","N/A",'Cash Flow'!X68)</f>
        <v>N/A</v>
      </c>
      <c r="Y231" s="205" t="str">
        <f>IF('Active Inputs'!$G$74="as generated","N/A",'Cash Flow'!Y68)</f>
        <v>N/A</v>
      </c>
      <c r="Z231" s="205" t="str">
        <f>IF('Active Inputs'!$G$74="as generated","N/A",'Cash Flow'!Z68)</f>
        <v>N/A</v>
      </c>
      <c r="AA231" s="205" t="str">
        <f>IF('Active Inputs'!$G$74="as generated","N/A",'Cash Flow'!AA68)</f>
        <v>N/A</v>
      </c>
      <c r="AB231" s="205" t="str">
        <f>IF('Active Inputs'!$G$74="as generated","N/A",'Cash Flow'!AB68)</f>
        <v>N/A</v>
      </c>
      <c r="AC231" s="205" t="str">
        <f>IF('Active Inputs'!$G$74="as generated","N/A",'Cash Flow'!AC68)</f>
        <v>N/A</v>
      </c>
      <c r="AD231" s="205" t="str">
        <f>IF('Active Inputs'!$G$74="as generated","N/A",'Cash Flow'!AD68)</f>
        <v>N/A</v>
      </c>
      <c r="AE231" s="205" t="str">
        <f>IF('Active Inputs'!$G$74="as generated","N/A",'Cash Flow'!AE68)</f>
        <v>N/A</v>
      </c>
      <c r="AF231" s="205" t="str">
        <f>IF('Active Inputs'!$G$74="as generated","N/A",'Cash Flow'!AF68)</f>
        <v>N/A</v>
      </c>
      <c r="AG231" s="205" t="str">
        <f>IF('Active Inputs'!$G$74="as generated","N/A",'Cash Flow'!AG68)</f>
        <v>N/A</v>
      </c>
      <c r="AH231" s="205" t="str">
        <f>IF('Active Inputs'!$G$74="as generated","N/A",'Cash Flow'!AH68)</f>
        <v>N/A</v>
      </c>
      <c r="AI231" s="205" t="str">
        <f>IF('Active Inputs'!$G$74="as generated","N/A",'Cash Flow'!AI68)</f>
        <v>N/A</v>
      </c>
      <c r="AJ231" s="205" t="str">
        <f>IF('Active Inputs'!$G$74="as generated","N/A",'Cash Flow'!AJ68)</f>
        <v>N/A</v>
      </c>
    </row>
    <row r="232" spans="2:36" s="1" customFormat="1">
      <c r="B232" s="188"/>
      <c r="C232" s="188"/>
      <c r="D232" s="188"/>
      <c r="E232" s="188"/>
      <c r="F232" s="188"/>
      <c r="G232" s="205"/>
      <c r="H232" s="205"/>
      <c r="I232" s="205"/>
      <c r="J232" s="205"/>
      <c r="K232" s="205"/>
      <c r="L232" s="205"/>
      <c r="M232" s="205"/>
      <c r="N232" s="205"/>
      <c r="O232" s="205"/>
      <c r="P232" s="205"/>
      <c r="Q232" s="205"/>
      <c r="R232" s="205"/>
      <c r="S232" s="205"/>
      <c r="T232" s="205"/>
      <c r="U232" s="205"/>
      <c r="V232" s="205"/>
      <c r="W232" s="205"/>
      <c r="X232" s="205"/>
      <c r="Y232" s="205"/>
      <c r="Z232" s="205"/>
      <c r="AA232" s="205"/>
      <c r="AB232" s="205"/>
      <c r="AC232" s="205"/>
      <c r="AD232" s="205"/>
      <c r="AE232" s="205"/>
      <c r="AF232" s="205"/>
      <c r="AG232" s="205"/>
      <c r="AH232" s="205"/>
      <c r="AI232" s="205"/>
      <c r="AJ232" s="205"/>
    </row>
    <row r="233" spans="2:36" s="1" customFormat="1">
      <c r="B233" s="188" t="s">
        <v>414</v>
      </c>
      <c r="C233" s="188"/>
      <c r="D233" s="188"/>
      <c r="E233" s="188"/>
      <c r="F233" s="188"/>
      <c r="G233" s="205">
        <v>0</v>
      </c>
      <c r="H233" s="205">
        <f>IF('Active Inputs'!$G$74="as generated",0,G236)</f>
        <v>0</v>
      </c>
      <c r="I233" s="205">
        <f>IF('Active Inputs'!$G$74="as generated",0,H236)</f>
        <v>0</v>
      </c>
      <c r="J233" s="205">
        <f>IF('Active Inputs'!$G$74="as generated",0,I236)</f>
        <v>0</v>
      </c>
      <c r="K233" s="205">
        <f>IF('Active Inputs'!$G$74="as generated",0,J236)</f>
        <v>0</v>
      </c>
      <c r="L233" s="205">
        <f>IF('Active Inputs'!$G$74="as generated",0,K236)</f>
        <v>0</v>
      </c>
      <c r="M233" s="205">
        <f>IF('Active Inputs'!$G$74="as generated",0,L236)</f>
        <v>0</v>
      </c>
      <c r="N233" s="205">
        <f>IF('Active Inputs'!$G$74="as generated",0,M236)</f>
        <v>0</v>
      </c>
      <c r="O233" s="205">
        <f>IF('Active Inputs'!$G$74="as generated",0,N236)</f>
        <v>0</v>
      </c>
      <c r="P233" s="205">
        <f>IF('Active Inputs'!$G$74="as generated",0,O236)</f>
        <v>0</v>
      </c>
      <c r="Q233" s="205">
        <f>IF('Active Inputs'!$G$74="as generated",0,P236)</f>
        <v>0</v>
      </c>
      <c r="R233" s="205">
        <f>IF('Active Inputs'!$G$74="as generated",0,Q236)</f>
        <v>0</v>
      </c>
      <c r="S233" s="205">
        <f>IF('Active Inputs'!$G$74="as generated",0,R236)</f>
        <v>0</v>
      </c>
      <c r="T233" s="205">
        <f>IF('Active Inputs'!$G$74="as generated",0,S236)</f>
        <v>0</v>
      </c>
      <c r="U233" s="205">
        <f>IF('Active Inputs'!$G$74="as generated",0,T236)</f>
        <v>0</v>
      </c>
      <c r="V233" s="205">
        <f>IF('Active Inputs'!$G$74="as generated",0,U236)</f>
        <v>0</v>
      </c>
      <c r="W233" s="205">
        <f>IF('Active Inputs'!$G$74="as generated",0,V236)</f>
        <v>0</v>
      </c>
      <c r="X233" s="205">
        <f>IF('Active Inputs'!$G$74="as generated",0,W236)</f>
        <v>0</v>
      </c>
      <c r="Y233" s="205">
        <f>IF('Active Inputs'!$G$74="as generated",0,X236)</f>
        <v>0</v>
      </c>
      <c r="Z233" s="205">
        <f>IF('Active Inputs'!$G$74="as generated",0,Y236)</f>
        <v>0</v>
      </c>
      <c r="AA233" s="205">
        <f>IF('Active Inputs'!$G$74="as generated",0,Z236)</f>
        <v>0</v>
      </c>
      <c r="AB233" s="205">
        <f>IF('Active Inputs'!$G$74="as generated",0,AA236)</f>
        <v>0</v>
      </c>
      <c r="AC233" s="205">
        <f>IF('Active Inputs'!$G$74="as generated",0,AB236)</f>
        <v>0</v>
      </c>
      <c r="AD233" s="205">
        <f>IF('Active Inputs'!$G$74="as generated",0,AC236)</f>
        <v>0</v>
      </c>
      <c r="AE233" s="205">
        <f>IF('Active Inputs'!$G$74="as generated",0,AD236)</f>
        <v>0</v>
      </c>
      <c r="AF233" s="205">
        <f>IF('Active Inputs'!$G$74="as generated",0,AE236)</f>
        <v>0</v>
      </c>
      <c r="AG233" s="205">
        <f>IF('Active Inputs'!$G$74="as generated",0,AF236)</f>
        <v>0</v>
      </c>
      <c r="AH233" s="205">
        <f>IF('Active Inputs'!$G$74="as generated",0,AG236)</f>
        <v>0</v>
      </c>
      <c r="AI233" s="205">
        <f>IF('Active Inputs'!$G$74="as generated",0,AH236)</f>
        <v>0</v>
      </c>
      <c r="AJ233" s="205">
        <f>IF('Active Inputs'!$G$74="as generated",0,AI236)</f>
        <v>0</v>
      </c>
    </row>
    <row r="234" spans="2:36" s="1" customFormat="1">
      <c r="B234" s="188" t="s">
        <v>415</v>
      </c>
      <c r="C234" s="188"/>
      <c r="D234" s="188"/>
      <c r="E234" s="188"/>
      <c r="F234" s="188"/>
      <c r="G234" s="205">
        <f>IF('Active Inputs'!$G$74="as generated",0,IF(G231&lt;=0,G228,0))</f>
        <v>0</v>
      </c>
      <c r="H234" s="205">
        <f>IF('Active Inputs'!$G$74="as generated",0,IF(H231&lt;=0,H228,0))</f>
        <v>0</v>
      </c>
      <c r="I234" s="205">
        <f>IF('Active Inputs'!$G$74="as generated",0,IF(I231&lt;=0,I228,0))</f>
        <v>0</v>
      </c>
      <c r="J234" s="205">
        <f>IF('Active Inputs'!$G$74="as generated",0,IF(J231&lt;=0,J228,0))</f>
        <v>0</v>
      </c>
      <c r="K234" s="205">
        <f>IF('Active Inputs'!$G$74="as generated",0,IF(K231&lt;=0,K228,0))</f>
        <v>0</v>
      </c>
      <c r="L234" s="205">
        <f>IF('Active Inputs'!$G$74="as generated",0,IF(L231&lt;=0,L228,0))</f>
        <v>0</v>
      </c>
      <c r="M234" s="205">
        <f>IF('Active Inputs'!$G$74="as generated",0,IF(M231&lt;=0,M228,0))</f>
        <v>0</v>
      </c>
      <c r="N234" s="205">
        <f>IF('Active Inputs'!$G$74="as generated",0,IF(N231&lt;=0,N228,0))</f>
        <v>0</v>
      </c>
      <c r="O234" s="205">
        <f>IF('Active Inputs'!$G$74="as generated",0,IF(O231&lt;=0,O228,0))</f>
        <v>0</v>
      </c>
      <c r="P234" s="205">
        <f>IF('Active Inputs'!$G$74="as generated",0,IF(P231&lt;=0,P228,0))</f>
        <v>0</v>
      </c>
      <c r="Q234" s="205">
        <f>IF('Active Inputs'!$G$74="as generated",0,IF(Q231&lt;=0,Q228,0))</f>
        <v>0</v>
      </c>
      <c r="R234" s="205">
        <f>IF('Active Inputs'!$G$74="as generated",0,IF(R231&lt;=0,R228,0))</f>
        <v>0</v>
      </c>
      <c r="S234" s="205">
        <f>IF('Active Inputs'!$G$74="as generated",0,IF(S231&lt;=0,S228,0))</f>
        <v>0</v>
      </c>
      <c r="T234" s="205">
        <f>IF('Active Inputs'!$G$74="as generated",0,IF(T231&lt;=0,T228,0))</f>
        <v>0</v>
      </c>
      <c r="U234" s="205">
        <f>IF('Active Inputs'!$G$74="as generated",0,IF(U231&lt;=0,U228,0))</f>
        <v>0</v>
      </c>
      <c r="V234" s="205">
        <f>IF('Active Inputs'!$G$74="as generated",0,IF(V231&lt;=0,V228,0))</f>
        <v>0</v>
      </c>
      <c r="W234" s="205">
        <f>IF('Active Inputs'!$G$74="as generated",0,IF(W231&lt;=0,W228,0))</f>
        <v>0</v>
      </c>
      <c r="X234" s="205">
        <f>IF('Active Inputs'!$G$74="as generated",0,IF(X231&lt;=0,X228,0))</f>
        <v>0</v>
      </c>
      <c r="Y234" s="205">
        <f>IF('Active Inputs'!$G$74="as generated",0,IF(Y231&lt;=0,Y228,0))</f>
        <v>0</v>
      </c>
      <c r="Z234" s="205">
        <f>IF('Active Inputs'!$G$74="as generated",0,IF(Z231&lt;=0,Z228,0))</f>
        <v>0</v>
      </c>
      <c r="AA234" s="205">
        <f>IF('Active Inputs'!$G$74="as generated",0,IF(AA231&lt;=0,AA228,0))</f>
        <v>0</v>
      </c>
      <c r="AB234" s="205">
        <f>IF('Active Inputs'!$G$74="as generated",0,IF(AB231&lt;=0,AB228,0))</f>
        <v>0</v>
      </c>
      <c r="AC234" s="205">
        <f>IF('Active Inputs'!$G$74="as generated",0,IF(AC231&lt;=0,AC228,0))</f>
        <v>0</v>
      </c>
      <c r="AD234" s="205">
        <f>IF('Active Inputs'!$G$74="as generated",0,IF(AD231&lt;=0,AD228,0))</f>
        <v>0</v>
      </c>
      <c r="AE234" s="205">
        <f>IF('Active Inputs'!$G$74="as generated",0,IF(AE231&lt;=0,AE228,0))</f>
        <v>0</v>
      </c>
      <c r="AF234" s="205">
        <f>IF('Active Inputs'!$G$74="as generated",0,IF(AF231&lt;=0,AF228,0))</f>
        <v>0</v>
      </c>
      <c r="AG234" s="205">
        <f>IF('Active Inputs'!$G$74="as generated",0,IF(AG231&lt;=0,AG228,0))</f>
        <v>0</v>
      </c>
      <c r="AH234" s="205">
        <f>IF('Active Inputs'!$G$74="as generated",0,IF(AH231&lt;=0,AH228,0))</f>
        <v>0</v>
      </c>
      <c r="AI234" s="205">
        <f>IF('Active Inputs'!$G$74="as generated",0,IF(AI231&lt;=0,AI228,0))</f>
        <v>0</v>
      </c>
      <c r="AJ234" s="205">
        <f>IF('Active Inputs'!$G$74="as generated",0,IF(AJ231&lt;=0,AJ228,0))</f>
        <v>0</v>
      </c>
    </row>
    <row r="235" spans="2:36" s="1" customFormat="1">
      <c r="B235" s="188" t="s">
        <v>416</v>
      </c>
      <c r="C235" s="188"/>
      <c r="D235" s="188"/>
      <c r="E235" s="188"/>
      <c r="F235" s="188"/>
      <c r="G235" s="205">
        <f>IF('Active Inputs'!$G$74="as generated",0,IF(G$231&lt;0,MAX(G$231,-G$234),0))</f>
        <v>0</v>
      </c>
      <c r="H235" s="205">
        <f>IF('Active Inputs'!$G$74="as generated",0,IF(H$231&lt;0,MAX(H$231,-G$236),0))</f>
        <v>0</v>
      </c>
      <c r="I235" s="205">
        <f>IF('Active Inputs'!$G$74="as generated",0,IF(I$231&lt;0,MAX(I$231,-H$236),0))</f>
        <v>0</v>
      </c>
      <c r="J235" s="205">
        <f>IF('Active Inputs'!$G$74="as generated",0,IF(J$231&lt;0,MAX(J$231,-I$236),0))</f>
        <v>0</v>
      </c>
      <c r="K235" s="205">
        <f>IF('Active Inputs'!$G$74="as generated",0,IF(K$231&lt;0,MAX(K$231,-J$236),0))</f>
        <v>0</v>
      </c>
      <c r="L235" s="205">
        <f>IF('Active Inputs'!$G$74="as generated",0,IF(L$231&lt;0,MAX(L$231,-K$236),0))</f>
        <v>0</v>
      </c>
      <c r="M235" s="205">
        <f>IF('Active Inputs'!$G$74="as generated",0,IF(M$231&lt;0,MAX(M$231,-L$236),0))</f>
        <v>0</v>
      </c>
      <c r="N235" s="205">
        <f>IF('Active Inputs'!$G$74="as generated",0,IF(N$231&lt;0,MAX(N$231,-M$236),0))</f>
        <v>0</v>
      </c>
      <c r="O235" s="205">
        <f>IF('Active Inputs'!$G$74="as generated",0,IF(O$231&lt;0,MAX(O$231,-N$236),0))</f>
        <v>0</v>
      </c>
      <c r="P235" s="205">
        <f>IF('Active Inputs'!$G$74="as generated",0,IF(P$231&lt;0,MAX(P$231,-O$236),0))</f>
        <v>0</v>
      </c>
      <c r="Q235" s="205">
        <f>IF('Active Inputs'!$G$74="as generated",0,IF(Q$231&lt;0,MAX(Q$231,-P$236),0))</f>
        <v>0</v>
      </c>
      <c r="R235" s="205">
        <f>IF('Active Inputs'!$G$74="as generated",0,IF(R$231&lt;0,MAX(R$231,-Q$236),0))</f>
        <v>0</v>
      </c>
      <c r="S235" s="205">
        <f>IF('Active Inputs'!$G$74="as generated",0,IF(S$231&lt;0,MAX(S$231,-R$236),0))</f>
        <v>0</v>
      </c>
      <c r="T235" s="205">
        <f>IF('Active Inputs'!$G$74="as generated",0,IF(T$231&lt;0,MAX(T$231,-S$236),0))</f>
        <v>0</v>
      </c>
      <c r="U235" s="205">
        <f>IF('Active Inputs'!$G$74="as generated",0,IF(U$231&lt;0,MAX(U$231,-T$236),0))</f>
        <v>0</v>
      </c>
      <c r="V235" s="205">
        <f>IF('Active Inputs'!$G$74="as generated",0,IF(V$231&lt;0,MAX(V$231,-U$236),0))</f>
        <v>0</v>
      </c>
      <c r="W235" s="205">
        <f>IF('Active Inputs'!$G$74="as generated",0,IF(W$231&lt;0,MAX(W$231,-V$236),0))</f>
        <v>0</v>
      </c>
      <c r="X235" s="205">
        <f>IF('Active Inputs'!$G$74="as generated",0,IF(X$231&lt;0,MAX(X$231,-W$236),0))</f>
        <v>0</v>
      </c>
      <c r="Y235" s="205">
        <f>IF('Active Inputs'!$G$74="as generated",0,IF(Y$231&lt;0,MAX(Y$231,-X$236),0))</f>
        <v>0</v>
      </c>
      <c r="Z235" s="205">
        <f>IF('Active Inputs'!$G$74="as generated",0,IF(Z$231&lt;0,MAX(Z$231,-Y$236),0))</f>
        <v>0</v>
      </c>
      <c r="AA235" s="205">
        <f>IF('Active Inputs'!$G$74="as generated",0,IF(AA$231&lt;0,MAX(AA$231,-Z$236),0))</f>
        <v>0</v>
      </c>
      <c r="AB235" s="205">
        <f>IF('Active Inputs'!$G$74="as generated",0,IF(AB$231&lt;0,MAX(AB$231,-AA$236),0))</f>
        <v>0</v>
      </c>
      <c r="AC235" s="205">
        <f>IF('Active Inputs'!$G$74="as generated",0,IF(AC$231&lt;0,MAX(AC$231,-AB$236),0))</f>
        <v>0</v>
      </c>
      <c r="AD235" s="205">
        <f>IF('Active Inputs'!$G$74="as generated",0,IF(AD$231&lt;0,MAX(AD$231,-AC$236),0))</f>
        <v>0</v>
      </c>
      <c r="AE235" s="205">
        <f>IF('Active Inputs'!$G$74="as generated",0,IF(AE$231&lt;0,MAX(AE$231,-AD$236),0))</f>
        <v>0</v>
      </c>
      <c r="AF235" s="205">
        <f>IF('Active Inputs'!$G$74="as generated",0,IF(AF$231&lt;0,MAX(AF$231,-AE$236),0))</f>
        <v>0</v>
      </c>
      <c r="AG235" s="205">
        <f>IF('Active Inputs'!$G$74="as generated",0,IF(AG$231&lt;0,MAX(AG$231,-AF$236),0))</f>
        <v>0</v>
      </c>
      <c r="AH235" s="205">
        <f>IF('Active Inputs'!$G$74="as generated",0,IF(AH$231&lt;0,MAX(AH$231,-AG$236),0))</f>
        <v>0</v>
      </c>
      <c r="AI235" s="205">
        <f>IF('Active Inputs'!$G$74="as generated",0,IF(AI$231&lt;0,MAX(AI$231,-AH$236),0))</f>
        <v>0</v>
      </c>
      <c r="AJ235" s="205">
        <f>IF('Active Inputs'!$G$74="as generated",0,IF(AJ$231&lt;0,MAX(AJ$231,-AI$236),0))</f>
        <v>0</v>
      </c>
    </row>
    <row r="236" spans="2:36" s="1" customFormat="1">
      <c r="B236" s="188" t="s">
        <v>417</v>
      </c>
      <c r="C236" s="188"/>
      <c r="D236" s="188"/>
      <c r="E236" s="188"/>
      <c r="F236" s="205">
        <v>0</v>
      </c>
      <c r="G236" s="205">
        <f>SUM(G233:G235)</f>
        <v>0</v>
      </c>
      <c r="H236" s="205">
        <f t="shared" ref="H236:AJ236" si="197">SUM(H233:H235)</f>
        <v>0</v>
      </c>
      <c r="I236" s="205">
        <f t="shared" si="197"/>
        <v>0</v>
      </c>
      <c r="J236" s="205">
        <f t="shared" si="197"/>
        <v>0</v>
      </c>
      <c r="K236" s="205">
        <f t="shared" si="197"/>
        <v>0</v>
      </c>
      <c r="L236" s="205">
        <f t="shared" si="197"/>
        <v>0</v>
      </c>
      <c r="M236" s="205">
        <f t="shared" si="197"/>
        <v>0</v>
      </c>
      <c r="N236" s="205">
        <f t="shared" si="197"/>
        <v>0</v>
      </c>
      <c r="O236" s="205">
        <f t="shared" si="197"/>
        <v>0</v>
      </c>
      <c r="P236" s="205">
        <f t="shared" si="197"/>
        <v>0</v>
      </c>
      <c r="Q236" s="205">
        <f t="shared" si="197"/>
        <v>0</v>
      </c>
      <c r="R236" s="205">
        <f t="shared" si="197"/>
        <v>0</v>
      </c>
      <c r="S236" s="205">
        <f t="shared" si="197"/>
        <v>0</v>
      </c>
      <c r="T236" s="205">
        <f t="shared" si="197"/>
        <v>0</v>
      </c>
      <c r="U236" s="205">
        <f t="shared" si="197"/>
        <v>0</v>
      </c>
      <c r="V236" s="205">
        <f t="shared" si="197"/>
        <v>0</v>
      </c>
      <c r="W236" s="205">
        <f t="shared" si="197"/>
        <v>0</v>
      </c>
      <c r="X236" s="205">
        <f t="shared" si="197"/>
        <v>0</v>
      </c>
      <c r="Y236" s="205">
        <f t="shared" si="197"/>
        <v>0</v>
      </c>
      <c r="Z236" s="205">
        <f t="shared" si="197"/>
        <v>0</v>
      </c>
      <c r="AA236" s="205">
        <f t="shared" si="197"/>
        <v>0</v>
      </c>
      <c r="AB236" s="205">
        <f t="shared" si="197"/>
        <v>0</v>
      </c>
      <c r="AC236" s="205">
        <f t="shared" si="197"/>
        <v>0</v>
      </c>
      <c r="AD236" s="205">
        <f t="shared" si="197"/>
        <v>0</v>
      </c>
      <c r="AE236" s="205">
        <f t="shared" si="197"/>
        <v>0</v>
      </c>
      <c r="AF236" s="205">
        <f t="shared" si="197"/>
        <v>0</v>
      </c>
      <c r="AG236" s="205">
        <f t="shared" si="197"/>
        <v>0</v>
      </c>
      <c r="AH236" s="205">
        <f t="shared" si="197"/>
        <v>0</v>
      </c>
      <c r="AI236" s="205">
        <f t="shared" si="197"/>
        <v>0</v>
      </c>
      <c r="AJ236" s="205">
        <f t="shared" si="197"/>
        <v>0</v>
      </c>
    </row>
    <row r="237" spans="2:36" s="1" customFormat="1">
      <c r="B237" s="188"/>
      <c r="C237" s="188"/>
      <c r="D237" s="188"/>
      <c r="E237" s="188"/>
      <c r="F237" s="188"/>
      <c r="G237" s="188"/>
      <c r="H237" s="210"/>
      <c r="I237" s="188"/>
      <c r="J237" s="188"/>
      <c r="K237" s="188"/>
      <c r="L237" s="188"/>
      <c r="M237" s="188"/>
      <c r="N237" s="188"/>
      <c r="O237" s="188"/>
      <c r="P237" s="188"/>
      <c r="Q237" s="188"/>
      <c r="R237" s="188"/>
      <c r="S237" s="188"/>
      <c r="T237" s="188"/>
      <c r="U237" s="188"/>
      <c r="V237" s="188"/>
      <c r="W237" s="188"/>
      <c r="X237" s="188"/>
      <c r="Y237" s="188"/>
      <c r="Z237" s="188"/>
      <c r="AA237" s="188"/>
      <c r="AB237" s="188"/>
      <c r="AC237" s="188"/>
      <c r="AD237" s="188"/>
      <c r="AE237" s="188"/>
      <c r="AF237" s="188"/>
      <c r="AG237" s="188"/>
      <c r="AH237" s="188"/>
      <c r="AI237" s="188"/>
      <c r="AJ237" s="188"/>
    </row>
    <row r="238" spans="2:36" s="1" customFormat="1" ht="15.75">
      <c r="B238" s="187" t="s">
        <v>418</v>
      </c>
      <c r="C238" s="187"/>
      <c r="D238" s="187"/>
      <c r="E238" s="188"/>
      <c r="F238" s="188"/>
      <c r="G238" s="650"/>
      <c r="H238" s="210"/>
      <c r="I238" s="188"/>
      <c r="J238" s="188"/>
      <c r="K238" s="188"/>
      <c r="L238" s="188"/>
      <c r="M238" s="188"/>
      <c r="N238" s="188"/>
      <c r="O238" s="188"/>
      <c r="P238" s="188"/>
      <c r="Q238" s="188"/>
      <c r="R238" s="188"/>
      <c r="S238" s="188"/>
      <c r="T238" s="188"/>
      <c r="U238" s="188"/>
      <c r="V238" s="188"/>
      <c r="W238" s="188"/>
      <c r="X238" s="188"/>
      <c r="Y238" s="188"/>
      <c r="Z238" s="188"/>
      <c r="AA238" s="188"/>
      <c r="AB238" s="188"/>
      <c r="AC238" s="188"/>
      <c r="AD238" s="188"/>
      <c r="AE238" s="188"/>
      <c r="AF238" s="188"/>
      <c r="AG238" s="188"/>
      <c r="AH238" s="188"/>
      <c r="AI238" s="188"/>
      <c r="AJ238" s="188"/>
    </row>
    <row r="239" spans="2:36" s="1" customFormat="1" ht="15.75">
      <c r="B239" s="188" t="s">
        <v>419</v>
      </c>
      <c r="C239" s="188"/>
      <c r="D239" s="188"/>
      <c r="E239" s="188"/>
      <c r="F239" s="188"/>
      <c r="G239" s="598">
        <f>'Active Inputs'!W17</f>
        <v>0</v>
      </c>
      <c r="H239" s="599">
        <v>0</v>
      </c>
      <c r="I239" s="263">
        <f>H239</f>
        <v>0</v>
      </c>
      <c r="J239" s="263">
        <f t="shared" ref="J239:AI239" si="198">I239</f>
        <v>0</v>
      </c>
      <c r="K239" s="263">
        <f t="shared" si="198"/>
        <v>0</v>
      </c>
      <c r="L239" s="263">
        <f t="shared" si="198"/>
        <v>0</v>
      </c>
      <c r="M239" s="263">
        <f t="shared" si="198"/>
        <v>0</v>
      </c>
      <c r="N239" s="263">
        <f t="shared" si="198"/>
        <v>0</v>
      </c>
      <c r="O239" s="263">
        <f t="shared" si="198"/>
        <v>0</v>
      </c>
      <c r="P239" s="263">
        <f t="shared" si="198"/>
        <v>0</v>
      </c>
      <c r="Q239" s="263">
        <f t="shared" si="198"/>
        <v>0</v>
      </c>
      <c r="R239" s="263">
        <f t="shared" si="198"/>
        <v>0</v>
      </c>
      <c r="S239" s="263">
        <f t="shared" si="198"/>
        <v>0</v>
      </c>
      <c r="T239" s="263">
        <f t="shared" si="198"/>
        <v>0</v>
      </c>
      <c r="U239" s="263">
        <f t="shared" si="198"/>
        <v>0</v>
      </c>
      <c r="V239" s="263">
        <f t="shared" si="198"/>
        <v>0</v>
      </c>
      <c r="W239" s="263">
        <f t="shared" si="198"/>
        <v>0</v>
      </c>
      <c r="X239" s="263">
        <f t="shared" si="198"/>
        <v>0</v>
      </c>
      <c r="Y239" s="263">
        <f t="shared" si="198"/>
        <v>0</v>
      </c>
      <c r="Z239" s="263">
        <f t="shared" si="198"/>
        <v>0</v>
      </c>
      <c r="AA239" s="263">
        <f t="shared" si="198"/>
        <v>0</v>
      </c>
      <c r="AB239" s="263">
        <f t="shared" si="198"/>
        <v>0</v>
      </c>
      <c r="AC239" s="263">
        <f t="shared" si="198"/>
        <v>0</v>
      </c>
      <c r="AD239" s="263">
        <f t="shared" si="198"/>
        <v>0</v>
      </c>
      <c r="AE239" s="263">
        <f t="shared" si="198"/>
        <v>0</v>
      </c>
      <c r="AF239" s="263">
        <f t="shared" si="198"/>
        <v>0</v>
      </c>
      <c r="AG239" s="263">
        <f t="shared" si="198"/>
        <v>0</v>
      </c>
      <c r="AH239" s="263">
        <f t="shared" si="198"/>
        <v>0</v>
      </c>
      <c r="AI239" s="263">
        <f t="shared" si="198"/>
        <v>0</v>
      </c>
      <c r="AJ239" s="263">
        <f>AI239</f>
        <v>0</v>
      </c>
    </row>
    <row r="240" spans="2:36" s="1" customFormat="1">
      <c r="B240" s="188" t="s">
        <v>420</v>
      </c>
      <c r="C240" s="188"/>
      <c r="D240" s="188"/>
      <c r="E240" s="188"/>
      <c r="F240" s="188"/>
      <c r="G240" s="205">
        <f>IF(OR('Active Inputs'!$G$72="No",'Active Inputs'!$Q$34="Cost-Based",'Active Inputs'!$Q$34="Neither"),0,IF('Active Inputs'!$Q$39="Tax Credit",IF(G$2&gt;'Active Inputs'!$Q$42,0,'Active Inputs'!$Q$41/100*G$10*'Active Inputs'!$Q$44*G$5),0))</f>
        <v>0</v>
      </c>
      <c r="H240" s="205">
        <f>IF(OR('Active Inputs'!$G$72="No",'Active Inputs'!$Q$34="Cost-Based",'Active Inputs'!$Q$34="Neither"),0,IF('Active Inputs'!$Q$39="Tax Credit",IF(H$2&gt;'Active Inputs'!$Q$42,0,'Active Inputs'!$Q$41/100*H$10*'Active Inputs'!$Q$44*H$5),0))</f>
        <v>0</v>
      </c>
      <c r="I240" s="205">
        <f>IF(OR('Active Inputs'!$G$72="No",'Active Inputs'!$Q$34="Cost-Based",'Active Inputs'!$Q$34="Neither"),0,IF('Active Inputs'!$Q$39="Tax Credit",IF(I$2&gt;'Active Inputs'!$Q$42,0,'Active Inputs'!$Q$41/100*I$10*'Active Inputs'!$Q$44*I$5),0))</f>
        <v>0</v>
      </c>
      <c r="J240" s="205">
        <f>IF(OR('Active Inputs'!$G$72="No",'Active Inputs'!$Q$34="Cost-Based",'Active Inputs'!$Q$34="Neither"),0,IF('Active Inputs'!$Q$39="Tax Credit",IF(J$2&gt;'Active Inputs'!$Q$42,0,'Active Inputs'!$Q$41/100*J$10*'Active Inputs'!$Q$44*J$5),0))</f>
        <v>0</v>
      </c>
      <c r="K240" s="205">
        <f>IF(OR('Active Inputs'!$G$72="No",'Active Inputs'!$Q$34="Cost-Based",'Active Inputs'!$Q$34="Neither"),0,IF('Active Inputs'!$Q$39="Tax Credit",IF(K$2&gt;'Active Inputs'!$Q$42,0,'Active Inputs'!$Q$41/100*K$10*'Active Inputs'!$Q$44*K$5),0))</f>
        <v>0</v>
      </c>
      <c r="L240" s="205">
        <f>IF(OR('Active Inputs'!$G$72="No",'Active Inputs'!$Q$34="Cost-Based",'Active Inputs'!$Q$34="Neither"),0,IF('Active Inputs'!$Q$39="Tax Credit",IF(L$2&gt;'Active Inputs'!$Q$42,0,'Active Inputs'!$Q$41/100*L$10*'Active Inputs'!$Q$44*L$5),0))</f>
        <v>0</v>
      </c>
      <c r="M240" s="205">
        <f>IF(OR('Active Inputs'!$G$72="No",'Active Inputs'!$Q$34="Cost-Based",'Active Inputs'!$Q$34="Neither"),0,IF('Active Inputs'!$Q$39="Tax Credit",IF(M$2&gt;'Active Inputs'!$Q$42,0,'Active Inputs'!$Q$41/100*M$10*'Active Inputs'!$Q$44*M$5),0))</f>
        <v>0</v>
      </c>
      <c r="N240" s="205">
        <f>IF(OR('Active Inputs'!$G$72="No",'Active Inputs'!$Q$34="Cost-Based",'Active Inputs'!$Q$34="Neither"),0,IF('Active Inputs'!$Q$39="Tax Credit",IF(N$2&gt;'Active Inputs'!$Q$42,0,'Active Inputs'!$Q$41/100*N$10*'Active Inputs'!$Q$44*N$5),0))</f>
        <v>0</v>
      </c>
      <c r="O240" s="205">
        <f>IF(OR('Active Inputs'!$G$72="No",'Active Inputs'!$Q$34="Cost-Based",'Active Inputs'!$Q$34="Neither"),0,IF('Active Inputs'!$Q$39="Tax Credit",IF(O$2&gt;'Active Inputs'!$Q$42,0,'Active Inputs'!$Q$41/100*O$10*'Active Inputs'!$Q$44*O$5),0))</f>
        <v>0</v>
      </c>
      <c r="P240" s="205">
        <f>IF(OR('Active Inputs'!$G$72="No",'Active Inputs'!$Q$34="Cost-Based",'Active Inputs'!$Q$34="Neither"),0,IF('Active Inputs'!$Q$39="Tax Credit",IF(P$2&gt;'Active Inputs'!$Q$42,0,'Active Inputs'!$Q$41/100*P$10*'Active Inputs'!$Q$44*P$5),0))</f>
        <v>0</v>
      </c>
      <c r="Q240" s="205">
        <f>IF(OR('Active Inputs'!$G$72="No",'Active Inputs'!$Q$34="Cost-Based",'Active Inputs'!$Q$34="Neither"),0,IF('Active Inputs'!$Q$39="Tax Credit",IF(Q$2&gt;'Active Inputs'!$Q$42,0,'Active Inputs'!$Q$41/100*Q$10*'Active Inputs'!$Q$44*Q$5),0))</f>
        <v>0</v>
      </c>
      <c r="R240" s="205">
        <f>IF(OR('Active Inputs'!$G$72="No",'Active Inputs'!$Q$34="Cost-Based",'Active Inputs'!$Q$34="Neither"),0,IF('Active Inputs'!$Q$39="Tax Credit",IF(R$2&gt;'Active Inputs'!$Q$42,0,'Active Inputs'!$Q$41/100*R$10*'Active Inputs'!$Q$44*R$5),0))</f>
        <v>0</v>
      </c>
      <c r="S240" s="205">
        <f>IF(OR('Active Inputs'!$G$72="No",'Active Inputs'!$Q$34="Cost-Based",'Active Inputs'!$Q$34="Neither"),0,IF('Active Inputs'!$Q$39="Tax Credit",IF(S$2&gt;'Active Inputs'!$Q$42,0,'Active Inputs'!$Q$41/100*S$10*'Active Inputs'!$Q$44*S$5),0))</f>
        <v>0</v>
      </c>
      <c r="T240" s="205">
        <f>IF(OR('Active Inputs'!$G$72="No",'Active Inputs'!$Q$34="Cost-Based",'Active Inputs'!$Q$34="Neither"),0,IF('Active Inputs'!$Q$39="Tax Credit",IF(T$2&gt;'Active Inputs'!$Q$42,0,'Active Inputs'!$Q$41/100*T$10*'Active Inputs'!$Q$44*T$5),0))</f>
        <v>0</v>
      </c>
      <c r="U240" s="205">
        <f>IF(OR('Active Inputs'!$G$72="No",'Active Inputs'!$Q$34="Cost-Based",'Active Inputs'!$Q$34="Neither"),0,IF('Active Inputs'!$Q$39="Tax Credit",IF(U$2&gt;'Active Inputs'!$Q$42,0,'Active Inputs'!$Q$41/100*U$10*'Active Inputs'!$Q$44*U$5),0))</f>
        <v>0</v>
      </c>
      <c r="V240" s="205">
        <f>IF(OR('Active Inputs'!$G$72="No",'Active Inputs'!$Q$34="Cost-Based",'Active Inputs'!$Q$34="Neither"),0,IF('Active Inputs'!$Q$39="Tax Credit",IF(V$2&gt;'Active Inputs'!$Q$42,0,'Active Inputs'!$Q$41/100*V$10*'Active Inputs'!$Q$44*V$5),0))</f>
        <v>0</v>
      </c>
      <c r="W240" s="205">
        <f>IF(OR('Active Inputs'!$G$72="No",'Active Inputs'!$Q$34="Cost-Based",'Active Inputs'!$Q$34="Neither"),0,IF('Active Inputs'!$Q$39="Tax Credit",IF(W$2&gt;'Active Inputs'!$Q$42,0,'Active Inputs'!$Q$41/100*W$10*'Active Inputs'!$Q$44*W$5),0))</f>
        <v>0</v>
      </c>
      <c r="X240" s="205">
        <f>IF(OR('Active Inputs'!$G$72="No",'Active Inputs'!$Q$34="Cost-Based",'Active Inputs'!$Q$34="Neither"),0,IF('Active Inputs'!$Q$39="Tax Credit",IF(X$2&gt;'Active Inputs'!$Q$42,0,'Active Inputs'!$Q$41/100*X$10*'Active Inputs'!$Q$44*X$5),0))</f>
        <v>0</v>
      </c>
      <c r="Y240" s="205">
        <f>IF(OR('Active Inputs'!$G$72="No",'Active Inputs'!$Q$34="Cost-Based",'Active Inputs'!$Q$34="Neither"),0,IF('Active Inputs'!$Q$39="Tax Credit",IF(Y$2&gt;'Active Inputs'!$Q$42,0,'Active Inputs'!$Q$41/100*Y$10*'Active Inputs'!$Q$44*Y$5),0))</f>
        <v>0</v>
      </c>
      <c r="Z240" s="205">
        <f>IF(OR('Active Inputs'!$G$72="No",'Active Inputs'!$Q$34="Cost-Based",'Active Inputs'!$Q$34="Neither"),0,IF('Active Inputs'!$Q$39="Tax Credit",IF(Z$2&gt;'Active Inputs'!$Q$42,0,'Active Inputs'!$Q$41/100*Z$10*'Active Inputs'!$Q$44*Z$5),0))</f>
        <v>0</v>
      </c>
      <c r="AA240" s="205">
        <f>IF(OR('Active Inputs'!$G$72="No",'Active Inputs'!$Q$34="Cost-Based",'Active Inputs'!$Q$34="Neither"),0,IF('Active Inputs'!$Q$39="Tax Credit",IF(AA$2&gt;'Active Inputs'!$Q$42,0,'Active Inputs'!$Q$41/100*AA$10*'Active Inputs'!$Q$44*AA$5),0))</f>
        <v>0</v>
      </c>
      <c r="AB240" s="205">
        <f>IF(OR('Active Inputs'!$G$72="No",'Active Inputs'!$Q$34="Cost-Based",'Active Inputs'!$Q$34="Neither"),0,IF('Active Inputs'!$Q$39="Tax Credit",IF(AB$2&gt;'Active Inputs'!$Q$42,0,'Active Inputs'!$Q$41/100*AB$10*'Active Inputs'!$Q$44*AB$5),0))</f>
        <v>0</v>
      </c>
      <c r="AC240" s="205">
        <f>IF(OR('Active Inputs'!$G$72="No",'Active Inputs'!$Q$34="Cost-Based",'Active Inputs'!$Q$34="Neither"),0,IF('Active Inputs'!$Q$39="Tax Credit",IF(AC$2&gt;'Active Inputs'!$Q$42,0,'Active Inputs'!$Q$41/100*AC$10*'Active Inputs'!$Q$44*AC$5),0))</f>
        <v>0</v>
      </c>
      <c r="AD240" s="205">
        <f>IF(OR('Active Inputs'!$G$72="No",'Active Inputs'!$Q$34="Cost-Based",'Active Inputs'!$Q$34="Neither"),0,IF('Active Inputs'!$Q$39="Tax Credit",IF(AD$2&gt;'Active Inputs'!$Q$42,0,'Active Inputs'!$Q$41/100*AD$10*'Active Inputs'!$Q$44*AD$5),0))</f>
        <v>0</v>
      </c>
      <c r="AE240" s="205">
        <f>IF(OR('Active Inputs'!$G$72="No",'Active Inputs'!$Q$34="Cost-Based",'Active Inputs'!$Q$34="Neither"),0,IF('Active Inputs'!$Q$39="Tax Credit",IF(AE$2&gt;'Active Inputs'!$Q$42,0,'Active Inputs'!$Q$41/100*AE$10*'Active Inputs'!$Q$44*AE$5),0))</f>
        <v>0</v>
      </c>
      <c r="AF240" s="205">
        <f>IF(OR('Active Inputs'!$G$72="No",'Active Inputs'!$Q$34="Cost-Based",'Active Inputs'!$Q$34="Neither"),0,IF('Active Inputs'!$Q$39="Tax Credit",IF(AF$2&gt;'Active Inputs'!$Q$42,0,'Active Inputs'!$Q$41/100*AF$10*'Active Inputs'!$Q$44*AF$5),0))</f>
        <v>0</v>
      </c>
      <c r="AG240" s="205">
        <f>IF(OR('Active Inputs'!$G$72="No",'Active Inputs'!$Q$34="Cost-Based",'Active Inputs'!$Q$34="Neither"),0,IF('Active Inputs'!$Q$39="Tax Credit",IF(AG$2&gt;'Active Inputs'!$Q$42,0,'Active Inputs'!$Q$41/100*AG$10*'Active Inputs'!$Q$44*AG$5),0))</f>
        <v>0</v>
      </c>
      <c r="AH240" s="205">
        <f>IF(OR('Active Inputs'!$G$72="No",'Active Inputs'!$Q$34="Cost-Based",'Active Inputs'!$Q$34="Neither"),0,IF('Active Inputs'!$Q$39="Tax Credit",IF(AH$2&gt;'Active Inputs'!$Q$42,0,'Active Inputs'!$Q$41/100*AH$10*'Active Inputs'!$Q$44*AH$5),0))</f>
        <v>0</v>
      </c>
      <c r="AI240" s="205">
        <f>IF(OR('Active Inputs'!$G$72="No",'Active Inputs'!$Q$34="Cost-Based",'Active Inputs'!$Q$34="Neither"),0,IF('Active Inputs'!$Q$39="Tax Credit",IF(AI$2&gt;'Active Inputs'!$Q$42,0,'Active Inputs'!$Q$41/100*AI$10*'Active Inputs'!$Q$44*AI$5),0))</f>
        <v>0</v>
      </c>
      <c r="AJ240" s="205">
        <f>IF(OR('Active Inputs'!$G$72="No",'Active Inputs'!$Q$34="Cost-Based",'Active Inputs'!$Q$34="Neither"),0,IF('Active Inputs'!$Q$39="Tax Credit",IF(AJ$2&gt;'Active Inputs'!$Q$42,0,'Active Inputs'!$Q$41/100*AJ$10*'Active Inputs'!$Q$44*AJ$5),0))</f>
        <v>0</v>
      </c>
    </row>
    <row r="241" spans="2:36" s="1" customFormat="1" ht="15.75">
      <c r="B241" s="188"/>
      <c r="C241" s="188"/>
      <c r="D241" s="188"/>
      <c r="E241" s="188"/>
      <c r="F241" s="188"/>
      <c r="G241" s="650"/>
      <c r="H241" s="210"/>
      <c r="I241" s="188"/>
      <c r="J241" s="188"/>
      <c r="K241" s="188"/>
      <c r="L241" s="188"/>
      <c r="M241" s="188"/>
      <c r="N241" s="188"/>
      <c r="O241" s="188"/>
      <c r="P241" s="188"/>
      <c r="Q241" s="188"/>
      <c r="R241" s="188"/>
      <c r="S241" s="188"/>
      <c r="T241" s="188"/>
      <c r="U241" s="188"/>
      <c r="V241" s="188"/>
      <c r="W241" s="188"/>
      <c r="X241" s="188"/>
      <c r="Y241" s="188"/>
      <c r="Z241" s="188"/>
      <c r="AA241" s="188"/>
      <c r="AB241" s="188"/>
      <c r="AC241" s="188"/>
      <c r="AD241" s="188"/>
      <c r="AE241" s="188"/>
      <c r="AF241" s="188"/>
      <c r="AG241" s="188"/>
      <c r="AH241" s="188"/>
      <c r="AI241" s="188"/>
      <c r="AJ241" s="188"/>
    </row>
    <row r="242" spans="2:36" s="1" customFormat="1">
      <c r="B242" s="188" t="s">
        <v>412</v>
      </c>
      <c r="C242" s="188"/>
      <c r="D242" s="188"/>
      <c r="E242" s="188"/>
      <c r="F242" s="188"/>
      <c r="G242" s="205">
        <f>SUM(G239:G240)</f>
        <v>0</v>
      </c>
      <c r="H242" s="205">
        <f t="shared" ref="H242:AJ242" si="199">SUM(H239:H240)</f>
        <v>0</v>
      </c>
      <c r="I242" s="205">
        <f t="shared" si="199"/>
        <v>0</v>
      </c>
      <c r="J242" s="205">
        <f t="shared" si="199"/>
        <v>0</v>
      </c>
      <c r="K242" s="205">
        <f t="shared" si="199"/>
        <v>0</v>
      </c>
      <c r="L242" s="205">
        <f t="shared" si="199"/>
        <v>0</v>
      </c>
      <c r="M242" s="205">
        <f t="shared" si="199"/>
        <v>0</v>
      </c>
      <c r="N242" s="205">
        <f t="shared" si="199"/>
        <v>0</v>
      </c>
      <c r="O242" s="205">
        <f t="shared" si="199"/>
        <v>0</v>
      </c>
      <c r="P242" s="205">
        <f t="shared" si="199"/>
        <v>0</v>
      </c>
      <c r="Q242" s="205">
        <f t="shared" si="199"/>
        <v>0</v>
      </c>
      <c r="R242" s="205">
        <f t="shared" si="199"/>
        <v>0</v>
      </c>
      <c r="S242" s="205">
        <f t="shared" si="199"/>
        <v>0</v>
      </c>
      <c r="T242" s="205">
        <f t="shared" si="199"/>
        <v>0</v>
      </c>
      <c r="U242" s="205">
        <f t="shared" si="199"/>
        <v>0</v>
      </c>
      <c r="V242" s="205">
        <f t="shared" si="199"/>
        <v>0</v>
      </c>
      <c r="W242" s="205">
        <f t="shared" si="199"/>
        <v>0</v>
      </c>
      <c r="X242" s="205">
        <f t="shared" si="199"/>
        <v>0</v>
      </c>
      <c r="Y242" s="205">
        <f t="shared" si="199"/>
        <v>0</v>
      </c>
      <c r="Z242" s="205">
        <f t="shared" si="199"/>
        <v>0</v>
      </c>
      <c r="AA242" s="205">
        <f t="shared" si="199"/>
        <v>0</v>
      </c>
      <c r="AB242" s="205">
        <f t="shared" si="199"/>
        <v>0</v>
      </c>
      <c r="AC242" s="205">
        <f t="shared" si="199"/>
        <v>0</v>
      </c>
      <c r="AD242" s="205">
        <f t="shared" si="199"/>
        <v>0</v>
      </c>
      <c r="AE242" s="205">
        <f t="shared" si="199"/>
        <v>0</v>
      </c>
      <c r="AF242" s="205">
        <f t="shared" si="199"/>
        <v>0</v>
      </c>
      <c r="AG242" s="205">
        <f t="shared" si="199"/>
        <v>0</v>
      </c>
      <c r="AH242" s="205">
        <f t="shared" si="199"/>
        <v>0</v>
      </c>
      <c r="AI242" s="205">
        <f t="shared" si="199"/>
        <v>0</v>
      </c>
      <c r="AJ242" s="205">
        <f t="shared" si="199"/>
        <v>0</v>
      </c>
    </row>
    <row r="243" spans="2:36" s="1" customFormat="1">
      <c r="B243" s="188"/>
      <c r="C243" s="188"/>
      <c r="D243" s="188"/>
      <c r="E243" s="188"/>
      <c r="F243" s="188"/>
      <c r="G243" s="205"/>
      <c r="H243" s="205"/>
      <c r="I243" s="205"/>
      <c r="J243" s="205"/>
      <c r="K243" s="205"/>
      <c r="L243" s="205"/>
      <c r="M243" s="205"/>
      <c r="N243" s="205"/>
      <c r="O243" s="205"/>
      <c r="P243" s="205"/>
      <c r="Q243" s="205"/>
      <c r="R243" s="205"/>
      <c r="S243" s="205"/>
      <c r="T243" s="205"/>
      <c r="U243" s="205"/>
      <c r="V243" s="205"/>
      <c r="W243" s="205"/>
      <c r="X243" s="205"/>
      <c r="Y243" s="205"/>
      <c r="Z243" s="205"/>
      <c r="AA243" s="205"/>
      <c r="AB243" s="205"/>
      <c r="AC243" s="205"/>
      <c r="AD243" s="205"/>
      <c r="AE243" s="205"/>
      <c r="AF243" s="205"/>
      <c r="AG243" s="205"/>
      <c r="AH243" s="205"/>
      <c r="AI243" s="205"/>
      <c r="AJ243" s="205"/>
    </row>
    <row r="244" spans="2:36" s="1" customFormat="1">
      <c r="B244" s="264" t="s">
        <v>413</v>
      </c>
      <c r="C244" s="264"/>
      <c r="D244" s="264"/>
      <c r="E244" s="188"/>
      <c r="F244" s="188"/>
      <c r="G244" s="205"/>
      <c r="H244" s="205"/>
      <c r="I244" s="205"/>
      <c r="J244" s="205"/>
      <c r="K244" s="205"/>
      <c r="L244" s="205"/>
      <c r="M244" s="205"/>
      <c r="N244" s="205"/>
      <c r="O244" s="205"/>
      <c r="P244" s="205"/>
      <c r="Q244" s="205"/>
      <c r="R244" s="205"/>
      <c r="S244" s="205"/>
      <c r="T244" s="205"/>
      <c r="U244" s="205"/>
      <c r="V244" s="205"/>
      <c r="W244" s="205"/>
      <c r="X244" s="205"/>
      <c r="Y244" s="205"/>
      <c r="Z244" s="205"/>
      <c r="AA244" s="205"/>
      <c r="AB244" s="205"/>
      <c r="AC244" s="205"/>
      <c r="AD244" s="205"/>
      <c r="AE244" s="205"/>
      <c r="AF244" s="205"/>
      <c r="AG244" s="205"/>
      <c r="AH244" s="205"/>
      <c r="AI244" s="205"/>
      <c r="AJ244" s="205"/>
    </row>
    <row r="245" spans="2:36" s="1" customFormat="1">
      <c r="B245" s="188" t="str">
        <f>B69</f>
        <v>State Income Taxes Saved / (Paid), before ITC/PTC</v>
      </c>
      <c r="C245" s="188"/>
      <c r="D245" s="188"/>
      <c r="E245" s="188"/>
      <c r="F245" s="188"/>
      <c r="G245" s="205" t="str">
        <f>IF('Active Inputs'!$G$76="as generated","N/A",'Cash Flow'!G69)</f>
        <v>N/A</v>
      </c>
      <c r="H245" s="205" t="str">
        <f>IF('Active Inputs'!$G$76="as generated","N/A",'Cash Flow'!H69)</f>
        <v>N/A</v>
      </c>
      <c r="I245" s="205" t="str">
        <f>IF('Active Inputs'!$G$76="as generated","N/A",'Cash Flow'!I69)</f>
        <v>N/A</v>
      </c>
      <c r="J245" s="205" t="str">
        <f>IF('Active Inputs'!$G$76="as generated","N/A",'Cash Flow'!J69)</f>
        <v>N/A</v>
      </c>
      <c r="K245" s="205" t="str">
        <f>IF('Active Inputs'!$G$76="as generated","N/A",'Cash Flow'!K69)</f>
        <v>N/A</v>
      </c>
      <c r="L245" s="205" t="str">
        <f>IF('Active Inputs'!$G$76="as generated","N/A",'Cash Flow'!L69)</f>
        <v>N/A</v>
      </c>
      <c r="M245" s="205" t="str">
        <f>IF('Active Inputs'!$G$76="as generated","N/A",'Cash Flow'!M69)</f>
        <v>N/A</v>
      </c>
      <c r="N245" s="205" t="str">
        <f>IF('Active Inputs'!$G$76="as generated","N/A",'Cash Flow'!N69)</f>
        <v>N/A</v>
      </c>
      <c r="O245" s="205" t="str">
        <f>IF('Active Inputs'!$G$76="as generated","N/A",'Cash Flow'!O69)</f>
        <v>N/A</v>
      </c>
      <c r="P245" s="205" t="str">
        <f>IF('Active Inputs'!$G$76="as generated","N/A",'Cash Flow'!P69)</f>
        <v>N/A</v>
      </c>
      <c r="Q245" s="205" t="str">
        <f>IF('Active Inputs'!$G$76="as generated","N/A",'Cash Flow'!Q69)</f>
        <v>N/A</v>
      </c>
      <c r="R245" s="205" t="str">
        <f>IF('Active Inputs'!$G$76="as generated","N/A",'Cash Flow'!R69)</f>
        <v>N/A</v>
      </c>
      <c r="S245" s="205" t="str">
        <f>IF('Active Inputs'!$G$76="as generated","N/A",'Cash Flow'!S69)</f>
        <v>N/A</v>
      </c>
      <c r="T245" s="205" t="str">
        <f>IF('Active Inputs'!$G$76="as generated","N/A",'Cash Flow'!T69)</f>
        <v>N/A</v>
      </c>
      <c r="U245" s="205" t="str">
        <f>IF('Active Inputs'!$G$76="as generated","N/A",'Cash Flow'!U69)</f>
        <v>N/A</v>
      </c>
      <c r="V245" s="205" t="str">
        <f>IF('Active Inputs'!$G$76="as generated","N/A",'Cash Flow'!V69)</f>
        <v>N/A</v>
      </c>
      <c r="W245" s="205" t="str">
        <f>IF('Active Inputs'!$G$76="as generated","N/A",'Cash Flow'!W69)</f>
        <v>N/A</v>
      </c>
      <c r="X245" s="205" t="str">
        <f>IF('Active Inputs'!$G$76="as generated","N/A",'Cash Flow'!X69)</f>
        <v>N/A</v>
      </c>
      <c r="Y245" s="205" t="str">
        <f>IF('Active Inputs'!$G$76="as generated","N/A",'Cash Flow'!Y69)</f>
        <v>N/A</v>
      </c>
      <c r="Z245" s="205" t="str">
        <f>IF('Active Inputs'!$G$76="as generated","N/A",'Cash Flow'!Z69)</f>
        <v>N/A</v>
      </c>
      <c r="AA245" s="205" t="str">
        <f>IF('Active Inputs'!$G$76="as generated","N/A",'Cash Flow'!AA69)</f>
        <v>N/A</v>
      </c>
      <c r="AB245" s="205" t="str">
        <f>IF('Active Inputs'!$G$76="as generated","N/A",'Cash Flow'!AB69)</f>
        <v>N/A</v>
      </c>
      <c r="AC245" s="205" t="str">
        <f>IF('Active Inputs'!$G$76="as generated","N/A",'Cash Flow'!AC69)</f>
        <v>N/A</v>
      </c>
      <c r="AD245" s="205" t="str">
        <f>IF('Active Inputs'!$G$76="as generated","N/A",'Cash Flow'!AD69)</f>
        <v>N/A</v>
      </c>
      <c r="AE245" s="205" t="str">
        <f>IF('Active Inputs'!$G$76="as generated","N/A",'Cash Flow'!AE69)</f>
        <v>N/A</v>
      </c>
      <c r="AF245" s="205" t="str">
        <f>IF('Active Inputs'!$G$76="as generated","N/A",'Cash Flow'!AF69)</f>
        <v>N/A</v>
      </c>
      <c r="AG245" s="205" t="str">
        <f>IF('Active Inputs'!$G$76="as generated","N/A",'Cash Flow'!AG69)</f>
        <v>N/A</v>
      </c>
      <c r="AH245" s="205" t="str">
        <f>IF('Active Inputs'!$G$76="as generated","N/A",'Cash Flow'!AH69)</f>
        <v>N/A</v>
      </c>
      <c r="AI245" s="205" t="str">
        <f>IF('Active Inputs'!$G$76="as generated","N/A",'Cash Flow'!AI69)</f>
        <v>N/A</v>
      </c>
      <c r="AJ245" s="205" t="str">
        <f>IF('Active Inputs'!$G$76="as generated","N/A",'Cash Flow'!AJ69)</f>
        <v>N/A</v>
      </c>
    </row>
    <row r="246" spans="2:36" s="1" customFormat="1">
      <c r="B246" s="188"/>
      <c r="C246" s="188"/>
      <c r="D246" s="188"/>
      <c r="E246" s="188"/>
      <c r="F246" s="188"/>
      <c r="G246" s="205"/>
      <c r="H246" s="205"/>
      <c r="I246" s="205"/>
      <c r="J246" s="205"/>
      <c r="K246" s="205"/>
      <c r="L246" s="205"/>
      <c r="M246" s="205"/>
      <c r="N246" s="205"/>
      <c r="O246" s="205"/>
      <c r="P246" s="205"/>
      <c r="Q246" s="205"/>
      <c r="R246" s="205"/>
      <c r="S246" s="205"/>
      <c r="T246" s="205"/>
      <c r="U246" s="205"/>
      <c r="V246" s="205"/>
      <c r="W246" s="205"/>
      <c r="X246" s="205"/>
      <c r="Y246" s="205"/>
      <c r="Z246" s="205"/>
      <c r="AA246" s="205"/>
      <c r="AB246" s="205"/>
      <c r="AC246" s="205"/>
      <c r="AD246" s="205"/>
      <c r="AE246" s="205"/>
      <c r="AF246" s="205"/>
      <c r="AG246" s="205"/>
      <c r="AH246" s="205"/>
      <c r="AI246" s="205"/>
      <c r="AJ246" s="205"/>
    </row>
    <row r="247" spans="2:36" s="1" customFormat="1">
      <c r="B247" s="188" t="s">
        <v>414</v>
      </c>
      <c r="C247" s="188"/>
      <c r="D247" s="188"/>
      <c r="E247" s="188"/>
      <c r="F247" s="188"/>
      <c r="G247" s="205">
        <v>0</v>
      </c>
      <c r="H247" s="205">
        <f>IF('Active Inputs'!$G$76="as generated",0,G250)</f>
        <v>0</v>
      </c>
      <c r="I247" s="205">
        <f>IF('Active Inputs'!$G$76="as generated",0,H250)</f>
        <v>0</v>
      </c>
      <c r="J247" s="205">
        <f>IF('Active Inputs'!$G$76="as generated",0,I250)</f>
        <v>0</v>
      </c>
      <c r="K247" s="205">
        <f>IF('Active Inputs'!$G$76="as generated",0,J250)</f>
        <v>0</v>
      </c>
      <c r="L247" s="205">
        <f>IF('Active Inputs'!$G$76="as generated",0,K250)</f>
        <v>0</v>
      </c>
      <c r="M247" s="205">
        <f>IF('Active Inputs'!$G$76="as generated",0,L250)</f>
        <v>0</v>
      </c>
      <c r="N247" s="205">
        <f>IF('Active Inputs'!$G$76="as generated",0,M250)</f>
        <v>0</v>
      </c>
      <c r="O247" s="205">
        <f>IF('Active Inputs'!$G$76="as generated",0,N250)</f>
        <v>0</v>
      </c>
      <c r="P247" s="205">
        <f>IF('Active Inputs'!$G$76="as generated",0,O250)</f>
        <v>0</v>
      </c>
      <c r="Q247" s="205">
        <f>IF('Active Inputs'!$G$76="as generated",0,P250)</f>
        <v>0</v>
      </c>
      <c r="R247" s="205">
        <f>IF('Active Inputs'!$G$76="as generated",0,Q250)</f>
        <v>0</v>
      </c>
      <c r="S247" s="205">
        <f>IF('Active Inputs'!$G$76="as generated",0,R250)</f>
        <v>0</v>
      </c>
      <c r="T247" s="205">
        <f>IF('Active Inputs'!$G$76="as generated",0,S250)</f>
        <v>0</v>
      </c>
      <c r="U247" s="205">
        <f>IF('Active Inputs'!$G$76="as generated",0,T250)</f>
        <v>0</v>
      </c>
      <c r="V247" s="205">
        <f>IF('Active Inputs'!$G$76="as generated",0,U250)</f>
        <v>0</v>
      </c>
      <c r="W247" s="205">
        <f>IF('Active Inputs'!$G$76="as generated",0,V250)</f>
        <v>0</v>
      </c>
      <c r="X247" s="205">
        <f>IF('Active Inputs'!$G$76="as generated",0,W250)</f>
        <v>0</v>
      </c>
      <c r="Y247" s="205">
        <f>IF('Active Inputs'!$G$76="as generated",0,X250)</f>
        <v>0</v>
      </c>
      <c r="Z247" s="205">
        <f>IF('Active Inputs'!$G$76="as generated",0,Y250)</f>
        <v>0</v>
      </c>
      <c r="AA247" s="205">
        <f>IF('Active Inputs'!$G$76="as generated",0,Z250)</f>
        <v>0</v>
      </c>
      <c r="AB247" s="205">
        <f>IF('Active Inputs'!$G$76="as generated",0,AA250)</f>
        <v>0</v>
      </c>
      <c r="AC247" s="205">
        <f>IF('Active Inputs'!$G$76="as generated",0,AB250)</f>
        <v>0</v>
      </c>
      <c r="AD247" s="205">
        <f>IF('Active Inputs'!$G$76="as generated",0,AC250)</f>
        <v>0</v>
      </c>
      <c r="AE247" s="205">
        <f>IF('Active Inputs'!$G$76="as generated",0,AD250)</f>
        <v>0</v>
      </c>
      <c r="AF247" s="205">
        <f>IF('Active Inputs'!$G$76="as generated",0,AE250)</f>
        <v>0</v>
      </c>
      <c r="AG247" s="205">
        <f>IF('Active Inputs'!$G$76="as generated",0,AF250)</f>
        <v>0</v>
      </c>
      <c r="AH247" s="205">
        <f>IF('Active Inputs'!$G$76="as generated",0,AG250)</f>
        <v>0</v>
      </c>
      <c r="AI247" s="205">
        <f>IF('Active Inputs'!$G$76="as generated",0,AH250)</f>
        <v>0</v>
      </c>
      <c r="AJ247" s="205">
        <f>IF('Active Inputs'!$G$76="as generated",0,AI250)</f>
        <v>0</v>
      </c>
    </row>
    <row r="248" spans="2:36" s="1" customFormat="1">
      <c r="B248" s="188" t="s">
        <v>415</v>
      </c>
      <c r="C248" s="188"/>
      <c r="D248" s="188"/>
      <c r="E248" s="188"/>
      <c r="F248" s="188"/>
      <c r="G248" s="205">
        <f>IF('Active Inputs'!$G$76="as generated",0,IF(G245&lt;=0,G242,0))</f>
        <v>0</v>
      </c>
      <c r="H248" s="205">
        <f>IF('Active Inputs'!$G$76="as generated",0,IF(H245&lt;=0,H242,0))</f>
        <v>0</v>
      </c>
      <c r="I248" s="205">
        <f>IF('Active Inputs'!$G$76="as generated",0,IF(I245&lt;=0,I242,0))</f>
        <v>0</v>
      </c>
      <c r="J248" s="205">
        <f>IF('Active Inputs'!$G$76="as generated",0,IF(J245&lt;=0,J242,0))</f>
        <v>0</v>
      </c>
      <c r="K248" s="205">
        <f>IF('Active Inputs'!$G$76="as generated",0,IF(K245&lt;=0,K242,0))</f>
        <v>0</v>
      </c>
      <c r="L248" s="205">
        <f>IF('Active Inputs'!$G$76="as generated",0,IF(L245&lt;=0,L242,0))</f>
        <v>0</v>
      </c>
      <c r="M248" s="205">
        <f>IF('Active Inputs'!$G$76="as generated",0,IF(M245&lt;=0,M242,0))</f>
        <v>0</v>
      </c>
      <c r="N248" s="205">
        <f>IF('Active Inputs'!$G$76="as generated",0,IF(N245&lt;=0,N242,0))</f>
        <v>0</v>
      </c>
      <c r="O248" s="205">
        <f>IF('Active Inputs'!$G$76="as generated",0,IF(O245&lt;=0,O242,0))</f>
        <v>0</v>
      </c>
      <c r="P248" s="205">
        <f>IF('Active Inputs'!$G$76="as generated",0,IF(P245&lt;=0,P242,0))</f>
        <v>0</v>
      </c>
      <c r="Q248" s="205">
        <f>IF('Active Inputs'!$G$76="as generated",0,IF(Q245&lt;=0,Q242,0))</f>
        <v>0</v>
      </c>
      <c r="R248" s="205">
        <f>IF('Active Inputs'!$G$76="as generated",0,IF(R245&lt;=0,R242,0))</f>
        <v>0</v>
      </c>
      <c r="S248" s="205">
        <f>IF('Active Inputs'!$G$76="as generated",0,IF(S245&lt;=0,S242,0))</f>
        <v>0</v>
      </c>
      <c r="T248" s="205">
        <f>IF('Active Inputs'!$G$76="as generated",0,IF(T245&lt;=0,T242,0))</f>
        <v>0</v>
      </c>
      <c r="U248" s="205">
        <f>IF('Active Inputs'!$G$76="as generated",0,IF(U245&lt;=0,U242,0))</f>
        <v>0</v>
      </c>
      <c r="V248" s="205">
        <f>IF('Active Inputs'!$G$76="as generated",0,IF(V245&lt;=0,V242,0))</f>
        <v>0</v>
      </c>
      <c r="W248" s="205">
        <f>IF('Active Inputs'!$G$76="as generated",0,IF(W245&lt;=0,W242,0))</f>
        <v>0</v>
      </c>
      <c r="X248" s="205">
        <f>IF('Active Inputs'!$G$76="as generated",0,IF(X245&lt;=0,X242,0))</f>
        <v>0</v>
      </c>
      <c r="Y248" s="205">
        <f>IF('Active Inputs'!$G$76="as generated",0,IF(Y245&lt;=0,Y242,0))</f>
        <v>0</v>
      </c>
      <c r="Z248" s="205">
        <f>IF('Active Inputs'!$G$76="as generated",0,IF(Z245&lt;=0,Z242,0))</f>
        <v>0</v>
      </c>
      <c r="AA248" s="205">
        <f>IF('Active Inputs'!$G$76="as generated",0,IF(AA245&lt;=0,AA242,0))</f>
        <v>0</v>
      </c>
      <c r="AB248" s="205">
        <f>IF('Active Inputs'!$G$76="as generated",0,IF(AB245&lt;=0,AB242,0))</f>
        <v>0</v>
      </c>
      <c r="AC248" s="205">
        <f>IF('Active Inputs'!$G$76="as generated",0,IF(AC245&lt;=0,AC242,0))</f>
        <v>0</v>
      </c>
      <c r="AD248" s="205">
        <f>IF('Active Inputs'!$G$76="as generated",0,IF(AD245&lt;=0,AD242,0))</f>
        <v>0</v>
      </c>
      <c r="AE248" s="205">
        <f>IF('Active Inputs'!$G$76="as generated",0,IF(AE245&lt;=0,AE242,0))</f>
        <v>0</v>
      </c>
      <c r="AF248" s="205">
        <f>IF('Active Inputs'!$G$76="as generated",0,IF(AF245&lt;=0,AF242,0))</f>
        <v>0</v>
      </c>
      <c r="AG248" s="205">
        <f>IF('Active Inputs'!$G$76="as generated",0,IF(AG245&lt;=0,AG242,0))</f>
        <v>0</v>
      </c>
      <c r="AH248" s="205">
        <f>IF('Active Inputs'!$G$76="as generated",0,IF(AH245&lt;=0,AH242,0))</f>
        <v>0</v>
      </c>
      <c r="AI248" s="205">
        <f>IF('Active Inputs'!$G$76="as generated",0,IF(AI245&lt;=0,AI242,0))</f>
        <v>0</v>
      </c>
      <c r="AJ248" s="205">
        <f>IF('Active Inputs'!$G$76="as generated",0,IF(AJ245&lt;=0,AJ242,0))</f>
        <v>0</v>
      </c>
    </row>
    <row r="249" spans="2:36" s="1" customFormat="1">
      <c r="B249" s="188" t="s">
        <v>416</v>
      </c>
      <c r="C249" s="188"/>
      <c r="D249" s="188"/>
      <c r="E249" s="188"/>
      <c r="F249" s="188"/>
      <c r="G249" s="205">
        <f>IF('Active Inputs'!$G$76="as generated",0,IF(G$245&lt;0,MAX(G$245,-F$250),0))</f>
        <v>0</v>
      </c>
      <c r="H249" s="205">
        <f>IF('Active Inputs'!$G$76="as generated",0,IF(H$245&lt;0,MAX(H$245,-G$250),0))</f>
        <v>0</v>
      </c>
      <c r="I249" s="205">
        <f>IF('Active Inputs'!$G$76="as generated",0,IF(I$245&lt;0,MAX(I$245,-H$250),0))</f>
        <v>0</v>
      </c>
      <c r="J249" s="205">
        <f>IF('Active Inputs'!$G$76="as generated",0,IF(J$245&lt;0,MAX(J$245,-I$250),0))</f>
        <v>0</v>
      </c>
      <c r="K249" s="205">
        <f>IF('Active Inputs'!$G$76="as generated",0,IF(K$245&lt;0,MAX(K$245,-J$250),0))</f>
        <v>0</v>
      </c>
      <c r="L249" s="205">
        <f>IF('Active Inputs'!$G$76="as generated",0,IF(L$245&lt;0,MAX(L$245,-K$250),0))</f>
        <v>0</v>
      </c>
      <c r="M249" s="205">
        <f>IF('Active Inputs'!$G$76="as generated",0,IF(M$245&lt;0,MAX(M$245,-L$250),0))</f>
        <v>0</v>
      </c>
      <c r="N249" s="205">
        <f>IF('Active Inputs'!$G$76="as generated",0,IF(N$245&lt;0,MAX(N$245,-M$250),0))</f>
        <v>0</v>
      </c>
      <c r="O249" s="205">
        <f>IF('Active Inputs'!$G$76="as generated",0,IF(O$245&lt;0,MAX(O$245,-N$250),0))</f>
        <v>0</v>
      </c>
      <c r="P249" s="205">
        <f>IF('Active Inputs'!$G$76="as generated",0,IF(P$245&lt;0,MAX(P$245,-O$250),0))</f>
        <v>0</v>
      </c>
      <c r="Q249" s="205">
        <f>IF('Active Inputs'!$G$76="as generated",0,IF(Q$245&lt;0,MAX(Q$245,-P$250),0))</f>
        <v>0</v>
      </c>
      <c r="R249" s="205">
        <f>IF('Active Inputs'!$G$76="as generated",0,IF(R$245&lt;0,MAX(R$245,-Q$250),0))</f>
        <v>0</v>
      </c>
      <c r="S249" s="205">
        <f>IF('Active Inputs'!$G$76="as generated",0,IF(S$245&lt;0,MAX(S$245,-R$250),0))</f>
        <v>0</v>
      </c>
      <c r="T249" s="205">
        <f>IF('Active Inputs'!$G$76="as generated",0,IF(T$245&lt;0,MAX(T$245,-S$250),0))</f>
        <v>0</v>
      </c>
      <c r="U249" s="205">
        <f>IF('Active Inputs'!$G$76="as generated",0,IF(U$245&lt;0,MAX(U$245,-T$250),0))</f>
        <v>0</v>
      </c>
      <c r="V249" s="205">
        <f>IF('Active Inputs'!$G$76="as generated",0,IF(V$245&lt;0,MAX(V$245,-U$250),0))</f>
        <v>0</v>
      </c>
      <c r="W249" s="205">
        <f>IF('Active Inputs'!$G$76="as generated",0,IF(W$245&lt;0,MAX(W$245,-V$250),0))</f>
        <v>0</v>
      </c>
      <c r="X249" s="205">
        <f>IF('Active Inputs'!$G$76="as generated",0,IF(X$245&lt;0,MAX(X$245,-W$250),0))</f>
        <v>0</v>
      </c>
      <c r="Y249" s="205">
        <f>IF('Active Inputs'!$G$76="as generated",0,IF(Y$245&lt;0,MAX(Y$245,-X$250),0))</f>
        <v>0</v>
      </c>
      <c r="Z249" s="205">
        <f>IF('Active Inputs'!$G$76="as generated",0,IF(Z$245&lt;0,MAX(Z$245,-Y$250),0))</f>
        <v>0</v>
      </c>
      <c r="AA249" s="205">
        <f>IF('Active Inputs'!$G$76="as generated",0,IF(AA$245&lt;0,MAX(AA$245,-Z$250),0))</f>
        <v>0</v>
      </c>
      <c r="AB249" s="205">
        <f>IF('Active Inputs'!$G$76="as generated",0,IF(AB$245&lt;0,MAX(AB$245,-AA$250),0))</f>
        <v>0</v>
      </c>
      <c r="AC249" s="205">
        <f>IF('Active Inputs'!$G$76="as generated",0,IF(AC$245&lt;0,MAX(AC$245,-AB$250),0))</f>
        <v>0</v>
      </c>
      <c r="AD249" s="205">
        <f>IF('Active Inputs'!$G$76="as generated",0,IF(AD$245&lt;0,MAX(AD$245,-AC$250),0))</f>
        <v>0</v>
      </c>
      <c r="AE249" s="205">
        <f>IF('Active Inputs'!$G$76="as generated",0,IF(AE$245&lt;0,MAX(AE$245,-AD$250),0))</f>
        <v>0</v>
      </c>
      <c r="AF249" s="205">
        <f>IF('Active Inputs'!$G$76="as generated",0,IF(AF$245&lt;0,MAX(AF$245,-AE$250),0))</f>
        <v>0</v>
      </c>
      <c r="AG249" s="205">
        <f>IF('Active Inputs'!$G$76="as generated",0,IF(AG$245&lt;0,MAX(AG$245,-AF$250),0))</f>
        <v>0</v>
      </c>
      <c r="AH249" s="205">
        <f>IF('Active Inputs'!$G$76="as generated",0,IF(AH$245&lt;0,MAX(AH$245,-AG$250),0))</f>
        <v>0</v>
      </c>
      <c r="AI249" s="205">
        <f>IF('Active Inputs'!$G$76="as generated",0,IF(AI$245&lt;0,MAX(AI$245,-AH$250),0))</f>
        <v>0</v>
      </c>
      <c r="AJ249" s="205">
        <f>IF('Active Inputs'!$G$76="as generated",0,IF(AJ$245&lt;0,MAX(AJ$245,-AI$250),0))</f>
        <v>0</v>
      </c>
    </row>
    <row r="250" spans="2:36" s="1" customFormat="1">
      <c r="B250" s="188" t="s">
        <v>417</v>
      </c>
      <c r="C250" s="188"/>
      <c r="D250" s="188"/>
      <c r="E250" s="188"/>
      <c r="F250" s="205">
        <v>0</v>
      </c>
      <c r="G250" s="205">
        <f>SUM(G247:G249)</f>
        <v>0</v>
      </c>
      <c r="H250" s="205">
        <f t="shared" ref="H250:AJ250" si="200">SUM(H247:H249)</f>
        <v>0</v>
      </c>
      <c r="I250" s="205">
        <f t="shared" si="200"/>
        <v>0</v>
      </c>
      <c r="J250" s="205">
        <f t="shared" si="200"/>
        <v>0</v>
      </c>
      <c r="K250" s="205">
        <f t="shared" si="200"/>
        <v>0</v>
      </c>
      <c r="L250" s="205">
        <f t="shared" si="200"/>
        <v>0</v>
      </c>
      <c r="M250" s="205">
        <f t="shared" si="200"/>
        <v>0</v>
      </c>
      <c r="N250" s="205">
        <f t="shared" si="200"/>
        <v>0</v>
      </c>
      <c r="O250" s="205">
        <f t="shared" si="200"/>
        <v>0</v>
      </c>
      <c r="P250" s="205">
        <f t="shared" si="200"/>
        <v>0</v>
      </c>
      <c r="Q250" s="205">
        <f t="shared" si="200"/>
        <v>0</v>
      </c>
      <c r="R250" s="205">
        <f t="shared" si="200"/>
        <v>0</v>
      </c>
      <c r="S250" s="205">
        <f t="shared" si="200"/>
        <v>0</v>
      </c>
      <c r="T250" s="205">
        <f t="shared" si="200"/>
        <v>0</v>
      </c>
      <c r="U250" s="205">
        <f t="shared" si="200"/>
        <v>0</v>
      </c>
      <c r="V250" s="205">
        <f t="shared" si="200"/>
        <v>0</v>
      </c>
      <c r="W250" s="205">
        <f t="shared" si="200"/>
        <v>0</v>
      </c>
      <c r="X250" s="205">
        <f t="shared" si="200"/>
        <v>0</v>
      </c>
      <c r="Y250" s="205">
        <f t="shared" si="200"/>
        <v>0</v>
      </c>
      <c r="Z250" s="205">
        <f t="shared" si="200"/>
        <v>0</v>
      </c>
      <c r="AA250" s="205">
        <f t="shared" si="200"/>
        <v>0</v>
      </c>
      <c r="AB250" s="205">
        <f t="shared" si="200"/>
        <v>0</v>
      </c>
      <c r="AC250" s="205">
        <f t="shared" si="200"/>
        <v>0</v>
      </c>
      <c r="AD250" s="205">
        <f t="shared" si="200"/>
        <v>0</v>
      </c>
      <c r="AE250" s="205">
        <f t="shared" si="200"/>
        <v>0</v>
      </c>
      <c r="AF250" s="205">
        <f t="shared" si="200"/>
        <v>0</v>
      </c>
      <c r="AG250" s="205">
        <f t="shared" si="200"/>
        <v>0</v>
      </c>
      <c r="AH250" s="205">
        <f t="shared" si="200"/>
        <v>0</v>
      </c>
      <c r="AI250" s="205">
        <f t="shared" si="200"/>
        <v>0</v>
      </c>
      <c r="AJ250" s="205">
        <f t="shared" si="200"/>
        <v>0</v>
      </c>
    </row>
    <row r="251" spans="2:36" s="1" customFormat="1" ht="16.5" thickBot="1">
      <c r="B251" s="207"/>
      <c r="C251" s="207"/>
      <c r="D251" s="207"/>
      <c r="E251" s="207"/>
      <c r="F251" s="207"/>
      <c r="G251" s="208"/>
      <c r="H251" s="209"/>
      <c r="I251" s="207"/>
      <c r="J251" s="207"/>
      <c r="K251" s="207"/>
      <c r="L251" s="207"/>
      <c r="M251" s="207"/>
      <c r="N251" s="207"/>
      <c r="O251" s="207"/>
      <c r="P251" s="207"/>
      <c r="Q251" s="207"/>
      <c r="R251" s="207"/>
      <c r="S251" s="207"/>
      <c r="T251" s="207"/>
      <c r="U251" s="207"/>
      <c r="V251" s="207"/>
      <c r="W251" s="207"/>
      <c r="X251" s="207"/>
      <c r="Y251" s="207"/>
      <c r="Z251" s="207"/>
      <c r="AA251" s="207"/>
      <c r="AB251" s="207"/>
      <c r="AC251" s="207"/>
      <c r="AD251" s="207"/>
      <c r="AE251" s="207"/>
      <c r="AF251" s="207"/>
      <c r="AG251" s="207"/>
      <c r="AH251" s="207"/>
      <c r="AI251" s="207"/>
      <c r="AJ251" s="207"/>
    </row>
    <row r="252" spans="2:36">
      <c r="B252" s="225"/>
      <c r="C252" s="225"/>
      <c r="D252" s="225"/>
      <c r="E252" s="225"/>
      <c r="F252" s="225"/>
      <c r="G252" s="225"/>
      <c r="H252" s="225"/>
      <c r="I252" s="225"/>
      <c r="J252" s="225"/>
      <c r="K252" s="225"/>
      <c r="L252" s="225"/>
      <c r="M252" s="225"/>
      <c r="N252" s="225"/>
      <c r="O252" s="225"/>
      <c r="P252" s="225"/>
      <c r="Q252" s="225"/>
      <c r="R252" s="225"/>
      <c r="S252" s="225"/>
      <c r="T252" s="225"/>
      <c r="U252" s="225"/>
      <c r="V252" s="225"/>
      <c r="W252" s="225"/>
      <c r="X252" s="225"/>
      <c r="Y252" s="225"/>
      <c r="Z252" s="225"/>
      <c r="AA252" s="225"/>
      <c r="AB252" s="225"/>
      <c r="AC252" s="225"/>
      <c r="AD252" s="225"/>
      <c r="AE252" s="225"/>
      <c r="AF252" s="225"/>
      <c r="AG252" s="225"/>
      <c r="AH252" s="225"/>
      <c r="AI252" s="225"/>
      <c r="AJ252" s="225"/>
    </row>
    <row r="253" spans="2:36" ht="15.75">
      <c r="B253" s="187" t="s">
        <v>421</v>
      </c>
      <c r="C253" s="187"/>
      <c r="D253" s="187"/>
      <c r="E253" s="225"/>
      <c r="F253" s="225"/>
      <c r="G253" s="225"/>
      <c r="H253" s="225"/>
      <c r="I253" s="225"/>
      <c r="J253" s="225"/>
      <c r="K253" s="225"/>
      <c r="L253" s="225"/>
      <c r="M253" s="225"/>
      <c r="N253" s="225"/>
      <c r="O253" s="225"/>
      <c r="P253" s="225"/>
      <c r="Q253" s="225"/>
      <c r="R253" s="225"/>
      <c r="S253" s="225"/>
      <c r="T253" s="225"/>
      <c r="U253" s="225"/>
      <c r="V253" s="225"/>
      <c r="W253" s="225"/>
      <c r="X253" s="225"/>
      <c r="Y253" s="225"/>
      <c r="Z253" s="225"/>
      <c r="AA253" s="225"/>
      <c r="AB253" s="225"/>
      <c r="AC253" s="225"/>
      <c r="AD253" s="225"/>
      <c r="AE253" s="225"/>
      <c r="AF253" s="225"/>
      <c r="AG253" s="225"/>
      <c r="AH253" s="225"/>
      <c r="AI253" s="225"/>
      <c r="AJ253" s="225"/>
    </row>
    <row r="254" spans="2:36" ht="15.75">
      <c r="B254" s="188" t="s">
        <v>357</v>
      </c>
      <c r="C254" s="204"/>
      <c r="D254" s="204"/>
      <c r="E254" s="225"/>
      <c r="F254" s="236">
        <v>0</v>
      </c>
      <c r="G254" s="221">
        <f>F262</f>
        <v>0</v>
      </c>
      <c r="H254" s="221">
        <f t="shared" ref="H254:AI254" si="201">G262</f>
        <v>0</v>
      </c>
      <c r="I254" s="221">
        <f t="shared" si="201"/>
        <v>10500</v>
      </c>
      <c r="J254" s="221">
        <f t="shared" si="201"/>
        <v>21000</v>
      </c>
      <c r="K254" s="221">
        <f t="shared" si="201"/>
        <v>31500</v>
      </c>
      <c r="L254" s="221">
        <f t="shared" si="201"/>
        <v>42000</v>
      </c>
      <c r="M254" s="221">
        <f t="shared" si="201"/>
        <v>52500</v>
      </c>
      <c r="N254" s="221">
        <f t="shared" si="201"/>
        <v>63000</v>
      </c>
      <c r="O254" s="221">
        <f t="shared" si="201"/>
        <v>73500</v>
      </c>
      <c r="P254" s="221">
        <f t="shared" si="201"/>
        <v>84000</v>
      </c>
      <c r="Q254" s="221">
        <f t="shared" si="201"/>
        <v>94500</v>
      </c>
      <c r="R254" s="221">
        <f t="shared" si="201"/>
        <v>105000</v>
      </c>
      <c r="S254" s="221">
        <f t="shared" si="201"/>
        <v>0</v>
      </c>
      <c r="T254" s="221">
        <f t="shared" si="201"/>
        <v>0</v>
      </c>
      <c r="U254" s="221">
        <f t="shared" si="201"/>
        <v>0</v>
      </c>
      <c r="V254" s="221">
        <f t="shared" si="201"/>
        <v>0</v>
      </c>
      <c r="W254" s="221">
        <f t="shared" si="201"/>
        <v>0</v>
      </c>
      <c r="X254" s="221">
        <f t="shared" si="201"/>
        <v>0</v>
      </c>
      <c r="Y254" s="221">
        <f t="shared" si="201"/>
        <v>0</v>
      </c>
      <c r="Z254" s="221">
        <f t="shared" si="201"/>
        <v>0</v>
      </c>
      <c r="AA254" s="221">
        <f t="shared" si="201"/>
        <v>0</v>
      </c>
      <c r="AB254" s="221">
        <f t="shared" si="201"/>
        <v>0</v>
      </c>
      <c r="AC254" s="221">
        <f t="shared" si="201"/>
        <v>0</v>
      </c>
      <c r="AD254" s="221">
        <f t="shared" si="201"/>
        <v>0</v>
      </c>
      <c r="AE254" s="221">
        <f t="shared" si="201"/>
        <v>0</v>
      </c>
      <c r="AF254" s="221">
        <f t="shared" si="201"/>
        <v>0</v>
      </c>
      <c r="AG254" s="221">
        <f t="shared" si="201"/>
        <v>0</v>
      </c>
      <c r="AH254" s="221">
        <f t="shared" si="201"/>
        <v>0</v>
      </c>
      <c r="AI254" s="221">
        <f t="shared" si="201"/>
        <v>0</v>
      </c>
      <c r="AJ254" s="221">
        <f>AI262</f>
        <v>0</v>
      </c>
    </row>
    <row r="255" spans="2:36" ht="15.75">
      <c r="B255" s="204" t="s">
        <v>146</v>
      </c>
      <c r="C255" s="204"/>
      <c r="D255" s="204"/>
      <c r="E255" s="225"/>
      <c r="F255" s="221">
        <f>'Active Inputs'!$Q$68</f>
        <v>0</v>
      </c>
      <c r="G255" s="221">
        <f>IF(G$2='Active Inputs'!$G$51+1,-$F$255,0)</f>
        <v>0</v>
      </c>
      <c r="H255" s="221">
        <f>IF(H$2='Active Inputs'!$G$51+1,-$F$255,0)</f>
        <v>0</v>
      </c>
      <c r="I255" s="221">
        <f>IF(I$2='Active Inputs'!$G$51+1,-$F$255,0)</f>
        <v>0</v>
      </c>
      <c r="J255" s="221">
        <f>IF(J$2='Active Inputs'!$G$51+1,-$F$255,0)</f>
        <v>0</v>
      </c>
      <c r="K255" s="221">
        <f>IF(K$2='Active Inputs'!$G$51+1,-$F$255,0)</f>
        <v>0</v>
      </c>
      <c r="L255" s="221">
        <f>IF(L$2='Active Inputs'!$G$51+1,-$F$255,0)</f>
        <v>0</v>
      </c>
      <c r="M255" s="221">
        <f>IF(M$2='Active Inputs'!$G$51+1,-$F$255,0)</f>
        <v>0</v>
      </c>
      <c r="N255" s="221">
        <f>IF(N$2='Active Inputs'!$G$51+1,-$F$255,0)</f>
        <v>0</v>
      </c>
      <c r="O255" s="221">
        <f>IF(O$2='Active Inputs'!$G$51+1,-$F$255,0)</f>
        <v>0</v>
      </c>
      <c r="P255" s="221">
        <f>IF(P$2='Active Inputs'!$G$51+1,-$F$255,0)</f>
        <v>0</v>
      </c>
      <c r="Q255" s="221">
        <f>IF(Q$2='Active Inputs'!$G$51+1,-$F$255,0)</f>
        <v>0</v>
      </c>
      <c r="R255" s="221">
        <f>IF(R$2='Active Inputs'!$G$51+1,-$F$255,0)</f>
        <v>0</v>
      </c>
      <c r="S255" s="221">
        <f>IF(S$2='Active Inputs'!$G$51+1,-$F$255,0)</f>
        <v>0</v>
      </c>
      <c r="T255" s="221">
        <f>IF(T$2='Active Inputs'!$G$51+1,-$F$255,0)</f>
        <v>0</v>
      </c>
      <c r="U255" s="221">
        <f>IF(U$2='Active Inputs'!$G$51+1,-$F$255,0)</f>
        <v>0</v>
      </c>
      <c r="V255" s="221">
        <f>IF(V$2='Active Inputs'!$G$51+1,-$F$255,0)</f>
        <v>0</v>
      </c>
      <c r="W255" s="221">
        <f>IF(W$2='Active Inputs'!$G$51+1,-$F$255,0)</f>
        <v>0</v>
      </c>
      <c r="X255" s="221">
        <f>IF(X$2='Active Inputs'!$G$51+1,-$F$255,0)</f>
        <v>0</v>
      </c>
      <c r="Y255" s="221">
        <f>IF(Y$2='Active Inputs'!$G$51+1,-$F$255,0)</f>
        <v>0</v>
      </c>
      <c r="Z255" s="221">
        <f>IF(Z$2='Active Inputs'!$G$51+1,-$F$255,0)</f>
        <v>0</v>
      </c>
      <c r="AA255" s="221">
        <f>IF(AA$2='Active Inputs'!$G$51+1,-$F$255,0)</f>
        <v>0</v>
      </c>
      <c r="AB255" s="221">
        <f>IF(AB$2='Active Inputs'!$G$51+1,-$F$255,0)</f>
        <v>0</v>
      </c>
      <c r="AC255" s="221">
        <f>IF(AC$2='Active Inputs'!$G$51+1,-$F$255,0)</f>
        <v>0</v>
      </c>
      <c r="AD255" s="221">
        <f>IF(AD$2='Active Inputs'!$G$51+1,-$F$255,0)</f>
        <v>0</v>
      </c>
      <c r="AE255" s="221">
        <f>IF(AE$2='Active Inputs'!$G$51+1,-$F$255,0)</f>
        <v>0</v>
      </c>
      <c r="AF255" s="221">
        <f>IF(AF$2='Active Inputs'!$G$51+1,-$F$255,0)</f>
        <v>0</v>
      </c>
      <c r="AG255" s="221">
        <f>IF(AG$2='Active Inputs'!$G$51+1,-$F$255,0)</f>
        <v>0</v>
      </c>
      <c r="AH255" s="221">
        <f>IF(AH$2='Active Inputs'!$G$51+1,-$F$255,0)</f>
        <v>0</v>
      </c>
      <c r="AI255" s="221">
        <f>IF(AI$2='Active Inputs'!$G$51+1,-$F$255,0)</f>
        <v>0</v>
      </c>
      <c r="AJ255" s="221">
        <f>IF(AJ$2='Active Inputs'!$G$51+1,-$F$255,0)</f>
        <v>0</v>
      </c>
    </row>
    <row r="256" spans="2:36" ht="15.75">
      <c r="B256" s="204" t="s">
        <v>422</v>
      </c>
      <c r="C256" s="204"/>
      <c r="D256" s="204"/>
      <c r="E256" s="225"/>
      <c r="F256" s="221">
        <f>'Active Inputs'!$Q$71</f>
        <v>0</v>
      </c>
      <c r="G256" s="221">
        <f>IF(G$2='Active Inputs'!$G$11,-$F$256,0)</f>
        <v>0</v>
      </c>
      <c r="H256" s="221">
        <f>IF(H$2='Active Inputs'!$G$11,-$F$256,0)</f>
        <v>0</v>
      </c>
      <c r="I256" s="221">
        <f>IF(I$2='Active Inputs'!$G$11,-$F$256,0)</f>
        <v>0</v>
      </c>
      <c r="J256" s="221">
        <f>IF(J$2='Active Inputs'!$G$11,-$F$256,0)</f>
        <v>0</v>
      </c>
      <c r="K256" s="221">
        <f>IF(K$2='Active Inputs'!$G$11,-$F$256,0)</f>
        <v>0</v>
      </c>
      <c r="L256" s="221">
        <f>IF(L$2='Active Inputs'!$G$11,-$F$256,0)</f>
        <v>0</v>
      </c>
      <c r="M256" s="221">
        <f>IF(M$2='Active Inputs'!$G$11,-$F$256,0)</f>
        <v>0</v>
      </c>
      <c r="N256" s="221">
        <f>IF(N$2='Active Inputs'!$G$11,-$F$256,0)</f>
        <v>0</v>
      </c>
      <c r="O256" s="221">
        <f>IF(O$2='Active Inputs'!$G$11,-$F$256,0)</f>
        <v>0</v>
      </c>
      <c r="P256" s="221">
        <f>IF(P$2='Active Inputs'!$G$11,-$F$256,0)</f>
        <v>0</v>
      </c>
      <c r="Q256" s="221">
        <f>IF(Q$2='Active Inputs'!$G$11,-$F$256,0)</f>
        <v>0</v>
      </c>
      <c r="R256" s="221">
        <f>IF(R$2='Active Inputs'!$G$11,-$F$256,0)</f>
        <v>0</v>
      </c>
      <c r="S256" s="221">
        <f>IF(S$2='Active Inputs'!$G$11,-$F$256,0)</f>
        <v>0</v>
      </c>
      <c r="T256" s="221">
        <f>IF(T$2='Active Inputs'!$G$11,-$F$256,0)</f>
        <v>0</v>
      </c>
      <c r="U256" s="221">
        <f>IF(U$2='Active Inputs'!$G$11,-$F$256,0)</f>
        <v>0</v>
      </c>
      <c r="V256" s="221">
        <f>IF(V$2='Active Inputs'!$G$11,-$F$256,0)</f>
        <v>0</v>
      </c>
      <c r="W256" s="221">
        <f>IF(W$2='Active Inputs'!$G$11,-$F$256,0)</f>
        <v>0</v>
      </c>
      <c r="X256" s="221">
        <f>IF(X$2='Active Inputs'!$G$11,-$F$256,0)</f>
        <v>0</v>
      </c>
      <c r="Y256" s="221">
        <f>IF(Y$2='Active Inputs'!$G$11,-$F$256,0)</f>
        <v>0</v>
      </c>
      <c r="Z256" s="221">
        <f>IF(Z$2='Active Inputs'!$G$11,-$F$256,0)</f>
        <v>0</v>
      </c>
      <c r="AA256" s="221">
        <f>IF(AA$2='Active Inputs'!$G$11,-$F$256,0)</f>
        <v>0</v>
      </c>
      <c r="AB256" s="221">
        <f>IF(AB$2='Active Inputs'!$G$11,-$F$256,0)</f>
        <v>0</v>
      </c>
      <c r="AC256" s="221">
        <f>IF(AC$2='Active Inputs'!$G$11,-$F$256,0)</f>
        <v>0</v>
      </c>
      <c r="AD256" s="221">
        <f>IF(AD$2='Active Inputs'!$G$11,-$F$256,0)</f>
        <v>0</v>
      </c>
      <c r="AE256" s="221">
        <f>IF(AE$2='Active Inputs'!$G$11,-$F$256,0)</f>
        <v>0</v>
      </c>
      <c r="AF256" s="221">
        <f>IF(AF$2='Active Inputs'!$G$11,-$F$256,0)</f>
        <v>0</v>
      </c>
      <c r="AG256" s="221">
        <f>IF(AG$2='Active Inputs'!$G$11,-$F$256,0)</f>
        <v>0</v>
      </c>
      <c r="AH256" s="221">
        <f>IF(AH$2='Active Inputs'!$G$11,-$F$256,0)</f>
        <v>0</v>
      </c>
      <c r="AI256" s="221">
        <f>IF(AI$2='Active Inputs'!$G$11,-$F$256,0)</f>
        <v>0</v>
      </c>
      <c r="AJ256" s="221">
        <f>IF(AJ$2='Active Inputs'!$G$11,-$F$256,0)</f>
        <v>0</v>
      </c>
    </row>
    <row r="257" spans="2:36" ht="15.75">
      <c r="B257" s="204" t="s">
        <v>423</v>
      </c>
      <c r="C257" s="204"/>
      <c r="D257" s="557" t="s">
        <v>424</v>
      </c>
      <c r="E257" s="558">
        <v>10</v>
      </c>
      <c r="F257" s="236">
        <v>0</v>
      </c>
      <c r="G257" s="221">
        <f>IF(AND(G$2&lt;'Active Inputs'!$Q$51,(G$2+$E$257)&gt;='Active Inputs'!$Q$51),$E$135/MIN($E257,('Active Inputs'!$Q$51-1)),IF(G$2='Active Inputs'!$Q$51,-($E$135),0))</f>
        <v>0</v>
      </c>
      <c r="H257" s="221">
        <f>IF(AND(H$2&lt;'Active Inputs'!$Q$51,(H$2+$E$257)&gt;='Active Inputs'!$Q$51),$E$135/MIN($E257,('Active Inputs'!$Q$51-1)),IF(H$2='Active Inputs'!$Q$51,-($E$135),0))</f>
        <v>10500</v>
      </c>
      <c r="I257" s="221">
        <f>IF(AND(I$2&lt;'Active Inputs'!$Q$51,(I$2+$E$257)&gt;='Active Inputs'!$Q$51),$E$135/MIN($E257,('Active Inputs'!$Q$51-1)),IF(I$2='Active Inputs'!$Q$51,-($E$135),0))</f>
        <v>10500</v>
      </c>
      <c r="J257" s="221">
        <f>IF(AND(J$2&lt;'Active Inputs'!$Q$51,(J$2+$E$257)&gt;='Active Inputs'!$Q$51),$E$135/MIN($E257,('Active Inputs'!$Q$51-1)),IF(J$2='Active Inputs'!$Q$51,-($E$135),0))</f>
        <v>10500</v>
      </c>
      <c r="K257" s="221">
        <f>IF(AND(K$2&lt;'Active Inputs'!$Q$51,(K$2+$E$257)&gt;='Active Inputs'!$Q$51),$E$135/MIN($E257,('Active Inputs'!$Q$51-1)),IF(K$2='Active Inputs'!$Q$51,-($E$135),0))</f>
        <v>10500</v>
      </c>
      <c r="L257" s="221">
        <f>IF(AND(L$2&lt;'Active Inputs'!$Q$51,(L$2+$E$257)&gt;='Active Inputs'!$Q$51),$E$135/MIN($E257,('Active Inputs'!$Q$51-1)),IF(L$2='Active Inputs'!$Q$51,-($E$135),0))</f>
        <v>10500</v>
      </c>
      <c r="M257" s="221">
        <f>IF(AND(M$2&lt;'Active Inputs'!$Q$51,(M$2+$E$257)&gt;='Active Inputs'!$Q$51),$E$135/MIN($E257,('Active Inputs'!$Q$51-1)),IF(M$2='Active Inputs'!$Q$51,-($E$135),0))</f>
        <v>10500</v>
      </c>
      <c r="N257" s="221">
        <f>IF(AND(N$2&lt;'Active Inputs'!$Q$51,(N$2+$E$257)&gt;='Active Inputs'!$Q$51),$E$135/MIN($E257,('Active Inputs'!$Q$51-1)),IF(N$2='Active Inputs'!$Q$51,-($E$135),0))</f>
        <v>10500</v>
      </c>
      <c r="O257" s="221">
        <f>IF(AND(O$2&lt;'Active Inputs'!$Q$51,(O$2+$E$257)&gt;='Active Inputs'!$Q$51),$E$135/MIN($E257,('Active Inputs'!$Q$51-1)),IF(O$2='Active Inputs'!$Q$51,-($E$135),0))</f>
        <v>10500</v>
      </c>
      <c r="P257" s="221">
        <f>IF(AND(P$2&lt;'Active Inputs'!$Q$51,(P$2+$E$257)&gt;='Active Inputs'!$Q$51),$E$135/MIN($E257,('Active Inputs'!$Q$51-1)),IF(P$2='Active Inputs'!$Q$51,-($E$135),0))</f>
        <v>10500</v>
      </c>
      <c r="Q257" s="221">
        <f>IF(AND(Q$2&lt;'Active Inputs'!$Q$51,(Q$2+$E$257)&gt;='Active Inputs'!$Q$51),$E$135/MIN($E257,('Active Inputs'!$Q$51-1)),IF(Q$2='Active Inputs'!$Q$51,-($E$135),0))</f>
        <v>10500</v>
      </c>
      <c r="R257" s="221">
        <f>IF(AND(R$2&lt;'Active Inputs'!$Q$51,(R$2+$E$257)&gt;='Active Inputs'!$Q$51),$E$135/MIN($E257,('Active Inputs'!$Q$51-1)),IF(R$2='Active Inputs'!$Q$51,-($E$135),0))</f>
        <v>-105000</v>
      </c>
      <c r="S257" s="221">
        <f>IF(AND(S$2&lt;'Active Inputs'!$Q$51,(S$2+$E$257)&gt;='Active Inputs'!$Q$51),$E$135/MIN($E257,('Active Inputs'!$Q$51-1)),IF(S$2='Active Inputs'!$Q$51,-($E$135),0))</f>
        <v>0</v>
      </c>
      <c r="T257" s="221">
        <f>IF(AND(T$2&lt;'Active Inputs'!$Q$51,(T$2+$E$257)&gt;='Active Inputs'!$Q$51),$E$135/MIN($E257,('Active Inputs'!$Q$51-1)),IF(T$2='Active Inputs'!$Q$51,-($E$135),0))</f>
        <v>0</v>
      </c>
      <c r="U257" s="221">
        <f>IF(AND(U$2&lt;'Active Inputs'!$Q$51,(U$2+$E$257)&gt;='Active Inputs'!$Q$51),$E$135/MIN($E257,('Active Inputs'!$Q$51-1)),IF(U$2='Active Inputs'!$Q$51,-($E$135),0))</f>
        <v>0</v>
      </c>
      <c r="V257" s="221">
        <f>IF(AND(V$2&lt;'Active Inputs'!$Q$51,(V$2+$E$257)&gt;='Active Inputs'!$Q$51),$E$135/MIN($E257,('Active Inputs'!$Q$51-1)),IF(V$2='Active Inputs'!$Q$51,-($E$135),0))</f>
        <v>0</v>
      </c>
      <c r="W257" s="221">
        <f>IF(AND(W$2&lt;'Active Inputs'!$Q$51,(W$2+$E$257)&gt;='Active Inputs'!$Q$51),$E$135/MIN($E257,('Active Inputs'!$Q$51-1)),IF(W$2='Active Inputs'!$Q$51,-($E$135),0))</f>
        <v>0</v>
      </c>
      <c r="X257" s="221">
        <f>IF(AND(X$2&lt;'Active Inputs'!$Q$51,(X$2+$E$257)&gt;='Active Inputs'!$Q$51),$E$135/MIN($E257,('Active Inputs'!$Q$51-1)),IF(X$2='Active Inputs'!$Q$51,-($E$135),0))</f>
        <v>0</v>
      </c>
      <c r="Y257" s="221">
        <f>IF(AND(Y$2&lt;'Active Inputs'!$Q$51,(Y$2+$E$257)&gt;='Active Inputs'!$Q$51),$E$135/MIN($E257,('Active Inputs'!$Q$51-1)),IF(Y$2='Active Inputs'!$Q$51,-($E$135),0))</f>
        <v>0</v>
      </c>
      <c r="Z257" s="221">
        <f>IF(AND(Z$2&lt;'Active Inputs'!$Q$51,(Z$2+$E$257)&gt;='Active Inputs'!$Q$51),$E$135/MIN($E257,('Active Inputs'!$Q$51-1)),IF(Z$2='Active Inputs'!$Q$51,-($E$135),0))</f>
        <v>0</v>
      </c>
      <c r="AA257" s="221">
        <f>IF(AND(AA$2&lt;'Active Inputs'!$Q$51,(AA$2+$E$257)&gt;='Active Inputs'!$Q$51),$E$135/MIN($E257,('Active Inputs'!$Q$51-1)),IF(AA$2='Active Inputs'!$Q$51,-($E$135),0))</f>
        <v>0</v>
      </c>
      <c r="AB257" s="221">
        <f>IF(AND(AB$2&lt;'Active Inputs'!$Q$51,(AB$2+$E$257)&gt;='Active Inputs'!$Q$51),$E$135/MIN($E257,('Active Inputs'!$Q$51-1)),IF(AB$2='Active Inputs'!$Q$51,-($E$135),0))</f>
        <v>0</v>
      </c>
      <c r="AC257" s="221">
        <f>IF(AND(AC$2&lt;'Active Inputs'!$Q$51,(AC$2+$E$257)&gt;='Active Inputs'!$Q$51),$E$135/MIN($E257,('Active Inputs'!$Q$51-1)),IF(AC$2='Active Inputs'!$Q$51,-($E$135),0))</f>
        <v>0</v>
      </c>
      <c r="AD257" s="221">
        <f>IF(AND(AD$2&lt;'Active Inputs'!$Q$51,(AD$2+$E$257)&gt;='Active Inputs'!$Q$51),$E$135/MIN($E257,('Active Inputs'!$Q$51-1)),IF(AD$2='Active Inputs'!$Q$51,-($E$135),0))</f>
        <v>0</v>
      </c>
      <c r="AE257" s="221">
        <f>IF(AND(AE$2&lt;'Active Inputs'!$Q$51,(AE$2+$E$257)&gt;='Active Inputs'!$Q$51),$E$135/MIN($E257,('Active Inputs'!$Q$51-1)),IF(AE$2='Active Inputs'!$Q$51,-($E$135),0))</f>
        <v>0</v>
      </c>
      <c r="AF257" s="221">
        <f>IF(AND(AF$2&lt;'Active Inputs'!$Q$51,(AF$2+$E$257)&gt;='Active Inputs'!$Q$51),$E$135/MIN($E257,('Active Inputs'!$Q$51-1)),IF(AF$2='Active Inputs'!$Q$51,-($E$135),0))</f>
        <v>0</v>
      </c>
      <c r="AG257" s="221">
        <f>IF(AND(AG$2&lt;'Active Inputs'!$Q$51,(AG$2+$E$257)&gt;='Active Inputs'!$Q$51),$E$135/MIN($E257,('Active Inputs'!$Q$51-1)),IF(AG$2='Active Inputs'!$Q$51,-($E$135),0))</f>
        <v>0</v>
      </c>
      <c r="AH257" s="221">
        <f>IF(AND(AH$2&lt;'Active Inputs'!$Q$51,(AH$2+$E$257)&gt;='Active Inputs'!$Q$51),$E$135/MIN($E257,('Active Inputs'!$Q$51-1)),IF(AH$2='Active Inputs'!$Q$51,-($E$135),0))</f>
        <v>0</v>
      </c>
      <c r="AI257" s="221">
        <f>IF(AND(AI$2&lt;'Active Inputs'!$Q$51,(AI$2+$E$257)&gt;='Active Inputs'!$Q$51),$E$135/MIN($E257,('Active Inputs'!$Q$51-1)),IF(AI$2='Active Inputs'!$Q$51,-($E$135),0))</f>
        <v>0</v>
      </c>
      <c r="AJ257" s="221">
        <f>IF(AND(AJ$2&lt;'Active Inputs'!$Q$51,(AJ$2+$E$257)&gt;='Active Inputs'!$Q$51),$E$135/MIN($E257,('Active Inputs'!$Q$51-1)),IF(AJ$2='Active Inputs'!$Q$51,-($E$135),0))</f>
        <v>0</v>
      </c>
    </row>
    <row r="258" spans="2:36" ht="15.75">
      <c r="B258" s="204" t="s">
        <v>425</v>
      </c>
      <c r="C258" s="204"/>
      <c r="D258" s="557" t="s">
        <v>424</v>
      </c>
      <c r="E258" s="558">
        <v>10</v>
      </c>
      <c r="F258" s="236">
        <v>0</v>
      </c>
      <c r="G258" s="221">
        <f>IF(AND(G$2&lt;'Active Inputs'!$Q$53,(G$2+$E$258)&gt;='Active Inputs'!$Q$53),$E$138/MIN($E258,('Active Inputs'!$Q$53-1)),IF(G$2='Active Inputs'!$Q$53,-($E$138),0))</f>
        <v>0</v>
      </c>
      <c r="H258" s="221">
        <f>IF(AND(H$2&lt;'Active Inputs'!$Q$53,(H$2+$E$258)&gt;='Active Inputs'!$Q$53),$E$138/MIN($E258,('Active Inputs'!$Q$53-1)),IF(H$2='Active Inputs'!$Q$53,-($E$138),0))</f>
        <v>0</v>
      </c>
      <c r="I258" s="221">
        <f>IF(AND(I$2&lt;'Active Inputs'!$Q$53,(I$2+$E$258)&gt;='Active Inputs'!$Q$53),$E$138/MIN($E258,('Active Inputs'!$Q$53-1)),IF(I$2='Active Inputs'!$Q$53,-($E$138),0))</f>
        <v>0</v>
      </c>
      <c r="J258" s="221">
        <f>IF(AND(J$2&lt;'Active Inputs'!$Q$53,(J$2+$E$258)&gt;='Active Inputs'!$Q$53),$E$138/MIN($E258,('Active Inputs'!$Q$53-1)),IF(J$2='Active Inputs'!$Q$53,-($E$138),0))</f>
        <v>0</v>
      </c>
      <c r="K258" s="221">
        <f>IF(AND(K$2&lt;'Active Inputs'!$Q$53,(K$2+$E$258)&gt;='Active Inputs'!$Q$53),$E$138/MIN($E258,('Active Inputs'!$Q$53-1)),IF(K$2='Active Inputs'!$Q$53,-($E$138),0))</f>
        <v>0</v>
      </c>
      <c r="L258" s="221">
        <f>IF(AND(L$2&lt;'Active Inputs'!$Q$53,(L$2+$E$258)&gt;='Active Inputs'!$Q$53),$E$138/MIN($E258,('Active Inputs'!$Q$53-1)),IF(L$2='Active Inputs'!$Q$53,-($E$138),0))</f>
        <v>0</v>
      </c>
      <c r="M258" s="221">
        <f>IF(AND(M$2&lt;'Active Inputs'!$Q$53,(M$2+$E$258)&gt;='Active Inputs'!$Q$53),$E$138/MIN($E258,('Active Inputs'!$Q$53-1)),IF(M$2='Active Inputs'!$Q$53,-($E$138),0))</f>
        <v>0</v>
      </c>
      <c r="N258" s="221">
        <f>IF(AND(N$2&lt;'Active Inputs'!$Q$53,(N$2+$E$258)&gt;='Active Inputs'!$Q$53),$E$138/MIN($E258,('Active Inputs'!$Q$53-1)),IF(N$2='Active Inputs'!$Q$53,-($E$138),0))</f>
        <v>0</v>
      </c>
      <c r="O258" s="221">
        <f>IF(AND(O$2&lt;'Active Inputs'!$Q$53,(O$2+$E$258)&gt;='Active Inputs'!$Q$53),$E$138/MIN($E258,('Active Inputs'!$Q$53-1)),IF(O$2='Active Inputs'!$Q$53,-($E$138),0))</f>
        <v>0</v>
      </c>
      <c r="P258" s="221">
        <f>IF(AND(P$2&lt;'Active Inputs'!$Q$53,(P$2+$E$258)&gt;='Active Inputs'!$Q$53),$E$138/MIN($E258,('Active Inputs'!$Q$53-1)),IF(P$2='Active Inputs'!$Q$53,-($E$138),0))</f>
        <v>0</v>
      </c>
      <c r="Q258" s="221">
        <f>IF(AND(Q$2&lt;'Active Inputs'!$Q$53,(Q$2+$E$258)&gt;='Active Inputs'!$Q$53),$E$138/MIN($E258,('Active Inputs'!$Q$53-1)),IF(Q$2='Active Inputs'!$Q$53,-($E$138),0))</f>
        <v>0</v>
      </c>
      <c r="R258" s="221">
        <f>IF(AND(R$2&lt;'Active Inputs'!$Q$53,(R$2+$E$258)&gt;='Active Inputs'!$Q$53),$E$138/MIN($E258,('Active Inputs'!$Q$53-1)),IF(R$2='Active Inputs'!$Q$53,-($E$138),0))</f>
        <v>0</v>
      </c>
      <c r="S258" s="221">
        <f>IF(AND(S$2&lt;'Active Inputs'!$Q$53,(S$2+$E$258)&gt;='Active Inputs'!$Q$53),$E$138/MIN($E258,('Active Inputs'!$Q$53-1)),IF(S$2='Active Inputs'!$Q$53,-($E$138),0))</f>
        <v>0</v>
      </c>
      <c r="T258" s="221">
        <f>IF(AND(T$2&lt;'Active Inputs'!$Q$53,(T$2+$E$258)&gt;='Active Inputs'!$Q$53),$E$138/MIN($E258,('Active Inputs'!$Q$53-1)),IF(T$2='Active Inputs'!$Q$53,-($E$138),0))</f>
        <v>0</v>
      </c>
      <c r="U258" s="221">
        <f>IF(AND(U$2&lt;'Active Inputs'!$Q$53,(U$2+$E$258)&gt;='Active Inputs'!$Q$53),$E$138/MIN($E258,('Active Inputs'!$Q$53-1)),IF(U$2='Active Inputs'!$Q$53,-($E$138),0))</f>
        <v>0</v>
      </c>
      <c r="V258" s="221">
        <f>IF(AND(V$2&lt;'Active Inputs'!$Q$53,(V$2+$E$258)&gt;='Active Inputs'!$Q$53),$E$138/MIN($E258,('Active Inputs'!$Q$53-1)),IF(V$2='Active Inputs'!$Q$53,-($E$138),0))</f>
        <v>0</v>
      </c>
      <c r="W258" s="221">
        <f>IF(AND(W$2&lt;'Active Inputs'!$Q$53,(W$2+$E$258)&gt;='Active Inputs'!$Q$53),$E$138/MIN($E258,('Active Inputs'!$Q$53-1)),IF(W$2='Active Inputs'!$Q$53,-($E$138),0))</f>
        <v>0</v>
      </c>
      <c r="X258" s="221">
        <f>IF(AND(X$2&lt;'Active Inputs'!$Q$53,(X$2+$E$258)&gt;='Active Inputs'!$Q$53),$E$138/MIN($E258,('Active Inputs'!$Q$53-1)),IF(X$2='Active Inputs'!$Q$53,-($E$138),0))</f>
        <v>0</v>
      </c>
      <c r="Y258" s="221">
        <f>IF(AND(Y$2&lt;'Active Inputs'!$Q$53,(Y$2+$E$258)&gt;='Active Inputs'!$Q$53),$E$138/MIN($E258,('Active Inputs'!$Q$53-1)),IF(Y$2='Active Inputs'!$Q$53,-($E$138),0))</f>
        <v>0</v>
      </c>
      <c r="Z258" s="221">
        <f>IF(AND(Z$2&lt;'Active Inputs'!$Q$53,(Z$2+$E$258)&gt;='Active Inputs'!$Q$53),$E$138/MIN($E258,('Active Inputs'!$Q$53-1)),IF(Z$2='Active Inputs'!$Q$53,-($E$138),0))</f>
        <v>0</v>
      </c>
      <c r="AA258" s="221">
        <f>IF(AND(AA$2&lt;'Active Inputs'!$Q$53,(AA$2+$E$258)&gt;='Active Inputs'!$Q$53),$E$138/MIN($E258,('Active Inputs'!$Q$53-1)),IF(AA$2='Active Inputs'!$Q$53,-($E$138),0))</f>
        <v>0</v>
      </c>
      <c r="AB258" s="221">
        <f>IF(AND(AB$2&lt;'Active Inputs'!$Q$53,(AB$2+$E$258)&gt;='Active Inputs'!$Q$53),$E$138/MIN($E258,('Active Inputs'!$Q$53-1)),IF(AB$2='Active Inputs'!$Q$53,-($E$138),0))</f>
        <v>0</v>
      </c>
      <c r="AC258" s="221">
        <f>IF(AND(AC$2&lt;'Active Inputs'!$Q$53,(AC$2+$E$258)&gt;='Active Inputs'!$Q$53),$E$138/MIN($E258,('Active Inputs'!$Q$53-1)),IF(AC$2='Active Inputs'!$Q$53,-($E$138),0))</f>
        <v>0</v>
      </c>
      <c r="AD258" s="221">
        <f>IF(AND(AD$2&lt;'Active Inputs'!$Q$53,(AD$2+$E$258)&gt;='Active Inputs'!$Q$53),$E$138/MIN($E258,('Active Inputs'!$Q$53-1)),IF(AD$2='Active Inputs'!$Q$53,-($E$138),0))</f>
        <v>0</v>
      </c>
      <c r="AE258" s="221">
        <f>IF(AND(AE$2&lt;'Active Inputs'!$Q$53,(AE$2+$E$258)&gt;='Active Inputs'!$Q$53),$E$138/MIN($E258,('Active Inputs'!$Q$53-1)),IF(AE$2='Active Inputs'!$Q$53,-($E$138),0))</f>
        <v>0</v>
      </c>
      <c r="AF258" s="221">
        <f>IF(AND(AF$2&lt;'Active Inputs'!$Q$53,(AF$2+$E$258)&gt;='Active Inputs'!$Q$53),$E$138/MIN($E258,('Active Inputs'!$Q$53-1)),IF(AF$2='Active Inputs'!$Q$53,-($E$138),0))</f>
        <v>0</v>
      </c>
      <c r="AG258" s="221">
        <f>IF(AND(AG$2&lt;'Active Inputs'!$Q$53,(AG$2+$E$258)&gt;='Active Inputs'!$Q$53),$E$138/MIN($E258,('Active Inputs'!$Q$53-1)),IF(AG$2='Active Inputs'!$Q$53,-($E$138),0))</f>
        <v>0</v>
      </c>
      <c r="AH258" s="221">
        <f>IF(AND(AH$2&lt;'Active Inputs'!$Q$53,(AH$2+$E$258)&gt;='Active Inputs'!$Q$53),$E$138/MIN($E258,('Active Inputs'!$Q$53-1)),IF(AH$2='Active Inputs'!$Q$53,-($E$138),0))</f>
        <v>0</v>
      </c>
      <c r="AI258" s="221">
        <f>IF(AND(AI$2&lt;'Active Inputs'!$Q$53,(AI$2+$E$258)&gt;='Active Inputs'!$Q$53),$E$138/MIN($E258,('Active Inputs'!$Q$53-1)),IF(AI$2='Active Inputs'!$Q$53,-($E$138),0))</f>
        <v>0</v>
      </c>
      <c r="AJ258" s="221">
        <f>IF(AND(AJ$2&lt;'Active Inputs'!$Q$53,(AJ$2+$E$258)&gt;='Active Inputs'!$Q$53),$E$138/MIN($E258,('Active Inputs'!$Q$53-1)),IF(AJ$2='Active Inputs'!$Q$53,-($E$138),0))</f>
        <v>0</v>
      </c>
    </row>
    <row r="259" spans="2:36" ht="15.75">
      <c r="B259" s="204" t="s">
        <v>426</v>
      </c>
      <c r="C259" s="204"/>
      <c r="D259" s="557" t="s">
        <v>424</v>
      </c>
      <c r="E259" s="558">
        <v>10</v>
      </c>
      <c r="F259" s="236">
        <v>0</v>
      </c>
      <c r="G259" s="221">
        <f>IF(AND(G$2&lt;'Active Inputs'!$Q$55,(G$2+$E$259)&gt;='Active Inputs'!$Q$55),$E$141/MIN($E259,('Active Inputs'!$Q$55-1)),IF(G$2='Active Inputs'!$Q$55,-($E$141),0))</f>
        <v>0</v>
      </c>
      <c r="H259" s="221">
        <f>IF(AND(H$2&lt;'Active Inputs'!$Q$55,(H$2+$E$259)&gt;='Active Inputs'!$Q$55),$E$141/MIN($E259,('Active Inputs'!$Q$55-1)),IF(H$2='Active Inputs'!$Q$55,-($E$141),0))</f>
        <v>0</v>
      </c>
      <c r="I259" s="221">
        <f>IF(AND(I$2&lt;'Active Inputs'!$Q$55,(I$2+$E$259)&gt;='Active Inputs'!$Q$55),$E$141/MIN($E259,('Active Inputs'!$Q$55-1)),IF(I$2='Active Inputs'!$Q$55,-($E$141),0))</f>
        <v>0</v>
      </c>
      <c r="J259" s="221">
        <f>IF(AND(J$2&lt;'Active Inputs'!$Q$55,(J$2+$E$259)&gt;='Active Inputs'!$Q$55),$E$141/MIN($E259,('Active Inputs'!$Q$55-1)),IF(J$2='Active Inputs'!$Q$55,-($E$141),0))</f>
        <v>0</v>
      </c>
      <c r="K259" s="221">
        <f>IF(AND(K$2&lt;'Active Inputs'!$Q$55,(K$2+$E$259)&gt;='Active Inputs'!$Q$55),$E$141/MIN($E259,('Active Inputs'!$Q$55-1)),IF(K$2='Active Inputs'!$Q$55,-($E$141),0))</f>
        <v>0</v>
      </c>
      <c r="L259" s="221">
        <f>IF(AND(L$2&lt;'Active Inputs'!$Q$55,(L$2+$E$259)&gt;='Active Inputs'!$Q$55),$E$141/MIN($E259,('Active Inputs'!$Q$55-1)),IF(L$2='Active Inputs'!$Q$55,-($E$141),0))</f>
        <v>0</v>
      </c>
      <c r="M259" s="221">
        <f>IF(AND(M$2&lt;'Active Inputs'!$Q$55,(M$2+$E$259)&gt;='Active Inputs'!$Q$55),$E$141/MIN($E259,('Active Inputs'!$Q$55-1)),IF(M$2='Active Inputs'!$Q$55,-($E$141),0))</f>
        <v>0</v>
      </c>
      <c r="N259" s="221">
        <f>IF(AND(N$2&lt;'Active Inputs'!$Q$55,(N$2+$E$259)&gt;='Active Inputs'!$Q$55),$E$141/MIN($E259,('Active Inputs'!$Q$55-1)),IF(N$2='Active Inputs'!$Q$55,-($E$141),0))</f>
        <v>0</v>
      </c>
      <c r="O259" s="221">
        <f>IF(AND(O$2&lt;'Active Inputs'!$Q$55,(O$2+$E$259)&gt;='Active Inputs'!$Q$55),$E$141/MIN($E259,('Active Inputs'!$Q$55-1)),IF(O$2='Active Inputs'!$Q$55,-($E$141),0))</f>
        <v>0</v>
      </c>
      <c r="P259" s="221">
        <f>IF(AND(P$2&lt;'Active Inputs'!$Q$55,(P$2+$E$259)&gt;='Active Inputs'!$Q$55),$E$141/MIN($E259,('Active Inputs'!$Q$55-1)),IF(P$2='Active Inputs'!$Q$55,-($E$141),0))</f>
        <v>0</v>
      </c>
      <c r="Q259" s="221">
        <f>IF(AND(Q$2&lt;'Active Inputs'!$Q$55,(Q$2+$E$259)&gt;='Active Inputs'!$Q$55),$E$141/MIN($E259,('Active Inputs'!$Q$55-1)),IF(Q$2='Active Inputs'!$Q$55,-($E$141),0))</f>
        <v>0</v>
      </c>
      <c r="R259" s="221">
        <f>IF(AND(R$2&lt;'Active Inputs'!$Q$55,(R$2+$E$259)&gt;='Active Inputs'!$Q$55),$E$141/MIN($E259,('Active Inputs'!$Q$55-1)),IF(R$2='Active Inputs'!$Q$55,-($E$141),0))</f>
        <v>0</v>
      </c>
      <c r="S259" s="221">
        <f>IF(AND(S$2&lt;'Active Inputs'!$Q$55,(S$2+$E$259)&gt;='Active Inputs'!$Q$55),$E$141/MIN($E259,('Active Inputs'!$Q$55-1)),IF(S$2='Active Inputs'!$Q$55,-($E$141),0))</f>
        <v>0</v>
      </c>
      <c r="T259" s="221">
        <f>IF(AND(T$2&lt;'Active Inputs'!$Q$55,(T$2+$E$259)&gt;='Active Inputs'!$Q$55),$E$141/MIN($E259,('Active Inputs'!$Q$55-1)),IF(T$2='Active Inputs'!$Q$55,-($E$141),0))</f>
        <v>0</v>
      </c>
      <c r="U259" s="221">
        <f>IF(AND(U$2&lt;'Active Inputs'!$Q$55,(U$2+$E$259)&gt;='Active Inputs'!$Q$55),$E$141/MIN($E259,('Active Inputs'!$Q$55-1)),IF(U$2='Active Inputs'!$Q$55,-($E$141),0))</f>
        <v>0</v>
      </c>
      <c r="V259" s="221">
        <f>IF(AND(V$2&lt;'Active Inputs'!$Q$55,(V$2+$E$259)&gt;='Active Inputs'!$Q$55),$E$141/MIN($E259,('Active Inputs'!$Q$55-1)),IF(V$2='Active Inputs'!$Q$55,-($E$141),0))</f>
        <v>0</v>
      </c>
      <c r="W259" s="221">
        <f>IF(AND(W$2&lt;'Active Inputs'!$Q$55,(W$2+$E$259)&gt;='Active Inputs'!$Q$55),$E$141/MIN($E259,('Active Inputs'!$Q$55-1)),IF(W$2='Active Inputs'!$Q$55,-($E$141),0))</f>
        <v>0</v>
      </c>
      <c r="X259" s="221">
        <f>IF(AND(X$2&lt;'Active Inputs'!$Q$55,(X$2+$E$259)&gt;='Active Inputs'!$Q$55),$E$141/MIN($E259,('Active Inputs'!$Q$55-1)),IF(X$2='Active Inputs'!$Q$55,-($E$141),0))</f>
        <v>0</v>
      </c>
      <c r="Y259" s="221">
        <f>IF(AND(Y$2&lt;'Active Inputs'!$Q$55,(Y$2+$E$259)&gt;='Active Inputs'!$Q$55),$E$141/MIN($E259,('Active Inputs'!$Q$55-1)),IF(Y$2='Active Inputs'!$Q$55,-($E$141),0))</f>
        <v>0</v>
      </c>
      <c r="Z259" s="221">
        <f>IF(AND(Z$2&lt;'Active Inputs'!$Q$55,(Z$2+$E$259)&gt;='Active Inputs'!$Q$55),$E$141/MIN($E259,('Active Inputs'!$Q$55-1)),IF(Z$2='Active Inputs'!$Q$55,-($E$141),0))</f>
        <v>0</v>
      </c>
      <c r="AA259" s="221">
        <f>IF(AND(AA$2&lt;'Active Inputs'!$Q$55,(AA$2+$E$259)&gt;='Active Inputs'!$Q$55),$E$141/MIN($E259,('Active Inputs'!$Q$55-1)),IF(AA$2='Active Inputs'!$Q$55,-($E$141),0))</f>
        <v>0</v>
      </c>
      <c r="AB259" s="221">
        <f>IF(AND(AB$2&lt;'Active Inputs'!$Q$55,(AB$2+$E$259)&gt;='Active Inputs'!$Q$55),$E$141/MIN($E259,('Active Inputs'!$Q$55-1)),IF(AB$2='Active Inputs'!$Q$55,-($E$141),0))</f>
        <v>0</v>
      </c>
      <c r="AC259" s="221">
        <f>IF(AND(AC$2&lt;'Active Inputs'!$Q$55,(AC$2+$E$259)&gt;='Active Inputs'!$Q$55),$E$141/MIN($E259,('Active Inputs'!$Q$55-1)),IF(AC$2='Active Inputs'!$Q$55,-($E$141),0))</f>
        <v>0</v>
      </c>
      <c r="AD259" s="221">
        <f>IF(AND(AD$2&lt;'Active Inputs'!$Q$55,(AD$2+$E$259)&gt;='Active Inputs'!$Q$55),$E$141/MIN($E259,('Active Inputs'!$Q$55-1)),IF(AD$2='Active Inputs'!$Q$55,-($E$141),0))</f>
        <v>0</v>
      </c>
      <c r="AE259" s="221">
        <f>IF(AND(AE$2&lt;'Active Inputs'!$Q$55,(AE$2+$E$259)&gt;='Active Inputs'!$Q$55),$E$141/MIN($E259,('Active Inputs'!$Q$55-1)),IF(AE$2='Active Inputs'!$Q$55,-($E$141),0))</f>
        <v>0</v>
      </c>
      <c r="AF259" s="221">
        <f>IF(AND(AF$2&lt;'Active Inputs'!$Q$55,(AF$2+$E$259)&gt;='Active Inputs'!$Q$55),$E$141/MIN($E259,('Active Inputs'!$Q$55-1)),IF(AF$2='Active Inputs'!$Q$55,-($E$141),0))</f>
        <v>0</v>
      </c>
      <c r="AG259" s="221">
        <f>IF(AND(AG$2&lt;'Active Inputs'!$Q$55,(AG$2+$E$259)&gt;='Active Inputs'!$Q$55),$E$141/MIN($E259,('Active Inputs'!$Q$55-1)),IF(AG$2='Active Inputs'!$Q$55,-($E$141),0))</f>
        <v>0</v>
      </c>
      <c r="AH259" s="221">
        <f>IF(AND(AH$2&lt;'Active Inputs'!$Q$55,(AH$2+$E$259)&gt;='Active Inputs'!$Q$55),$E$141/MIN($E259,('Active Inputs'!$Q$55-1)),IF(AH$2='Active Inputs'!$Q$55,-($E$141),0))</f>
        <v>0</v>
      </c>
      <c r="AI259" s="221">
        <f>IF(AND(AI$2&lt;'Active Inputs'!$Q$55,(AI$2+$E$259)&gt;='Active Inputs'!$Q$55),$E$141/MIN($E259,('Active Inputs'!$Q$55-1)),IF(AI$2='Active Inputs'!$Q$55,-($E$141),0))</f>
        <v>0</v>
      </c>
      <c r="AJ259" s="221">
        <f>IF(AND(AJ$2&lt;'Active Inputs'!$Q$55,(AJ$2+$E$259)&gt;='Active Inputs'!$Q$55),$E$141/MIN($E259,('Active Inputs'!$Q$55-1)),IF(AJ$2='Active Inputs'!$Q$55,-($E$141),0))</f>
        <v>0</v>
      </c>
    </row>
    <row r="260" spans="2:36" ht="15.75">
      <c r="B260" s="204" t="s">
        <v>427</v>
      </c>
      <c r="C260" s="204"/>
      <c r="D260" s="557" t="s">
        <v>424</v>
      </c>
      <c r="E260" s="558">
        <v>10</v>
      </c>
      <c r="F260" s="236">
        <v>0</v>
      </c>
      <c r="G260" s="221">
        <f>IF(AND(G$2&lt;'Active Inputs'!$Q$57,(G$2+$E$260)&gt;='Active Inputs'!$Q$57),$E$144/MIN($E260,('Active Inputs'!$Q$57-1)),IF(G$2='Active Inputs'!$Q$57,-($E$144),0))</f>
        <v>0</v>
      </c>
      <c r="H260" s="221">
        <f>IF(AND(H$2&lt;'Active Inputs'!$Q$57,(H$2+$E$260)&gt;='Active Inputs'!$Q$57),$E$144/MIN($E260,('Active Inputs'!$Q$57-1)),IF(H$2='Active Inputs'!$Q$57,-($E$144),0))</f>
        <v>0</v>
      </c>
      <c r="I260" s="221">
        <f>IF(AND(I$2&lt;'Active Inputs'!$Q$57,(I$2+$E$260)&gt;='Active Inputs'!$Q$57),$E$144/MIN($E260,('Active Inputs'!$Q$57-1)),IF(I$2='Active Inputs'!$Q$57,-($E$144),0))</f>
        <v>0</v>
      </c>
      <c r="J260" s="221">
        <f>IF(AND(J$2&lt;'Active Inputs'!$Q$57,(J$2+$E$260)&gt;='Active Inputs'!$Q$57),$E$144/MIN($E260,('Active Inputs'!$Q$57-1)),IF(J$2='Active Inputs'!$Q$57,-($E$144),0))</f>
        <v>0</v>
      </c>
      <c r="K260" s="221">
        <f>IF(AND(K$2&lt;'Active Inputs'!$Q$57,(K$2+$E$260)&gt;='Active Inputs'!$Q$57),$E$144/MIN($E260,('Active Inputs'!$Q$57-1)),IF(K$2='Active Inputs'!$Q$57,-($E$144),0))</f>
        <v>0</v>
      </c>
      <c r="L260" s="221">
        <f>IF(AND(L$2&lt;'Active Inputs'!$Q$57,(L$2+$E$260)&gt;='Active Inputs'!$Q$57),$E$144/MIN($E260,('Active Inputs'!$Q$57-1)),IF(L$2='Active Inputs'!$Q$57,-($E$144),0))</f>
        <v>0</v>
      </c>
      <c r="M260" s="221">
        <f>IF(AND(M$2&lt;'Active Inputs'!$Q$57,(M$2+$E$260)&gt;='Active Inputs'!$Q$57),$E$144/MIN($E260,('Active Inputs'!$Q$57-1)),IF(M$2='Active Inputs'!$Q$57,-($E$144),0))</f>
        <v>0</v>
      </c>
      <c r="N260" s="221">
        <f>IF(AND(N$2&lt;'Active Inputs'!$Q$57,(N$2+$E$260)&gt;='Active Inputs'!$Q$57),$E$144/MIN($E260,('Active Inputs'!$Q$57-1)),IF(N$2='Active Inputs'!$Q$57,-($E$144),0))</f>
        <v>0</v>
      </c>
      <c r="O260" s="221">
        <f>IF(AND(O$2&lt;'Active Inputs'!$Q$57,(O$2+$E$260)&gt;='Active Inputs'!$Q$57),$E$144/MIN($E260,('Active Inputs'!$Q$57-1)),IF(O$2='Active Inputs'!$Q$57,-($E$144),0))</f>
        <v>0</v>
      </c>
      <c r="P260" s="221">
        <f>IF(AND(P$2&lt;'Active Inputs'!$Q$57,(P$2+$E$260)&gt;='Active Inputs'!$Q$57),$E$144/MIN($E260,('Active Inputs'!$Q$57-1)),IF(P$2='Active Inputs'!$Q$57,-($E$144),0))</f>
        <v>0</v>
      </c>
      <c r="Q260" s="221">
        <f>IF(AND(Q$2&lt;'Active Inputs'!$Q$57,(Q$2+$E$260)&gt;='Active Inputs'!$Q$57),$E$144/MIN($E260,('Active Inputs'!$Q$57-1)),IF(Q$2='Active Inputs'!$Q$57,-($E$144),0))</f>
        <v>0</v>
      </c>
      <c r="R260" s="221">
        <f>IF(AND(R$2&lt;'Active Inputs'!$Q$57,(R$2+$E$260)&gt;='Active Inputs'!$Q$57),$E$144/MIN($E260,('Active Inputs'!$Q$57-1)),IF(R$2='Active Inputs'!$Q$57,-($E$144),0))</f>
        <v>0</v>
      </c>
      <c r="S260" s="221">
        <f>IF(AND(S$2&lt;'Active Inputs'!$Q$57,(S$2+$E$260)&gt;='Active Inputs'!$Q$57),$E$144/MIN($E260,('Active Inputs'!$Q$57-1)),IF(S$2='Active Inputs'!$Q$57,-($E$144),0))</f>
        <v>0</v>
      </c>
      <c r="T260" s="221">
        <f>IF(AND(T$2&lt;'Active Inputs'!$Q$57,(T$2+$E$260)&gt;='Active Inputs'!$Q$57),$E$144/MIN($E260,('Active Inputs'!$Q$57-1)),IF(T$2='Active Inputs'!$Q$57,-($E$144),0))</f>
        <v>0</v>
      </c>
      <c r="U260" s="221">
        <f>IF(AND(U$2&lt;'Active Inputs'!$Q$57,(U$2+$E$260)&gt;='Active Inputs'!$Q$57),$E$144/MIN($E260,('Active Inputs'!$Q$57-1)),IF(U$2='Active Inputs'!$Q$57,-($E$144),0))</f>
        <v>0</v>
      </c>
      <c r="V260" s="221">
        <f>IF(AND(V$2&lt;'Active Inputs'!$Q$57,(V$2+$E$260)&gt;='Active Inputs'!$Q$57),$E$144/MIN($E260,('Active Inputs'!$Q$57-1)),IF(V$2='Active Inputs'!$Q$57,-($E$144),0))</f>
        <v>0</v>
      </c>
      <c r="W260" s="221">
        <f>IF(AND(W$2&lt;'Active Inputs'!$Q$57,(W$2+$E$260)&gt;='Active Inputs'!$Q$57),$E$144/MIN($E260,('Active Inputs'!$Q$57-1)),IF(W$2='Active Inputs'!$Q$57,-($E$144),0))</f>
        <v>0</v>
      </c>
      <c r="X260" s="221">
        <f>IF(AND(X$2&lt;'Active Inputs'!$Q$57,(X$2+$E$260)&gt;='Active Inputs'!$Q$57),$E$144/MIN($E260,('Active Inputs'!$Q$57-1)),IF(X$2='Active Inputs'!$Q$57,-($E$144),0))</f>
        <v>0</v>
      </c>
      <c r="Y260" s="221">
        <f>IF(AND(Y$2&lt;'Active Inputs'!$Q$57,(Y$2+$E$260)&gt;='Active Inputs'!$Q$57),$E$144/MIN($E260,('Active Inputs'!$Q$57-1)),IF(Y$2='Active Inputs'!$Q$57,-($E$144),0))</f>
        <v>0</v>
      </c>
      <c r="Z260" s="221">
        <f>IF(AND(Z$2&lt;'Active Inputs'!$Q$57,(Z$2+$E$260)&gt;='Active Inputs'!$Q$57),$E$144/MIN($E260,('Active Inputs'!$Q$57-1)),IF(Z$2='Active Inputs'!$Q$57,-($E$144),0))</f>
        <v>0</v>
      </c>
      <c r="AA260" s="221">
        <f>IF(AND(AA$2&lt;'Active Inputs'!$Q$57,(AA$2+$E$260)&gt;='Active Inputs'!$Q$57),$E$144/MIN($E260,('Active Inputs'!$Q$57-1)),IF(AA$2='Active Inputs'!$Q$57,-($E$144),0))</f>
        <v>0</v>
      </c>
      <c r="AB260" s="221">
        <f>IF(AND(AB$2&lt;'Active Inputs'!$Q$57,(AB$2+$E$260)&gt;='Active Inputs'!$Q$57),$E$144/MIN($E260,('Active Inputs'!$Q$57-1)),IF(AB$2='Active Inputs'!$Q$57,-($E$144),0))</f>
        <v>0</v>
      </c>
      <c r="AC260" s="221">
        <f>IF(AND(AC$2&lt;'Active Inputs'!$Q$57,(AC$2+$E$260)&gt;='Active Inputs'!$Q$57),$E$144/MIN($E260,('Active Inputs'!$Q$57-1)),IF(AC$2='Active Inputs'!$Q$57,-($E$144),0))</f>
        <v>0</v>
      </c>
      <c r="AD260" s="221">
        <f>IF(AND(AD$2&lt;'Active Inputs'!$Q$57,(AD$2+$E$260)&gt;='Active Inputs'!$Q$57),$E$144/MIN($E260,('Active Inputs'!$Q$57-1)),IF(AD$2='Active Inputs'!$Q$57,-($E$144),0))</f>
        <v>0</v>
      </c>
      <c r="AE260" s="221">
        <f>IF(AND(AE$2&lt;'Active Inputs'!$Q$57,(AE$2+$E$260)&gt;='Active Inputs'!$Q$57),$E$144/MIN($E260,('Active Inputs'!$Q$57-1)),IF(AE$2='Active Inputs'!$Q$57,-($E$144),0))</f>
        <v>0</v>
      </c>
      <c r="AF260" s="221">
        <f>IF(AND(AF$2&lt;'Active Inputs'!$Q$57,(AF$2+$E$260)&gt;='Active Inputs'!$Q$57),$E$144/MIN($E260,('Active Inputs'!$Q$57-1)),IF(AF$2='Active Inputs'!$Q$57,-($E$144),0))</f>
        <v>0</v>
      </c>
      <c r="AG260" s="221">
        <f>IF(AND(AG$2&lt;'Active Inputs'!$Q$57,(AG$2+$E$260)&gt;='Active Inputs'!$Q$57),$E$144/MIN($E260,('Active Inputs'!$Q$57-1)),IF(AG$2='Active Inputs'!$Q$57,-($E$144),0))</f>
        <v>0</v>
      </c>
      <c r="AH260" s="221">
        <f>IF(AND(AH$2&lt;'Active Inputs'!$Q$57,(AH$2+$E$260)&gt;='Active Inputs'!$Q$57),$E$144/MIN($E260,('Active Inputs'!$Q$57-1)),IF(AH$2='Active Inputs'!$Q$57,-($E$144),0))</f>
        <v>0</v>
      </c>
      <c r="AI260" s="221">
        <f>IF(AND(AI$2&lt;'Active Inputs'!$Q$57,(AI$2+$E$260)&gt;='Active Inputs'!$Q$57),$E$144/MIN($E260,('Active Inputs'!$Q$57-1)),IF(AI$2='Active Inputs'!$Q$57,-($E$144),0))</f>
        <v>0</v>
      </c>
      <c r="AJ260" s="221">
        <f>IF(AND(AJ$2&lt;'Active Inputs'!$Q$57,(AJ$2+$E$260)&gt;='Active Inputs'!$Q$57),$E$144/MIN($E260,('Active Inputs'!$Q$57-1)),IF(AJ$2='Active Inputs'!$Q$57,-($E$144),0))</f>
        <v>0</v>
      </c>
    </row>
    <row r="261" spans="2:36" ht="15.75">
      <c r="B261" s="204" t="s">
        <v>137</v>
      </c>
      <c r="C261" s="204"/>
      <c r="D261" s="204"/>
      <c r="E261" s="225"/>
      <c r="F261" s="236">
        <v>0</v>
      </c>
      <c r="G261" s="221">
        <f>IF(OR(G$2&gt;'Active Inputs'!$G$11,'Active Inputs'!$Q$62="salvage"),0,'Active Inputs'!$Q$63/'Active Inputs'!$Q$7)</f>
        <v>0</v>
      </c>
      <c r="H261" s="221">
        <f>IF(OR(H$2&gt;'Active Inputs'!$G$11,'Active Inputs'!$Q$62="salvage"),0,'Active Inputs'!$Q$63/'Active Inputs'!$Q$7)</f>
        <v>0</v>
      </c>
      <c r="I261" s="221">
        <f>IF(OR(I$2&gt;'Active Inputs'!$G$11,'Active Inputs'!$Q$62="salvage"),0,'Active Inputs'!$Q$63/'Active Inputs'!$Q$7)</f>
        <v>0</v>
      </c>
      <c r="J261" s="221">
        <f>IF(OR(J$2&gt;'Active Inputs'!$G$11,'Active Inputs'!$Q$62="salvage"),0,'Active Inputs'!$Q$63/'Active Inputs'!$Q$7)</f>
        <v>0</v>
      </c>
      <c r="K261" s="221">
        <f>IF(OR(K$2&gt;'Active Inputs'!$G$11,'Active Inputs'!$Q$62="salvage"),0,'Active Inputs'!$Q$63/'Active Inputs'!$Q$7)</f>
        <v>0</v>
      </c>
      <c r="L261" s="221">
        <f>IF(OR(L$2&gt;'Active Inputs'!$G$11,'Active Inputs'!$Q$62="salvage"),0,'Active Inputs'!$Q$63/'Active Inputs'!$Q$7)</f>
        <v>0</v>
      </c>
      <c r="M261" s="221">
        <f>IF(OR(M$2&gt;'Active Inputs'!$G$11,'Active Inputs'!$Q$62="salvage"),0,'Active Inputs'!$Q$63/'Active Inputs'!$Q$7)</f>
        <v>0</v>
      </c>
      <c r="N261" s="221">
        <f>IF(OR(N$2&gt;'Active Inputs'!$G$11,'Active Inputs'!$Q$62="salvage"),0,'Active Inputs'!$Q$63/'Active Inputs'!$Q$7)</f>
        <v>0</v>
      </c>
      <c r="O261" s="221">
        <f>IF(OR(O$2&gt;'Active Inputs'!$G$11,'Active Inputs'!$Q$62="salvage"),0,'Active Inputs'!$Q$63/'Active Inputs'!$Q$7)</f>
        <v>0</v>
      </c>
      <c r="P261" s="221">
        <f>IF(OR(P$2&gt;'Active Inputs'!$G$11,'Active Inputs'!$Q$62="salvage"),0,'Active Inputs'!$Q$63/'Active Inputs'!$Q$7)</f>
        <v>0</v>
      </c>
      <c r="Q261" s="221">
        <f>IF(OR(Q$2&gt;'Active Inputs'!$G$11,'Active Inputs'!$Q$62="salvage"),0,'Active Inputs'!$Q$63/'Active Inputs'!$Q$7)</f>
        <v>0</v>
      </c>
      <c r="R261" s="221">
        <f>IF(OR(R$2&gt;'Active Inputs'!$G$11,'Active Inputs'!$Q$62="salvage"),0,'Active Inputs'!$Q$63/'Active Inputs'!$Q$7)</f>
        <v>0</v>
      </c>
      <c r="S261" s="221">
        <f>IF(OR(S$2&gt;'Active Inputs'!$G$11,'Active Inputs'!$Q$62="salvage"),0,'Active Inputs'!$Q$63/'Active Inputs'!$Q$7)</f>
        <v>0</v>
      </c>
      <c r="T261" s="221">
        <f>IF(OR(T$2&gt;'Active Inputs'!$G$11,'Active Inputs'!$Q$62="salvage"),0,'Active Inputs'!$Q$63/'Active Inputs'!$Q$7)</f>
        <v>0</v>
      </c>
      <c r="U261" s="221">
        <f>IF(OR(U$2&gt;'Active Inputs'!$G$11,'Active Inputs'!$Q$62="salvage"),0,'Active Inputs'!$Q$63/'Active Inputs'!$Q$7)</f>
        <v>0</v>
      </c>
      <c r="V261" s="221">
        <f>IF(OR(V$2&gt;'Active Inputs'!$G$11,'Active Inputs'!$Q$62="salvage"),0,'Active Inputs'!$Q$63/'Active Inputs'!$Q$7)</f>
        <v>0</v>
      </c>
      <c r="W261" s="221">
        <f>IF(OR(W$2&gt;'Active Inputs'!$G$11,'Active Inputs'!$Q$62="salvage"),0,'Active Inputs'!$Q$63/'Active Inputs'!$Q$7)</f>
        <v>0</v>
      </c>
      <c r="X261" s="221">
        <f>IF(OR(X$2&gt;'Active Inputs'!$G$11,'Active Inputs'!$Q$62="salvage"),0,'Active Inputs'!$Q$63/'Active Inputs'!$Q$7)</f>
        <v>0</v>
      </c>
      <c r="Y261" s="221">
        <f>IF(OR(Y$2&gt;'Active Inputs'!$G$11,'Active Inputs'!$Q$62="salvage"),0,'Active Inputs'!$Q$63/'Active Inputs'!$Q$7)</f>
        <v>0</v>
      </c>
      <c r="Z261" s="221">
        <f>IF(OR(Z$2&gt;'Active Inputs'!$G$11,'Active Inputs'!$Q$62="salvage"),0,'Active Inputs'!$Q$63/'Active Inputs'!$Q$7)</f>
        <v>0</v>
      </c>
      <c r="AA261" s="221">
        <f>IF(OR(AA$2&gt;'Active Inputs'!$G$11,'Active Inputs'!$Q$62="salvage"),0,'Active Inputs'!$Q$63/'Active Inputs'!$Q$7)</f>
        <v>0</v>
      </c>
      <c r="AB261" s="221">
        <f>IF(OR(AB$2&gt;'Active Inputs'!$G$11,'Active Inputs'!$Q$62="salvage"),0,'Active Inputs'!$Q$63/'Active Inputs'!$Q$7)</f>
        <v>0</v>
      </c>
      <c r="AC261" s="221">
        <f>IF(OR(AC$2&gt;'Active Inputs'!$G$11,'Active Inputs'!$Q$62="salvage"),0,'Active Inputs'!$Q$63/'Active Inputs'!$Q$7)</f>
        <v>0</v>
      </c>
      <c r="AD261" s="221">
        <f>IF(OR(AD$2&gt;'Active Inputs'!$G$11,'Active Inputs'!$Q$62="salvage"),0,'Active Inputs'!$Q$63/'Active Inputs'!$Q$7)</f>
        <v>0</v>
      </c>
      <c r="AE261" s="221">
        <f>IF(OR(AE$2&gt;'Active Inputs'!$G$11,'Active Inputs'!$Q$62="salvage"),0,'Active Inputs'!$Q$63/'Active Inputs'!$Q$7)</f>
        <v>0</v>
      </c>
      <c r="AF261" s="221">
        <f>IF(OR(AF$2&gt;'Active Inputs'!$G$11,'Active Inputs'!$Q$62="salvage"),0,'Active Inputs'!$Q$63/'Active Inputs'!$Q$7)</f>
        <v>0</v>
      </c>
      <c r="AG261" s="221">
        <f>IF(OR(AG$2&gt;'Active Inputs'!$G$11,'Active Inputs'!$Q$62="salvage"),0,'Active Inputs'!$Q$63/'Active Inputs'!$Q$7)</f>
        <v>0</v>
      </c>
      <c r="AH261" s="221">
        <f>IF(OR(AH$2&gt;'Active Inputs'!$G$11,'Active Inputs'!$Q$62="salvage"),0,'Active Inputs'!$Q$63/'Active Inputs'!$Q$7)</f>
        <v>0</v>
      </c>
      <c r="AI261" s="221">
        <f>IF(OR(AI$2&gt;'Active Inputs'!$G$11,'Active Inputs'!$Q$62="salvage"),0,'Active Inputs'!$Q$63/'Active Inputs'!$Q$7)</f>
        <v>0</v>
      </c>
      <c r="AJ261" s="221">
        <f>IF(OR(AJ$2&gt;'Active Inputs'!$G$11,'Active Inputs'!$Q$62="salvage"),0,'Active Inputs'!$Q$63/'Active Inputs'!$Q$7)</f>
        <v>0</v>
      </c>
    </row>
    <row r="262" spans="2:36" ht="15.75">
      <c r="B262" s="188" t="s">
        <v>360</v>
      </c>
      <c r="C262" s="188"/>
      <c r="D262" s="188"/>
      <c r="E262" s="225"/>
      <c r="F262" s="221">
        <f>IF(F$2&gt;'Active Inputs'!$G$11,0,SUM(F254:F261))</f>
        <v>0</v>
      </c>
      <c r="G262" s="221">
        <f>IF(G$2&gt;'Active Inputs'!$G$11,0,SUM(G254:G261))</f>
        <v>0</v>
      </c>
      <c r="H262" s="221">
        <f>IF(H$2&gt;'Active Inputs'!$G$11,0,SUM(H254:H261))</f>
        <v>10500</v>
      </c>
      <c r="I262" s="221">
        <f>IF(I$2&gt;'Active Inputs'!$G$11,0,SUM(I254:I261))</f>
        <v>21000</v>
      </c>
      <c r="J262" s="221">
        <f>IF(J$2&gt;'Active Inputs'!$G$11,0,SUM(J254:J261))</f>
        <v>31500</v>
      </c>
      <c r="K262" s="221">
        <f>IF(K$2&gt;'Active Inputs'!$G$11,0,SUM(K254:K261))</f>
        <v>42000</v>
      </c>
      <c r="L262" s="221">
        <f>IF(L$2&gt;'Active Inputs'!$G$11,0,SUM(L254:L261))</f>
        <v>52500</v>
      </c>
      <c r="M262" s="221">
        <f>IF(M$2&gt;'Active Inputs'!$G$11,0,SUM(M254:M261))</f>
        <v>63000</v>
      </c>
      <c r="N262" s="221">
        <f>IF(N$2&gt;'Active Inputs'!$G$11,0,SUM(N254:N261))</f>
        <v>73500</v>
      </c>
      <c r="O262" s="221">
        <f>IF(O$2&gt;'Active Inputs'!$G$11,0,SUM(O254:O261))</f>
        <v>84000</v>
      </c>
      <c r="P262" s="221">
        <f>IF(P$2&gt;'Active Inputs'!$G$11,0,SUM(P254:P261))</f>
        <v>94500</v>
      </c>
      <c r="Q262" s="221">
        <f>IF(Q$2&gt;'Active Inputs'!$G$11,0,SUM(Q254:Q261))</f>
        <v>105000</v>
      </c>
      <c r="R262" s="221">
        <f>IF(R$2&gt;'Active Inputs'!$G$11,0,SUM(R254:R261))</f>
        <v>0</v>
      </c>
      <c r="S262" s="221">
        <f>IF(S$2&gt;'Active Inputs'!$G$11,0,SUM(S254:S261))</f>
        <v>0</v>
      </c>
      <c r="T262" s="221">
        <f>IF(T$2&gt;'Active Inputs'!$G$11,0,SUM(T254:T261))</f>
        <v>0</v>
      </c>
      <c r="U262" s="221">
        <f>IF(U$2&gt;'Active Inputs'!$G$11,0,SUM(U254:U261))</f>
        <v>0</v>
      </c>
      <c r="V262" s="221">
        <f>IF(V$2&gt;'Active Inputs'!$G$11,0,SUM(V254:V261))</f>
        <v>0</v>
      </c>
      <c r="W262" s="221">
        <f>IF(W$2&gt;'Active Inputs'!$G$11,0,SUM(W254:W261))</f>
        <v>0</v>
      </c>
      <c r="X262" s="221">
        <f>IF(X$2&gt;'Active Inputs'!$G$11,0,SUM(X254:X261))</f>
        <v>0</v>
      </c>
      <c r="Y262" s="221">
        <f>IF(Y$2&gt;'Active Inputs'!$G$11,0,SUM(Y254:Y261))</f>
        <v>0</v>
      </c>
      <c r="Z262" s="221">
        <f>IF(Z$2&gt;'Active Inputs'!$G$11,0,SUM(Z254:Z261))</f>
        <v>0</v>
      </c>
      <c r="AA262" s="221">
        <f>IF(AA$2&gt;'Active Inputs'!$G$11,0,SUM(AA254:AA261))</f>
        <v>0</v>
      </c>
      <c r="AB262" s="221">
        <f>IF(AB$2&gt;'Active Inputs'!$G$11,0,SUM(AB254:AB261))</f>
        <v>0</v>
      </c>
      <c r="AC262" s="221">
        <f>IF(AC$2&gt;'Active Inputs'!$G$11,0,SUM(AC254:AC261))</f>
        <v>0</v>
      </c>
      <c r="AD262" s="221">
        <f>IF(AD$2&gt;'Active Inputs'!$G$11,0,SUM(AD254:AD261))</f>
        <v>0</v>
      </c>
      <c r="AE262" s="221">
        <f>IF(AE$2&gt;'Active Inputs'!$G$11,0,SUM(AE254:AE261))</f>
        <v>0</v>
      </c>
      <c r="AF262" s="221">
        <f>IF(AF$2&gt;'Active Inputs'!$G$11,0,SUM(AF254:AF261))</f>
        <v>0</v>
      </c>
      <c r="AG262" s="221">
        <f>IF(AG$2&gt;'Active Inputs'!$G$11,0,SUM(AG254:AG261))</f>
        <v>0</v>
      </c>
      <c r="AH262" s="221">
        <f>IF(AH$2&gt;'Active Inputs'!$G$11,0,SUM(AH254:AH261))</f>
        <v>0</v>
      </c>
      <c r="AI262" s="221">
        <f>IF(AI$2&gt;'Active Inputs'!$G$11,0,SUM(AI254:AI261))</f>
        <v>0</v>
      </c>
      <c r="AJ262" s="221">
        <f>IF(AJ$2&gt;'Active Inputs'!$G$11,0,SUM(AJ254:AJ261))</f>
        <v>0</v>
      </c>
    </row>
    <row r="263" spans="2:36" ht="15.75">
      <c r="B263" s="187"/>
      <c r="C263" s="187"/>
      <c r="D263" s="187"/>
      <c r="E263" s="225"/>
      <c r="F263" s="221"/>
      <c r="G263" s="221"/>
      <c r="H263" s="221"/>
      <c r="I263" s="221"/>
      <c r="J263" s="221"/>
      <c r="K263" s="221"/>
      <c r="L263" s="221"/>
      <c r="M263" s="221"/>
      <c r="N263" s="225"/>
      <c r="O263" s="225"/>
      <c r="P263" s="225"/>
      <c r="Q263" s="225"/>
      <c r="R263" s="225"/>
      <c r="S263" s="225"/>
      <c r="T263" s="225"/>
      <c r="U263" s="225"/>
      <c r="V263" s="225"/>
      <c r="W263" s="225"/>
      <c r="X263" s="225"/>
      <c r="Y263" s="225"/>
      <c r="Z263" s="225"/>
      <c r="AA263" s="225"/>
      <c r="AB263" s="225"/>
      <c r="AC263" s="225"/>
      <c r="AD263" s="225"/>
      <c r="AE263" s="225"/>
      <c r="AF263" s="225"/>
      <c r="AG263" s="225"/>
      <c r="AH263" s="225"/>
      <c r="AI263" s="225"/>
      <c r="AJ263" s="225"/>
    </row>
    <row r="264" spans="2:36" ht="15.75">
      <c r="B264" s="188" t="s">
        <v>428</v>
      </c>
      <c r="C264" s="188"/>
      <c r="D264" s="188"/>
      <c r="E264" s="225"/>
      <c r="F264" s="221"/>
      <c r="G264" s="221">
        <f>AVERAGE(G254,G262)*'Active Inputs'!$Q$72</f>
        <v>0</v>
      </c>
      <c r="H264" s="221">
        <f>AVERAGE(H254,H262)*'Active Inputs'!$Q$72</f>
        <v>105</v>
      </c>
      <c r="I264" s="221">
        <f>AVERAGE(I254,I262)*'Active Inputs'!$Q$72</f>
        <v>315</v>
      </c>
      <c r="J264" s="221">
        <f>AVERAGE(J254,J262)*'Active Inputs'!$Q$72</f>
        <v>525</v>
      </c>
      <c r="K264" s="221">
        <f>AVERAGE(K254,K262)*'Active Inputs'!$Q$72</f>
        <v>735</v>
      </c>
      <c r="L264" s="221">
        <f>AVERAGE(L254,L262)*'Active Inputs'!$Q$72</f>
        <v>945</v>
      </c>
      <c r="M264" s="221">
        <f>AVERAGE(M254,M262)*'Active Inputs'!$Q$72</f>
        <v>1155</v>
      </c>
      <c r="N264" s="221">
        <f>AVERAGE(N254,N262)*'Active Inputs'!$Q$72</f>
        <v>1365</v>
      </c>
      <c r="O264" s="221">
        <f>AVERAGE(O254,O262)*'Active Inputs'!$Q$72</f>
        <v>1575</v>
      </c>
      <c r="P264" s="221">
        <f>AVERAGE(P254,P262)*'Active Inputs'!$Q$72</f>
        <v>1785</v>
      </c>
      <c r="Q264" s="221">
        <f>AVERAGE(Q254,Q262)*'Active Inputs'!$Q$72</f>
        <v>1995</v>
      </c>
      <c r="R264" s="221">
        <f>AVERAGE(R254,R262)*'Active Inputs'!$Q$72</f>
        <v>1050</v>
      </c>
      <c r="S264" s="221">
        <f>AVERAGE(S254,S262)*'Active Inputs'!$Q$72</f>
        <v>0</v>
      </c>
      <c r="T264" s="221">
        <f>AVERAGE(T254,T262)*'Active Inputs'!$Q$72</f>
        <v>0</v>
      </c>
      <c r="U264" s="221">
        <f>AVERAGE(U254,U262)*'Active Inputs'!$Q$72</f>
        <v>0</v>
      </c>
      <c r="V264" s="221">
        <f>AVERAGE(V254,V262)*'Active Inputs'!$Q$72</f>
        <v>0</v>
      </c>
      <c r="W264" s="221">
        <f>AVERAGE(W254,W262)*'Active Inputs'!$Q$72</f>
        <v>0</v>
      </c>
      <c r="X264" s="221">
        <f>AVERAGE(X254,X262)*'Active Inputs'!$Q$72</f>
        <v>0</v>
      </c>
      <c r="Y264" s="221">
        <f>AVERAGE(Y254,Y262)*'Active Inputs'!$Q$72</f>
        <v>0</v>
      </c>
      <c r="Z264" s="221">
        <f>AVERAGE(Z254,Z262)*'Active Inputs'!$Q$72</f>
        <v>0</v>
      </c>
      <c r="AA264" s="221">
        <f>AVERAGE(AA254,AA262)*'Active Inputs'!$Q$72</f>
        <v>0</v>
      </c>
      <c r="AB264" s="221">
        <f>AVERAGE(AB254,AB262)*'Active Inputs'!$Q$72</f>
        <v>0</v>
      </c>
      <c r="AC264" s="221">
        <f>AVERAGE(AC254,AC262)*'Active Inputs'!$Q$72</f>
        <v>0</v>
      </c>
      <c r="AD264" s="221">
        <f>AVERAGE(AD254,AD262)*'Active Inputs'!$Q$72</f>
        <v>0</v>
      </c>
      <c r="AE264" s="221">
        <f>AVERAGE(AE254,AE262)*'Active Inputs'!$Q$72</f>
        <v>0</v>
      </c>
      <c r="AF264" s="221">
        <f>AVERAGE(AF254,AF262)*'Active Inputs'!$Q$72</f>
        <v>0</v>
      </c>
      <c r="AG264" s="221">
        <f>AVERAGE(AG254,AG262)*'Active Inputs'!$Q$72</f>
        <v>0</v>
      </c>
      <c r="AH264" s="221">
        <f>AVERAGE(AH254,AH262)*'Active Inputs'!$Q$72</f>
        <v>0</v>
      </c>
      <c r="AI264" s="221">
        <f>AVERAGE(AI254,AI262)*'Active Inputs'!$Q$72</f>
        <v>0</v>
      </c>
      <c r="AJ264" s="221">
        <f>AVERAGE(AJ254,AJ262)*'Active Inputs'!$Q$72</f>
        <v>0</v>
      </c>
    </row>
    <row r="265" spans="2:36" ht="15.75">
      <c r="B265" s="188" t="s">
        <v>429</v>
      </c>
      <c r="C265" s="188"/>
      <c r="D265" s="188"/>
      <c r="E265" s="225"/>
      <c r="F265" s="225"/>
      <c r="G265" s="221">
        <f>SUM(G255:G261)</f>
        <v>0</v>
      </c>
      <c r="H265" s="221">
        <f t="shared" ref="H265:AJ265" si="202">SUM(H255:H261)</f>
        <v>10500</v>
      </c>
      <c r="I265" s="221">
        <f t="shared" si="202"/>
        <v>10500</v>
      </c>
      <c r="J265" s="221">
        <f t="shared" si="202"/>
        <v>10500</v>
      </c>
      <c r="K265" s="221">
        <f t="shared" si="202"/>
        <v>10500</v>
      </c>
      <c r="L265" s="221">
        <f t="shared" si="202"/>
        <v>10500</v>
      </c>
      <c r="M265" s="221">
        <f t="shared" si="202"/>
        <v>10500</v>
      </c>
      <c r="N265" s="221">
        <f t="shared" si="202"/>
        <v>10500</v>
      </c>
      <c r="O265" s="221">
        <f t="shared" si="202"/>
        <v>10500</v>
      </c>
      <c r="P265" s="221">
        <f t="shared" si="202"/>
        <v>10500</v>
      </c>
      <c r="Q265" s="221">
        <f t="shared" si="202"/>
        <v>10500</v>
      </c>
      <c r="R265" s="221">
        <f t="shared" si="202"/>
        <v>-105000</v>
      </c>
      <c r="S265" s="221">
        <f t="shared" si="202"/>
        <v>0</v>
      </c>
      <c r="T265" s="221">
        <f t="shared" si="202"/>
        <v>0</v>
      </c>
      <c r="U265" s="221">
        <f t="shared" si="202"/>
        <v>0</v>
      </c>
      <c r="V265" s="221">
        <f t="shared" si="202"/>
        <v>0</v>
      </c>
      <c r="W265" s="221">
        <f t="shared" si="202"/>
        <v>0</v>
      </c>
      <c r="X265" s="221">
        <f t="shared" si="202"/>
        <v>0</v>
      </c>
      <c r="Y265" s="221">
        <f t="shared" si="202"/>
        <v>0</v>
      </c>
      <c r="Z265" s="221">
        <f t="shared" si="202"/>
        <v>0</v>
      </c>
      <c r="AA265" s="221">
        <f t="shared" si="202"/>
        <v>0</v>
      </c>
      <c r="AB265" s="221">
        <f t="shared" si="202"/>
        <v>0</v>
      </c>
      <c r="AC265" s="221">
        <f t="shared" si="202"/>
        <v>0</v>
      </c>
      <c r="AD265" s="221">
        <f t="shared" si="202"/>
        <v>0</v>
      </c>
      <c r="AE265" s="221">
        <f t="shared" si="202"/>
        <v>0</v>
      </c>
      <c r="AF265" s="221">
        <f t="shared" si="202"/>
        <v>0</v>
      </c>
      <c r="AG265" s="221">
        <f t="shared" si="202"/>
        <v>0</v>
      </c>
      <c r="AH265" s="221">
        <f t="shared" si="202"/>
        <v>0</v>
      </c>
      <c r="AI265" s="221">
        <f t="shared" si="202"/>
        <v>0</v>
      </c>
      <c r="AJ265" s="221">
        <f t="shared" si="202"/>
        <v>0</v>
      </c>
    </row>
    <row r="266" spans="2:36" ht="16.5" thickBot="1">
      <c r="B266" s="226"/>
      <c r="C266" s="226"/>
      <c r="D266" s="226"/>
      <c r="E266" s="227"/>
      <c r="F266" s="228"/>
      <c r="G266" s="228"/>
      <c r="H266" s="228"/>
      <c r="I266" s="228"/>
      <c r="J266" s="228"/>
      <c r="K266" s="228"/>
      <c r="L266" s="228"/>
      <c r="M266" s="228"/>
      <c r="N266" s="228"/>
      <c r="O266" s="228"/>
      <c r="P266" s="228"/>
      <c r="Q266" s="228"/>
      <c r="R266" s="228"/>
      <c r="S266" s="228"/>
      <c r="T266" s="228"/>
      <c r="U266" s="228"/>
      <c r="V266" s="228"/>
      <c r="W266" s="228"/>
      <c r="X266" s="228"/>
      <c r="Y266" s="228"/>
      <c r="Z266" s="228"/>
      <c r="AA266" s="228"/>
      <c r="AB266" s="228"/>
      <c r="AC266" s="228"/>
      <c r="AD266" s="228"/>
      <c r="AE266" s="228"/>
      <c r="AF266" s="228"/>
      <c r="AG266" s="228"/>
      <c r="AH266" s="228"/>
      <c r="AI266" s="228"/>
      <c r="AJ266" s="228"/>
    </row>
    <row r="267" spans="2:36" ht="15.75">
      <c r="B267" s="219"/>
      <c r="C267" s="219"/>
      <c r="D267" s="219"/>
      <c r="E267" s="225"/>
      <c r="F267" s="221"/>
      <c r="G267" s="332"/>
      <c r="H267" s="221"/>
      <c r="I267" s="221"/>
      <c r="J267" s="221"/>
      <c r="K267" s="221"/>
      <c r="L267" s="221"/>
      <c r="M267" s="221"/>
      <c r="N267" s="221"/>
      <c r="O267" s="221"/>
      <c r="P267" s="221"/>
      <c r="Q267" s="221"/>
      <c r="R267" s="221"/>
      <c r="S267" s="221"/>
      <c r="T267" s="221"/>
      <c r="U267" s="221"/>
      <c r="V267" s="221"/>
      <c r="W267" s="221"/>
      <c r="X267" s="221"/>
      <c r="Y267" s="221"/>
      <c r="Z267" s="221"/>
      <c r="AA267" s="221"/>
      <c r="AB267" s="221"/>
      <c r="AC267" s="221"/>
      <c r="AD267" s="221"/>
      <c r="AE267" s="221"/>
      <c r="AF267" s="221"/>
      <c r="AG267" s="221"/>
      <c r="AH267" s="221"/>
      <c r="AI267" s="221"/>
      <c r="AJ267" s="221"/>
    </row>
    <row r="268" spans="2:36" ht="15.75">
      <c r="B268" s="338" t="s">
        <v>430</v>
      </c>
      <c r="C268" s="338"/>
      <c r="D268" s="338"/>
      <c r="E268" s="225"/>
      <c r="F268" s="221"/>
      <c r="G268" s="333" t="s">
        <v>431</v>
      </c>
      <c r="H268" s="221"/>
      <c r="I268" s="221"/>
      <c r="J268" s="225"/>
      <c r="K268" s="333" t="s">
        <v>431</v>
      </c>
      <c r="L268" s="221"/>
      <c r="M268" s="221"/>
      <c r="N268" s="225"/>
      <c r="O268" s="333" t="s">
        <v>431</v>
      </c>
      <c r="P268" s="221"/>
      <c r="Q268" s="221"/>
      <c r="R268" s="333" t="s">
        <v>432</v>
      </c>
      <c r="S268" s="333" t="s">
        <v>433</v>
      </c>
      <c r="T268" s="225"/>
      <c r="U268" s="225"/>
      <c r="V268" s="221"/>
      <c r="W268" s="221"/>
      <c r="X268" s="221"/>
      <c r="Y268" s="221"/>
      <c r="Z268" s="221"/>
      <c r="AA268" s="221"/>
      <c r="AB268" s="221"/>
      <c r="AC268" s="221"/>
      <c r="AD268" s="221"/>
      <c r="AE268" s="221"/>
      <c r="AF268" s="221"/>
      <c r="AG268" s="221"/>
      <c r="AH268" s="221"/>
      <c r="AI268" s="221"/>
      <c r="AJ268" s="221"/>
    </row>
    <row r="269" spans="2:36" ht="15.75">
      <c r="B269" s="219" t="s">
        <v>434</v>
      </c>
      <c r="C269" s="219"/>
      <c r="D269" s="219"/>
      <c r="E269" s="225"/>
      <c r="F269" s="221"/>
      <c r="G269" s="221">
        <f>$D$78</f>
        <v>-15063.207288856929</v>
      </c>
      <c r="H269" s="221"/>
      <c r="I269" s="221"/>
      <c r="J269" s="225"/>
      <c r="K269" s="221">
        <f>$D$78</f>
        <v>-15063.207288856929</v>
      </c>
      <c r="L269" s="221"/>
      <c r="M269" s="221"/>
      <c r="N269" s="225"/>
      <c r="O269" s="221">
        <f>$D$78</f>
        <v>-15063.207288856929</v>
      </c>
      <c r="P269" s="221"/>
      <c r="Q269" s="221"/>
      <c r="R269" s="334">
        <f>LOOKUP(MIN($P$270:$P$280),$O$270:$O$280,$N$270:$N$280)</f>
        <v>18.600000000000009</v>
      </c>
      <c r="S269" s="334">
        <f>LOOKUP(MAX($Q$270:$Q$280),$O$270:$O$280,$N$270:$N$280)</f>
        <v>18.70000000000001</v>
      </c>
      <c r="T269" s="377"/>
      <c r="U269" s="225"/>
      <c r="V269" s="221"/>
      <c r="W269" s="221"/>
      <c r="X269" s="221"/>
      <c r="Y269" s="221"/>
      <c r="Z269" s="221"/>
      <c r="AA269" s="221"/>
      <c r="AB269" s="221"/>
      <c r="AC269" s="221"/>
      <c r="AD269" s="221"/>
      <c r="AE269" s="221"/>
      <c r="AF269" s="221"/>
      <c r="AG269" s="221"/>
      <c r="AH269" s="221"/>
      <c r="AI269" s="221"/>
      <c r="AJ269" s="221"/>
    </row>
    <row r="270" spans="2:36" ht="15.75">
      <c r="B270" s="219"/>
      <c r="C270" s="219"/>
      <c r="D270" s="219"/>
      <c r="E270" s="225"/>
      <c r="F270" s="335">
        <v>0</v>
      </c>
      <c r="G270" s="221">
        <f t="dataTable" ref="G270:G280" dt2D="0" dtr="0" r1="G78"/>
        <v>-6513265.2221207637</v>
      </c>
      <c r="H270" s="221"/>
      <c r="I270" s="221"/>
      <c r="J270" s="336">
        <f>LOOKUP(MIN($H$270:$H$280),$G$270:$G$280,$F$270:$F$280)</f>
        <v>10</v>
      </c>
      <c r="K270" s="221">
        <f t="dataTable" ref="K270:K280" dt2D="0" dtr="0" r1="G78" ca="1"/>
        <v>-3047696.4055847125</v>
      </c>
      <c r="L270" s="221"/>
      <c r="M270" s="221"/>
      <c r="N270" s="336">
        <f>LOOKUP(MIN($L$270:$L$280),$K$270:$K$280,$J$270:$J$280)</f>
        <v>18</v>
      </c>
      <c r="O270" s="221">
        <f t="dataTable" ref="O270:O280" dt2D="0" dtr="0" r1="G78" ca="1"/>
        <v>-243043.43940094669</v>
      </c>
      <c r="P270" s="221"/>
      <c r="Q270" s="221"/>
      <c r="R270" s="221"/>
      <c r="S270" s="221"/>
      <c r="T270" s="221"/>
      <c r="U270" s="221"/>
      <c r="V270" s="221"/>
      <c r="W270" s="221"/>
      <c r="X270" s="221"/>
      <c r="Y270" s="221"/>
      <c r="Z270" s="221"/>
      <c r="AA270" s="221"/>
      <c r="AB270" s="221"/>
      <c r="AC270" s="221"/>
      <c r="AD270" s="221"/>
      <c r="AE270" s="221"/>
      <c r="AF270" s="221"/>
      <c r="AG270" s="221"/>
      <c r="AH270" s="221"/>
      <c r="AI270" s="221"/>
      <c r="AJ270" s="221"/>
    </row>
    <row r="271" spans="2:36" ht="15.75">
      <c r="B271" s="225"/>
      <c r="C271" s="225"/>
      <c r="D271" s="225"/>
      <c r="E271" s="225"/>
      <c r="F271" s="335">
        <v>10</v>
      </c>
      <c r="G271" s="221">
        <v>-3047696.4055847125</v>
      </c>
      <c r="H271" s="221">
        <f t="shared" ref="H271:H280" si="203">IF(AND($G271&lt;0,$G272&gt;0),$G271,"")</f>
        <v>-3047696.4055847125</v>
      </c>
      <c r="I271" s="221" t="str">
        <f t="shared" ref="I271:I280" si="204">IF(AND($G271&gt;0,$G270&lt;0),$G271,"")</f>
        <v/>
      </c>
      <c r="J271" s="336">
        <f>J270+1</f>
        <v>11</v>
      </c>
      <c r="K271" s="221">
        <v>-2698215.1698388043</v>
      </c>
      <c r="L271" s="221" t="str">
        <f t="shared" ref="L271:L280" si="205">IF(AND($K271&lt;0,$K272&gt;0),$K271,"")</f>
        <v/>
      </c>
      <c r="M271" s="221" t="str">
        <f t="shared" ref="M271:M280" si="206">IF(AND($K271&gt;0,$K270&lt;0),$K271,"")</f>
        <v/>
      </c>
      <c r="N271" s="336">
        <f>N270+0.1</f>
        <v>18.100000000000001</v>
      </c>
      <c r="O271" s="221">
        <v>-207969.55753754813</v>
      </c>
      <c r="P271" s="221" t="str">
        <f>IF(AND($O271&lt;0,$O272&gt;0),$O271,"")</f>
        <v/>
      </c>
      <c r="Q271" s="221" t="str">
        <f>IF(AND($O271&gt;0,$O270&lt;0),$O271,"")</f>
        <v/>
      </c>
      <c r="R271" s="221"/>
      <c r="S271" s="221"/>
      <c r="T271" s="221"/>
      <c r="U271" s="221"/>
      <c r="V271" s="221"/>
      <c r="W271" s="221"/>
      <c r="X271" s="221"/>
      <c r="Y271" s="221"/>
      <c r="Z271" s="221"/>
      <c r="AA271" s="221"/>
      <c r="AB271" s="221"/>
      <c r="AC271" s="221"/>
      <c r="AD271" s="221"/>
      <c r="AE271" s="221"/>
      <c r="AF271" s="221"/>
      <c r="AG271" s="221"/>
      <c r="AH271" s="221"/>
      <c r="AI271" s="221"/>
      <c r="AJ271" s="221"/>
    </row>
    <row r="272" spans="2:36" ht="15.75">
      <c r="B272" s="225"/>
      <c r="C272" s="225"/>
      <c r="D272" s="225"/>
      <c r="E272" s="225"/>
      <c r="F272" s="335">
        <v>20</v>
      </c>
      <c r="G272" s="221">
        <v>458434.19786701264</v>
      </c>
      <c r="H272" s="221" t="str">
        <f t="shared" si="203"/>
        <v/>
      </c>
      <c r="I272" s="221">
        <f t="shared" si="204"/>
        <v>458434.19786701264</v>
      </c>
      <c r="J272" s="336">
        <f t="shared" ref="J272:J279" si="207">J271+1</f>
        <v>12</v>
      </c>
      <c r="K272" s="221">
        <v>-2347476.3512048242</v>
      </c>
      <c r="L272" s="221" t="str">
        <f t="shared" si="205"/>
        <v/>
      </c>
      <c r="M272" s="221" t="str">
        <f t="shared" si="206"/>
        <v/>
      </c>
      <c r="N272" s="336">
        <f t="shared" ref="N272:N279" si="208">N271+0.1</f>
        <v>18.200000000000003</v>
      </c>
      <c r="O272" s="221">
        <v>-172895.67567415067</v>
      </c>
      <c r="P272" s="221" t="str">
        <f t="shared" ref="P272:P280" si="209">IF(AND($O272&lt;0,$O273&gt;0),$O272,"")</f>
        <v/>
      </c>
      <c r="Q272" s="221" t="str">
        <f t="shared" ref="Q272:Q280" si="210">IF(AND($O272&gt;0,$O271&lt;0),$O272,"")</f>
        <v/>
      </c>
      <c r="R272" s="221"/>
      <c r="S272" s="221"/>
      <c r="T272" s="221"/>
      <c r="U272" s="221"/>
      <c r="V272" s="221"/>
      <c r="W272" s="221"/>
      <c r="X272" s="221"/>
      <c r="Y272" s="221"/>
      <c r="Z272" s="221"/>
      <c r="AA272" s="221"/>
      <c r="AB272" s="221"/>
      <c r="AC272" s="221"/>
      <c r="AD272" s="221"/>
      <c r="AE272" s="221"/>
      <c r="AF272" s="221"/>
      <c r="AG272" s="221"/>
      <c r="AH272" s="221"/>
      <c r="AI272" s="221"/>
      <c r="AJ272" s="221"/>
    </row>
    <row r="273" spans="2:36" ht="15.75">
      <c r="B273" s="225"/>
      <c r="C273" s="225"/>
      <c r="D273" s="225"/>
      <c r="E273" s="225"/>
      <c r="F273" s="335">
        <v>30</v>
      </c>
      <c r="G273" s="221">
        <v>3972923.5689579356</v>
      </c>
      <c r="H273" s="221" t="str">
        <f t="shared" si="203"/>
        <v/>
      </c>
      <c r="I273" s="221" t="str">
        <f t="shared" si="204"/>
        <v/>
      </c>
      <c r="J273" s="336">
        <f t="shared" si="207"/>
        <v>13</v>
      </c>
      <c r="K273" s="221">
        <v>-1996737.5325708452</v>
      </c>
      <c r="L273" s="221" t="str">
        <f t="shared" si="205"/>
        <v/>
      </c>
      <c r="M273" s="221" t="str">
        <f t="shared" si="206"/>
        <v/>
      </c>
      <c r="N273" s="336">
        <f t="shared" si="208"/>
        <v>18.300000000000004</v>
      </c>
      <c r="O273" s="221">
        <v>-137821.79381075094</v>
      </c>
      <c r="P273" s="221" t="str">
        <f t="shared" si="209"/>
        <v/>
      </c>
      <c r="Q273" s="221" t="str">
        <f t="shared" si="210"/>
        <v/>
      </c>
      <c r="R273" s="221"/>
      <c r="S273" s="221"/>
      <c r="T273" s="221"/>
      <c r="U273" s="221"/>
      <c r="V273" s="221"/>
      <c r="W273" s="221"/>
      <c r="X273" s="221"/>
      <c r="Y273" s="221"/>
      <c r="Z273" s="221"/>
      <c r="AA273" s="221"/>
      <c r="AB273" s="221"/>
      <c r="AC273" s="221"/>
      <c r="AD273" s="221"/>
      <c r="AE273" s="221"/>
      <c r="AF273" s="221"/>
      <c r="AG273" s="221"/>
      <c r="AH273" s="221"/>
      <c r="AI273" s="221"/>
      <c r="AJ273" s="221"/>
    </row>
    <row r="274" spans="2:36" ht="15.75">
      <c r="B274" s="225"/>
      <c r="C274" s="225"/>
      <c r="D274" s="225"/>
      <c r="E274" s="225"/>
      <c r="F274" s="335">
        <v>40</v>
      </c>
      <c r="G274" s="221">
        <v>7501101.0885109324</v>
      </c>
      <c r="H274" s="221" t="str">
        <f t="shared" si="203"/>
        <v/>
      </c>
      <c r="I274" s="221" t="str">
        <f t="shared" si="204"/>
        <v/>
      </c>
      <c r="J274" s="336">
        <f t="shared" si="207"/>
        <v>14</v>
      </c>
      <c r="K274" s="221">
        <v>-1645998.7139368656</v>
      </c>
      <c r="L274" s="221" t="str">
        <f t="shared" si="205"/>
        <v/>
      </c>
      <c r="M274" s="221" t="str">
        <f t="shared" si="206"/>
        <v/>
      </c>
      <c r="N274" s="336">
        <f t="shared" si="208"/>
        <v>18.400000000000006</v>
      </c>
      <c r="O274" s="221">
        <v>-102747.91194735313</v>
      </c>
      <c r="P274" s="221" t="str">
        <f t="shared" si="209"/>
        <v/>
      </c>
      <c r="Q274" s="221" t="str">
        <f t="shared" si="210"/>
        <v/>
      </c>
      <c r="R274" s="221"/>
      <c r="S274" s="221"/>
      <c r="T274" s="221"/>
      <c r="U274" s="221"/>
      <c r="V274" s="221"/>
      <c r="W274" s="221"/>
      <c r="X274" s="221"/>
      <c r="Y274" s="221"/>
      <c r="Z274" s="221"/>
      <c r="AA274" s="221"/>
      <c r="AB274" s="221"/>
      <c r="AC274" s="221"/>
      <c r="AD274" s="221"/>
      <c r="AE274" s="221"/>
      <c r="AF274" s="221"/>
      <c r="AG274" s="221"/>
      <c r="AH274" s="221"/>
      <c r="AI274" s="221"/>
      <c r="AJ274" s="221"/>
    </row>
    <row r="275" spans="2:36" ht="15.75">
      <c r="B275" s="225"/>
      <c r="C275" s="225"/>
      <c r="D275" s="225"/>
      <c r="E275" s="225"/>
      <c r="F275" s="335">
        <v>50</v>
      </c>
      <c r="G275" s="221">
        <v>11044749.398604305</v>
      </c>
      <c r="H275" s="221" t="str">
        <f t="shared" si="203"/>
        <v/>
      </c>
      <c r="I275" s="221" t="str">
        <f t="shared" si="204"/>
        <v/>
      </c>
      <c r="J275" s="336">
        <f t="shared" si="207"/>
        <v>15</v>
      </c>
      <c r="K275" s="221">
        <v>-1295259.8953028857</v>
      </c>
      <c r="L275" s="221" t="str">
        <f t="shared" si="205"/>
        <v/>
      </c>
      <c r="M275" s="221" t="str">
        <f t="shared" si="206"/>
        <v/>
      </c>
      <c r="N275" s="336">
        <f t="shared" si="208"/>
        <v>18.500000000000007</v>
      </c>
      <c r="O275" s="221">
        <v>-67674.03008395512</v>
      </c>
      <c r="P275" s="221" t="str">
        <f t="shared" si="209"/>
        <v/>
      </c>
      <c r="Q275" s="221" t="str">
        <f t="shared" si="210"/>
        <v/>
      </c>
      <c r="R275" s="221"/>
      <c r="S275" s="221"/>
      <c r="T275" s="221"/>
      <c r="U275" s="221"/>
      <c r="V275" s="221"/>
      <c r="W275" s="221"/>
      <c r="X275" s="221"/>
      <c r="Y275" s="221"/>
      <c r="Z275" s="221"/>
      <c r="AA275" s="221"/>
      <c r="AB275" s="221"/>
      <c r="AC275" s="221"/>
      <c r="AD275" s="221"/>
      <c r="AE275" s="221"/>
      <c r="AF275" s="221"/>
      <c r="AG275" s="221"/>
      <c r="AH275" s="221"/>
      <c r="AI275" s="221"/>
      <c r="AJ275" s="221"/>
    </row>
    <row r="276" spans="2:36" ht="15.75">
      <c r="B276" s="225"/>
      <c r="C276" s="225"/>
      <c r="D276" s="225"/>
      <c r="E276" s="225"/>
      <c r="F276" s="335">
        <v>60</v>
      </c>
      <c r="G276" s="221">
        <v>14591697.750908792</v>
      </c>
      <c r="H276" s="221" t="str">
        <f t="shared" si="203"/>
        <v/>
      </c>
      <c r="I276" s="221" t="str">
        <f t="shared" si="204"/>
        <v/>
      </c>
      <c r="J276" s="336">
        <f t="shared" si="207"/>
        <v>16</v>
      </c>
      <c r="K276" s="221">
        <v>-944521.07666890614</v>
      </c>
      <c r="L276" s="221" t="str">
        <f t="shared" si="205"/>
        <v/>
      </c>
      <c r="M276" s="221" t="str">
        <f t="shared" si="206"/>
        <v/>
      </c>
      <c r="N276" s="336">
        <f t="shared" si="208"/>
        <v>18.600000000000009</v>
      </c>
      <c r="O276" s="221">
        <v>-32600.148220555937</v>
      </c>
      <c r="P276" s="221">
        <f t="shared" si="209"/>
        <v>-32600.148220555937</v>
      </c>
      <c r="Q276" s="221" t="str">
        <f t="shared" si="210"/>
        <v/>
      </c>
      <c r="R276" s="221"/>
      <c r="S276" s="221"/>
      <c r="T276" s="221"/>
      <c r="U276" s="221"/>
      <c r="V276" s="221"/>
      <c r="W276" s="221"/>
      <c r="X276" s="221"/>
      <c r="Y276" s="221"/>
      <c r="Z276" s="221"/>
      <c r="AA276" s="221"/>
      <c r="AB276" s="221"/>
      <c r="AC276" s="221"/>
      <c r="AD276" s="221"/>
      <c r="AE276" s="221"/>
      <c r="AF276" s="221"/>
      <c r="AG276" s="221"/>
      <c r="AH276" s="221"/>
      <c r="AI276" s="221"/>
      <c r="AJ276" s="221"/>
    </row>
    <row r="277" spans="2:36" ht="15.75">
      <c r="B277" s="225"/>
      <c r="C277" s="225"/>
      <c r="D277" s="225"/>
      <c r="E277" s="225"/>
      <c r="F277" s="335">
        <v>70</v>
      </c>
      <c r="G277" s="221">
        <v>18147181.296620779</v>
      </c>
      <c r="H277" s="221" t="str">
        <f t="shared" si="203"/>
        <v/>
      </c>
      <c r="I277" s="221" t="str">
        <f t="shared" si="204"/>
        <v/>
      </c>
      <c r="J277" s="336">
        <f t="shared" si="207"/>
        <v>17</v>
      </c>
      <c r="K277" s="221">
        <v>-593782.25803492602</v>
      </c>
      <c r="L277" s="221" t="str">
        <f t="shared" si="205"/>
        <v/>
      </c>
      <c r="M277" s="221" t="str">
        <f t="shared" si="206"/>
        <v/>
      </c>
      <c r="N277" s="336">
        <f t="shared" si="208"/>
        <v>18.70000000000001</v>
      </c>
      <c r="O277" s="221">
        <v>2473.7336428428193</v>
      </c>
      <c r="P277" s="221" t="str">
        <f t="shared" si="209"/>
        <v/>
      </c>
      <c r="Q277" s="221">
        <f t="shared" si="210"/>
        <v>2473.7336428428193</v>
      </c>
      <c r="R277" s="221"/>
      <c r="S277" s="221"/>
      <c r="T277" s="221"/>
      <c r="U277" s="221"/>
      <c r="V277" s="221"/>
      <c r="W277" s="221"/>
      <c r="X277" s="221"/>
      <c r="Y277" s="221"/>
      <c r="Z277" s="221"/>
      <c r="AA277" s="221"/>
      <c r="AB277" s="221"/>
      <c r="AC277" s="221"/>
      <c r="AD277" s="221"/>
      <c r="AE277" s="221"/>
      <c r="AF277" s="221"/>
      <c r="AG277" s="221"/>
      <c r="AH277" s="221"/>
      <c r="AI277" s="221"/>
      <c r="AJ277" s="221"/>
    </row>
    <row r="278" spans="2:36" ht="15.75">
      <c r="B278" s="225"/>
      <c r="C278" s="225"/>
      <c r="D278" s="225"/>
      <c r="E278" s="225"/>
      <c r="F278" s="335">
        <v>80</v>
      </c>
      <c r="G278" s="221">
        <v>21703467.819679502</v>
      </c>
      <c r="H278" s="221" t="str">
        <f t="shared" si="203"/>
        <v/>
      </c>
      <c r="I278" s="221" t="str">
        <f t="shared" si="204"/>
        <v/>
      </c>
      <c r="J278" s="336">
        <f t="shared" si="207"/>
        <v>18</v>
      </c>
      <c r="K278" s="221">
        <v>-243043.43940094669</v>
      </c>
      <c r="L278" s="221">
        <f t="shared" si="205"/>
        <v>-243043.43940094669</v>
      </c>
      <c r="M278" s="221" t="str">
        <f t="shared" si="206"/>
        <v/>
      </c>
      <c r="N278" s="336">
        <f t="shared" si="208"/>
        <v>18.800000000000011</v>
      </c>
      <c r="O278" s="221">
        <v>37547.61550624096</v>
      </c>
      <c r="P278" s="221" t="str">
        <f t="shared" si="209"/>
        <v/>
      </c>
      <c r="Q278" s="221" t="str">
        <f t="shared" si="210"/>
        <v/>
      </c>
      <c r="R278" s="221"/>
      <c r="S278" s="221"/>
      <c r="T278" s="221"/>
      <c r="U278" s="221"/>
      <c r="V278" s="221"/>
      <c r="W278" s="221"/>
      <c r="X278" s="221"/>
      <c r="Y278" s="221"/>
      <c r="Z278" s="221"/>
      <c r="AA278" s="221"/>
      <c r="AB278" s="221"/>
      <c r="AC278" s="221"/>
      <c r="AD278" s="221"/>
      <c r="AE278" s="221"/>
      <c r="AF278" s="221"/>
      <c r="AG278" s="221"/>
      <c r="AH278" s="221"/>
      <c r="AI278" s="221"/>
      <c r="AJ278" s="221"/>
    </row>
    <row r="279" spans="2:36" ht="15.75">
      <c r="B279" s="225"/>
      <c r="C279" s="225"/>
      <c r="D279" s="225"/>
      <c r="E279" s="225"/>
      <c r="F279" s="335">
        <v>90</v>
      </c>
      <c r="G279" s="221">
        <v>25259754.342738237</v>
      </c>
      <c r="H279" s="221" t="str">
        <f t="shared" si="203"/>
        <v/>
      </c>
      <c r="I279" s="221" t="str">
        <f t="shared" si="204"/>
        <v/>
      </c>
      <c r="J279" s="336">
        <f t="shared" si="207"/>
        <v>19</v>
      </c>
      <c r="K279" s="221">
        <v>107695.37923303212</v>
      </c>
      <c r="L279" s="221" t="str">
        <f t="shared" si="205"/>
        <v/>
      </c>
      <c r="M279" s="221">
        <f t="shared" si="206"/>
        <v>107695.37923303212</v>
      </c>
      <c r="N279" s="336">
        <f t="shared" si="208"/>
        <v>18.900000000000013</v>
      </c>
      <c r="O279" s="221">
        <v>72621.497369639226</v>
      </c>
      <c r="P279" s="221" t="str">
        <f t="shared" si="209"/>
        <v/>
      </c>
      <c r="Q279" s="221" t="str">
        <f t="shared" si="210"/>
        <v/>
      </c>
      <c r="R279" s="221"/>
      <c r="S279" s="221"/>
      <c r="T279" s="221"/>
      <c r="U279" s="221"/>
      <c r="V279" s="221"/>
      <c r="W279" s="221"/>
      <c r="X279" s="221"/>
      <c r="Y279" s="221"/>
      <c r="Z279" s="221"/>
      <c r="AA279" s="221"/>
      <c r="AB279" s="221"/>
      <c r="AC279" s="221"/>
      <c r="AD279" s="221"/>
      <c r="AE279" s="221"/>
      <c r="AF279" s="221"/>
      <c r="AG279" s="221"/>
      <c r="AH279" s="221"/>
      <c r="AI279" s="221"/>
      <c r="AJ279" s="221"/>
    </row>
    <row r="280" spans="2:36" ht="15.75">
      <c r="B280" s="225"/>
      <c r="C280" s="225"/>
      <c r="D280" s="225"/>
      <c r="E280" s="225"/>
      <c r="F280" s="335">
        <v>100</v>
      </c>
      <c r="G280" s="221">
        <v>28816040.865796961</v>
      </c>
      <c r="H280" s="221" t="str">
        <f t="shared" si="203"/>
        <v/>
      </c>
      <c r="I280" s="221" t="str">
        <f t="shared" si="204"/>
        <v/>
      </c>
      <c r="J280" s="336">
        <f>LOOKUP(MAX($I$270:$I$280),$G$270:$G$280,$F$270:$F$280)</f>
        <v>20</v>
      </c>
      <c r="K280" s="221">
        <v>458434.19786701264</v>
      </c>
      <c r="L280" s="221" t="str">
        <f t="shared" si="205"/>
        <v/>
      </c>
      <c r="M280" s="221" t="str">
        <f t="shared" si="206"/>
        <v/>
      </c>
      <c r="N280" s="336">
        <f>LOOKUP(MAX($M$270:$M$280),$K$270:$K$280,$J$270:$J$280)</f>
        <v>19</v>
      </c>
      <c r="O280" s="221">
        <v>107695.37923303212</v>
      </c>
      <c r="P280" s="221" t="str">
        <f t="shared" si="209"/>
        <v/>
      </c>
      <c r="Q280" s="221" t="str">
        <f t="shared" si="210"/>
        <v/>
      </c>
      <c r="R280" s="221"/>
      <c r="S280" s="221"/>
      <c r="T280" s="221"/>
      <c r="U280" s="221"/>
      <c r="V280" s="221"/>
      <c r="W280" s="221"/>
      <c r="X280" s="221"/>
      <c r="Y280" s="221"/>
      <c r="Z280" s="221"/>
      <c r="AA280" s="221"/>
      <c r="AB280" s="221"/>
      <c r="AC280" s="221"/>
      <c r="AD280" s="221"/>
      <c r="AE280" s="221"/>
      <c r="AF280" s="221"/>
      <c r="AG280" s="221"/>
      <c r="AH280" s="221"/>
      <c r="AI280" s="221"/>
      <c r="AJ280" s="221"/>
    </row>
    <row r="281" spans="2:36" ht="15.75" thickBot="1">
      <c r="B281" s="227"/>
      <c r="C281" s="227"/>
      <c r="D281" s="227"/>
      <c r="E281" s="227"/>
      <c r="F281" s="337"/>
      <c r="G281" s="227"/>
      <c r="H281" s="227"/>
      <c r="I281" s="227"/>
      <c r="J281" s="227"/>
      <c r="K281" s="227"/>
      <c r="L281" s="227"/>
      <c r="M281" s="227"/>
      <c r="N281" s="227"/>
      <c r="O281" s="227"/>
      <c r="P281" s="227"/>
      <c r="Q281" s="227"/>
      <c r="R281" s="227"/>
      <c r="S281" s="227"/>
      <c r="T281" s="227"/>
      <c r="U281" s="227"/>
      <c r="V281" s="227"/>
      <c r="W281" s="227"/>
      <c r="X281" s="227"/>
      <c r="Y281" s="227"/>
      <c r="Z281" s="227"/>
      <c r="AA281" s="227"/>
      <c r="AB281" s="227"/>
      <c r="AC281" s="227"/>
      <c r="AD281" s="227"/>
      <c r="AE281" s="227"/>
      <c r="AF281" s="227"/>
      <c r="AG281" s="227"/>
      <c r="AH281" s="227"/>
      <c r="AI281" s="227"/>
      <c r="AJ281" s="227"/>
    </row>
    <row r="282" spans="2:36">
      <c r="F282" s="331"/>
    </row>
    <row r="283" spans="2:36">
      <c r="F283" s="331"/>
    </row>
    <row r="284" spans="2:36">
      <c r="F284" s="331"/>
    </row>
    <row r="285" spans="2:36">
      <c r="F285" s="331"/>
    </row>
    <row r="286" spans="2:36">
      <c r="F286" s="331"/>
    </row>
    <row r="287" spans="2:36">
      <c r="F287" s="331"/>
    </row>
    <row r="288" spans="2:36">
      <c r="F288" s="331"/>
    </row>
    <row r="289" spans="6:6">
      <c r="F289" s="331"/>
    </row>
    <row r="290" spans="6:6">
      <c r="F290" s="331"/>
    </row>
    <row r="291" spans="6:6">
      <c r="F291" s="331"/>
    </row>
    <row r="292" spans="6:6">
      <c r="F292" s="331"/>
    </row>
    <row r="293" spans="6:6">
      <c r="F293" s="331"/>
    </row>
  </sheetData>
  <mergeCells count="4">
    <mergeCell ref="C102:E102"/>
    <mergeCell ref="B76:C76"/>
    <mergeCell ref="B78:C78"/>
    <mergeCell ref="C153:E153"/>
  </mergeCells>
  <dataValidations disablePrompts="1" count="1">
    <dataValidation type="list" allowBlank="1" showInputMessage="1" showErrorMessage="1" sqref="E65688 HW65688 RS65688 ABO65688 ALK65688 AVG65688 BFC65688 BOY65688 BYU65688 CIQ65688 CSM65688 DCI65688 DME65688 DWA65688 EFW65688 EPS65688 EZO65688 FJK65688 FTG65688 GDC65688 GMY65688 GWU65688 HGQ65688 HQM65688 IAI65688 IKE65688 IUA65688 JDW65688 JNS65688 JXO65688 KHK65688 KRG65688 LBC65688 LKY65688 LUU65688 MEQ65688 MOM65688 MYI65688 NIE65688 NSA65688 OBW65688 OLS65688 OVO65688 PFK65688 PPG65688 PZC65688 QIY65688 QSU65688 RCQ65688 RMM65688 RWI65688 SGE65688 SQA65688 SZW65688 TJS65688 TTO65688 UDK65688 UNG65688 UXC65688 VGY65688 VQU65688 WAQ65688 WKM65688 WUI65688 HW131224 RS131224 ABO131224 ALK131224 AVG131224 BFC131224 BOY131224 BYU131224 CIQ131224 CSM131224 DCI131224 DME131224 DWA131224 EFW131224 EPS131224 EZO131224 FJK131224 FTG131224 GDC131224 GMY131224 GWU131224 HGQ131224 HQM131224 IAI131224 IKE131224 IUA131224 JDW131224 JNS131224 JXO131224 KHK131224 KRG131224 LBC131224 LKY131224 LUU131224 MEQ131224 MOM131224 MYI131224 NIE131224 NSA131224 OBW131224 OLS131224 OVO131224 PFK131224 PPG131224 PZC131224 QIY131224 QSU131224 RCQ131224 RMM131224 RWI131224 SGE131224 SQA131224 SZW131224 TJS131224 TTO131224 UDK131224 UNG131224 UXC131224 VGY131224 VQU131224 WAQ131224 WKM131224 WUI131224 HW196760 RS196760 ABO196760 ALK196760 AVG196760 BFC196760 BOY196760 BYU196760 CIQ196760 CSM196760 DCI196760 DME196760 DWA196760 EFW196760 EPS196760 EZO196760 FJK196760 FTG196760 GDC196760 GMY196760 GWU196760 HGQ196760 HQM196760 IAI196760 IKE196760 IUA196760 JDW196760 JNS196760 JXO196760 KHK196760 KRG196760 LBC196760 LKY196760 LUU196760 MEQ196760 MOM196760 MYI196760 NIE196760 NSA196760 OBW196760 OLS196760 OVO196760 PFK196760 PPG196760 PZC196760 QIY196760 QSU196760 RCQ196760 RMM196760 RWI196760 SGE196760 SQA196760 SZW196760 TJS196760 TTO196760 UDK196760 UNG196760 UXC196760 VGY196760 VQU196760 WAQ196760 WKM196760 WUI196760 HW262296 RS262296 ABO262296 ALK262296 AVG262296 BFC262296 BOY262296 BYU262296 CIQ262296 CSM262296 DCI262296 DME262296 DWA262296 EFW262296 EPS262296 EZO262296 FJK262296 FTG262296 GDC262296 GMY262296 GWU262296 HGQ262296 HQM262296 IAI262296 IKE262296 IUA262296 JDW262296 JNS262296 JXO262296 KHK262296 KRG262296 LBC262296 LKY262296 LUU262296 MEQ262296 MOM262296 MYI262296 NIE262296 NSA262296 OBW262296 OLS262296 OVO262296 PFK262296 PPG262296 PZC262296 QIY262296 QSU262296 RCQ262296 RMM262296 RWI262296 SGE262296 SQA262296 SZW262296 TJS262296 TTO262296 UDK262296 UNG262296 UXC262296 VGY262296 VQU262296 WAQ262296 WKM262296 WUI262296 HW327832 RS327832 ABO327832 ALK327832 AVG327832 BFC327832 BOY327832 BYU327832 CIQ327832 CSM327832 DCI327832 DME327832 DWA327832 EFW327832 EPS327832 EZO327832 FJK327832 FTG327832 GDC327832 GMY327832 GWU327832 HGQ327832 HQM327832 IAI327832 IKE327832 IUA327832 JDW327832 JNS327832 JXO327832 KHK327832 KRG327832 LBC327832 LKY327832 LUU327832 MEQ327832 MOM327832 MYI327832 NIE327832 NSA327832 OBW327832 OLS327832 OVO327832 PFK327832 PPG327832 PZC327832 QIY327832 QSU327832 RCQ327832 RMM327832 RWI327832 SGE327832 SQA327832 SZW327832 TJS327832 TTO327832 UDK327832 UNG327832 UXC327832 VGY327832 VQU327832 WAQ327832 WKM327832 WUI327832 HW393368 RS393368 ABO393368 ALK393368 AVG393368 BFC393368 BOY393368 BYU393368 CIQ393368 CSM393368 DCI393368 DME393368 DWA393368 EFW393368 EPS393368 EZO393368 FJK393368 FTG393368 GDC393368 GMY393368 GWU393368 HGQ393368 HQM393368 IAI393368 IKE393368 IUA393368 JDW393368 JNS393368 JXO393368 KHK393368 KRG393368 LBC393368 LKY393368 LUU393368 MEQ393368 MOM393368 MYI393368 NIE393368 NSA393368 OBW393368 OLS393368 OVO393368 PFK393368 PPG393368 PZC393368 QIY393368 QSU393368 RCQ393368 RMM393368 RWI393368 SGE393368 SQA393368 SZW393368 TJS393368 TTO393368 UDK393368 UNG393368 UXC393368 VGY393368 VQU393368 WAQ393368 WKM393368 WUI393368 HW458904 RS458904 ABO458904 ALK458904 AVG458904 BFC458904 BOY458904 BYU458904 CIQ458904 CSM458904 DCI458904 DME458904 DWA458904 EFW458904 EPS458904 EZO458904 FJK458904 FTG458904 GDC458904 GMY458904 GWU458904 HGQ458904 HQM458904 IAI458904 IKE458904 IUA458904 JDW458904 JNS458904 JXO458904 KHK458904 KRG458904 LBC458904 LKY458904 LUU458904 MEQ458904 MOM458904 MYI458904 NIE458904 NSA458904 OBW458904 OLS458904 OVO458904 PFK458904 PPG458904 PZC458904 QIY458904 QSU458904 RCQ458904 RMM458904 RWI458904 SGE458904 SQA458904 SZW458904 TJS458904 TTO458904 UDK458904 UNG458904 UXC458904 VGY458904 VQU458904 WAQ458904 WKM458904 WUI458904 HW524440 RS524440 ABO524440 ALK524440 AVG524440 BFC524440 BOY524440 BYU524440 CIQ524440 CSM524440 DCI524440 DME524440 DWA524440 EFW524440 EPS524440 EZO524440 FJK524440 FTG524440 GDC524440 GMY524440 GWU524440 HGQ524440 HQM524440 IAI524440 IKE524440 IUA524440 JDW524440 JNS524440 JXO524440 KHK524440 KRG524440 LBC524440 LKY524440 LUU524440 MEQ524440 MOM524440 MYI524440 NIE524440 NSA524440 OBW524440 OLS524440 OVO524440 PFK524440 PPG524440 PZC524440 QIY524440 QSU524440 RCQ524440 RMM524440 RWI524440 SGE524440 SQA524440 SZW524440 TJS524440 TTO524440 UDK524440 UNG524440 UXC524440 VGY524440 VQU524440 WAQ524440 WKM524440 WUI524440 HW589976 RS589976 ABO589976 ALK589976 AVG589976 BFC589976 BOY589976 BYU589976 CIQ589976 CSM589976 DCI589976 DME589976 DWA589976 EFW589976 EPS589976 EZO589976 FJK589976 FTG589976 GDC589976 GMY589976 GWU589976 HGQ589976 HQM589976 IAI589976 IKE589976 IUA589976 JDW589976 JNS589976 JXO589976 KHK589976 KRG589976 LBC589976 LKY589976 LUU589976 MEQ589976 MOM589976 MYI589976 NIE589976 NSA589976 OBW589976 OLS589976 OVO589976 PFK589976 PPG589976 PZC589976 QIY589976 QSU589976 RCQ589976 RMM589976 RWI589976 SGE589976 SQA589976 SZW589976 TJS589976 TTO589976 UDK589976 UNG589976 UXC589976 VGY589976 VQU589976 WAQ589976 WKM589976 WUI589976 HW655512 RS655512 ABO655512 ALK655512 AVG655512 BFC655512 BOY655512 BYU655512 CIQ655512 CSM655512 DCI655512 DME655512 DWA655512 EFW655512 EPS655512 EZO655512 FJK655512 FTG655512 GDC655512 GMY655512 GWU655512 HGQ655512 HQM655512 IAI655512 IKE655512 IUA655512 JDW655512 JNS655512 JXO655512 KHK655512 KRG655512 LBC655512 LKY655512 LUU655512 MEQ655512 MOM655512 MYI655512 NIE655512 NSA655512 OBW655512 OLS655512 OVO655512 PFK655512 PPG655512 PZC655512 QIY655512 QSU655512 RCQ655512 RMM655512 RWI655512 SGE655512 SQA655512 SZW655512 TJS655512 TTO655512 UDK655512 UNG655512 UXC655512 VGY655512 VQU655512 WAQ655512 WKM655512 WUI655512 HW721048 RS721048 ABO721048 ALK721048 AVG721048 BFC721048 BOY721048 BYU721048 CIQ721048 CSM721048 DCI721048 DME721048 DWA721048 EFW721048 EPS721048 EZO721048 FJK721048 FTG721048 GDC721048 GMY721048 GWU721048 HGQ721048 HQM721048 IAI721048 IKE721048 IUA721048 JDW721048 JNS721048 JXO721048 KHK721048 KRG721048 LBC721048 LKY721048 LUU721048 MEQ721048 MOM721048 MYI721048 NIE721048 NSA721048 OBW721048 OLS721048 OVO721048 PFK721048 PPG721048 PZC721048 QIY721048 QSU721048 RCQ721048 RMM721048 RWI721048 SGE721048 SQA721048 SZW721048 TJS721048 TTO721048 UDK721048 UNG721048 UXC721048 VGY721048 VQU721048 WAQ721048 WKM721048 WUI721048 HW786584 RS786584 ABO786584 ALK786584 AVG786584 BFC786584 BOY786584 BYU786584 CIQ786584 CSM786584 DCI786584 DME786584 DWA786584 EFW786584 EPS786584 EZO786584 FJK786584 FTG786584 GDC786584 GMY786584 GWU786584 HGQ786584 HQM786584 IAI786584 IKE786584 IUA786584 JDW786584 JNS786584 JXO786584 KHK786584 KRG786584 LBC786584 LKY786584 LUU786584 MEQ786584 MOM786584 MYI786584 NIE786584 NSA786584 OBW786584 OLS786584 OVO786584 PFK786584 PPG786584 PZC786584 QIY786584 QSU786584 RCQ786584 RMM786584 RWI786584 SGE786584 SQA786584 SZW786584 TJS786584 TTO786584 UDK786584 UNG786584 UXC786584 VGY786584 VQU786584 WAQ786584 WKM786584 WUI786584 HW852120 RS852120 ABO852120 ALK852120 AVG852120 BFC852120 BOY852120 BYU852120 CIQ852120 CSM852120 DCI852120 DME852120 DWA852120 EFW852120 EPS852120 EZO852120 FJK852120 FTG852120 GDC852120 GMY852120 GWU852120 HGQ852120 HQM852120 IAI852120 IKE852120 IUA852120 JDW852120 JNS852120 JXO852120 KHK852120 KRG852120 LBC852120 LKY852120 LUU852120 MEQ852120 MOM852120 MYI852120 NIE852120 NSA852120 OBW852120 OLS852120 OVO852120 PFK852120 PPG852120 PZC852120 QIY852120 QSU852120 RCQ852120 RMM852120 RWI852120 SGE852120 SQA852120 SZW852120 TJS852120 TTO852120 UDK852120 UNG852120 UXC852120 VGY852120 VQU852120 WAQ852120 WKM852120 WUI852120 HW917656 RS917656 ABO917656 ALK917656 AVG917656 BFC917656 BOY917656 BYU917656 CIQ917656 CSM917656 DCI917656 DME917656 DWA917656 EFW917656 EPS917656 EZO917656 FJK917656 FTG917656 GDC917656 GMY917656 GWU917656 HGQ917656 HQM917656 IAI917656 IKE917656 IUA917656 JDW917656 JNS917656 JXO917656 KHK917656 KRG917656 LBC917656 LKY917656 LUU917656 MEQ917656 MOM917656 MYI917656 NIE917656 NSA917656 OBW917656 OLS917656 OVO917656 PFK917656 PPG917656 PZC917656 QIY917656 QSU917656 RCQ917656 RMM917656 RWI917656 SGE917656 SQA917656 SZW917656 TJS917656 TTO917656 UDK917656 UNG917656 UXC917656 VGY917656 VQU917656 WAQ917656 WKM917656 WUI917656 HW983192 RS983192 ABO983192 ALK983192 AVG983192 BFC983192 BOY983192 BYU983192 CIQ983192 CSM983192 DCI983192 DME983192 DWA983192 EFW983192 EPS983192 EZO983192 FJK983192 FTG983192 GDC983192 GMY983192 GWU983192 HGQ983192 HQM983192 IAI983192 IKE983192 IUA983192 JDW983192 JNS983192 JXO983192 KHK983192 KRG983192 LBC983192 LKY983192 LUU983192 MEQ983192 MOM983192 MYI983192 NIE983192 NSA983192 OBW983192 OLS983192 OVO983192 PFK983192 PPG983192 PZC983192 QIY983192 QSU983192 RCQ983192 RMM983192 RWI983192 SGE983192 SQA983192 SZW983192 TJS983192 TTO983192 UDK983192 UNG983192 UXC983192 VGY983192 VQU983192 WAQ983192 WKM983192 WUI983192 HW65699 RS65699 ABO65699 ALK65699 AVG65699 BFC65699 BOY65699 BYU65699 CIQ65699 CSM65699 DCI65699 DME65699 DWA65699 EFW65699 EPS65699 EZO65699 FJK65699 FTG65699 GDC65699 GMY65699 GWU65699 HGQ65699 HQM65699 IAI65699 IKE65699 IUA65699 JDW65699 JNS65699 JXO65699 KHK65699 KRG65699 LBC65699 LKY65699 LUU65699 MEQ65699 MOM65699 MYI65699 NIE65699 NSA65699 OBW65699 OLS65699 OVO65699 PFK65699 PPG65699 PZC65699 QIY65699 QSU65699 RCQ65699 RMM65699 RWI65699 SGE65699 SQA65699 SZW65699 TJS65699 TTO65699 UDK65699 UNG65699 UXC65699 VGY65699 VQU65699 WAQ65699 WKM65699 WUI65699 HW131235 RS131235 ABO131235 ALK131235 AVG131235 BFC131235 BOY131235 BYU131235 CIQ131235 CSM131235 DCI131235 DME131235 DWA131235 EFW131235 EPS131235 EZO131235 FJK131235 FTG131235 GDC131235 GMY131235 GWU131235 HGQ131235 HQM131235 IAI131235 IKE131235 IUA131235 JDW131235 JNS131235 JXO131235 KHK131235 KRG131235 LBC131235 LKY131235 LUU131235 MEQ131235 MOM131235 MYI131235 NIE131235 NSA131235 OBW131235 OLS131235 OVO131235 PFK131235 PPG131235 PZC131235 QIY131235 QSU131235 RCQ131235 RMM131235 RWI131235 SGE131235 SQA131235 SZW131235 TJS131235 TTO131235 UDK131235 UNG131235 UXC131235 VGY131235 VQU131235 WAQ131235 WKM131235 WUI131235 HW196771 RS196771 ABO196771 ALK196771 AVG196771 BFC196771 BOY196771 BYU196771 CIQ196771 CSM196771 DCI196771 DME196771 DWA196771 EFW196771 EPS196771 EZO196771 FJK196771 FTG196771 GDC196771 GMY196771 GWU196771 HGQ196771 HQM196771 IAI196771 IKE196771 IUA196771 JDW196771 JNS196771 JXO196771 KHK196771 KRG196771 LBC196771 LKY196771 LUU196771 MEQ196771 MOM196771 MYI196771 NIE196771 NSA196771 OBW196771 OLS196771 OVO196771 PFK196771 PPG196771 PZC196771 QIY196771 QSU196771 RCQ196771 RMM196771 RWI196771 SGE196771 SQA196771 SZW196771 TJS196771 TTO196771 UDK196771 UNG196771 UXC196771 VGY196771 VQU196771 WAQ196771 WKM196771 WUI196771 HW262307 RS262307 ABO262307 ALK262307 AVG262307 BFC262307 BOY262307 BYU262307 CIQ262307 CSM262307 DCI262307 DME262307 DWA262307 EFW262307 EPS262307 EZO262307 FJK262307 FTG262307 GDC262307 GMY262307 GWU262307 HGQ262307 HQM262307 IAI262307 IKE262307 IUA262307 JDW262307 JNS262307 JXO262307 KHK262307 KRG262307 LBC262307 LKY262307 LUU262307 MEQ262307 MOM262307 MYI262307 NIE262307 NSA262307 OBW262307 OLS262307 OVO262307 PFK262307 PPG262307 PZC262307 QIY262307 QSU262307 RCQ262307 RMM262307 RWI262307 SGE262307 SQA262307 SZW262307 TJS262307 TTO262307 UDK262307 UNG262307 UXC262307 VGY262307 VQU262307 WAQ262307 WKM262307 WUI262307 HW327843 RS327843 ABO327843 ALK327843 AVG327843 BFC327843 BOY327843 BYU327843 CIQ327843 CSM327843 DCI327843 DME327843 DWA327843 EFW327843 EPS327843 EZO327843 FJK327843 FTG327843 GDC327843 GMY327843 GWU327843 HGQ327843 HQM327843 IAI327843 IKE327843 IUA327843 JDW327843 JNS327843 JXO327843 KHK327843 KRG327843 LBC327843 LKY327843 LUU327843 MEQ327843 MOM327843 MYI327843 NIE327843 NSA327843 OBW327843 OLS327843 OVO327843 PFK327843 PPG327843 PZC327843 QIY327843 QSU327843 RCQ327843 RMM327843 RWI327843 SGE327843 SQA327843 SZW327843 TJS327843 TTO327843 UDK327843 UNG327843 UXC327843 VGY327843 VQU327843 WAQ327843 WKM327843 WUI327843 HW393379 RS393379 ABO393379 ALK393379 AVG393379 BFC393379 BOY393379 BYU393379 CIQ393379 CSM393379 DCI393379 DME393379 DWA393379 EFW393379 EPS393379 EZO393379 FJK393379 FTG393379 GDC393379 GMY393379 GWU393379 HGQ393379 HQM393379 IAI393379 IKE393379 IUA393379 JDW393379 JNS393379 JXO393379 KHK393379 KRG393379 LBC393379 LKY393379 LUU393379 MEQ393379 MOM393379 MYI393379 NIE393379 NSA393379 OBW393379 OLS393379 OVO393379 PFK393379 PPG393379 PZC393379 QIY393379 QSU393379 RCQ393379 RMM393379 RWI393379 SGE393379 SQA393379 SZW393379 TJS393379 TTO393379 UDK393379 UNG393379 UXC393379 VGY393379 VQU393379 WAQ393379 WKM393379 WUI393379 HW458915 RS458915 ABO458915 ALK458915 AVG458915 BFC458915 BOY458915 BYU458915 CIQ458915 CSM458915 DCI458915 DME458915 DWA458915 EFW458915 EPS458915 EZO458915 FJK458915 FTG458915 GDC458915 GMY458915 GWU458915 HGQ458915 HQM458915 IAI458915 IKE458915 IUA458915 JDW458915 JNS458915 JXO458915 KHK458915 KRG458915 LBC458915 LKY458915 LUU458915 MEQ458915 MOM458915 MYI458915 NIE458915 NSA458915 OBW458915 OLS458915 OVO458915 PFK458915 PPG458915 PZC458915 QIY458915 QSU458915 RCQ458915 RMM458915 RWI458915 SGE458915 SQA458915 SZW458915 TJS458915 TTO458915 UDK458915 UNG458915 UXC458915 VGY458915 VQU458915 WAQ458915 WKM458915 WUI458915 HW524451 RS524451 ABO524451 ALK524451 AVG524451 BFC524451 BOY524451 BYU524451 CIQ524451 CSM524451 DCI524451 DME524451 DWA524451 EFW524451 EPS524451 EZO524451 FJK524451 FTG524451 GDC524451 GMY524451 GWU524451 HGQ524451 HQM524451 IAI524451 IKE524451 IUA524451 JDW524451 JNS524451 JXO524451 KHK524451 KRG524451 LBC524451 LKY524451 LUU524451 MEQ524451 MOM524451 MYI524451 NIE524451 NSA524451 OBW524451 OLS524451 OVO524451 PFK524451 PPG524451 PZC524451 QIY524451 QSU524451 RCQ524451 RMM524451 RWI524451 SGE524451 SQA524451 SZW524451 TJS524451 TTO524451 UDK524451 UNG524451 UXC524451 VGY524451 VQU524451 WAQ524451 WKM524451 WUI524451 HW589987 RS589987 ABO589987 ALK589987 AVG589987 BFC589987 BOY589987 BYU589987 CIQ589987 CSM589987 DCI589987 DME589987 DWA589987 EFW589987 EPS589987 EZO589987 FJK589987 FTG589987 GDC589987 GMY589987 GWU589987 HGQ589987 HQM589987 IAI589987 IKE589987 IUA589987 JDW589987 JNS589987 JXO589987 KHK589987 KRG589987 LBC589987 LKY589987 LUU589987 MEQ589987 MOM589987 MYI589987 NIE589987 NSA589987 OBW589987 OLS589987 OVO589987 PFK589987 PPG589987 PZC589987 QIY589987 QSU589987 RCQ589987 RMM589987 RWI589987 SGE589987 SQA589987 SZW589987 TJS589987 TTO589987 UDK589987 UNG589987 UXC589987 VGY589987 VQU589987 WAQ589987 WKM589987 WUI589987 HW655523 RS655523 ABO655523 ALK655523 AVG655523 BFC655523 BOY655523 BYU655523 CIQ655523 CSM655523 DCI655523 DME655523 DWA655523 EFW655523 EPS655523 EZO655523 FJK655523 FTG655523 GDC655523 GMY655523 GWU655523 HGQ655523 HQM655523 IAI655523 IKE655523 IUA655523 JDW655523 JNS655523 JXO655523 KHK655523 KRG655523 LBC655523 LKY655523 LUU655523 MEQ655523 MOM655523 MYI655523 NIE655523 NSA655523 OBW655523 OLS655523 OVO655523 PFK655523 PPG655523 PZC655523 QIY655523 QSU655523 RCQ655523 RMM655523 RWI655523 SGE655523 SQA655523 SZW655523 TJS655523 TTO655523 UDK655523 UNG655523 UXC655523 VGY655523 VQU655523 WAQ655523 WKM655523 WUI655523 HW721059 RS721059 ABO721059 ALK721059 AVG721059 BFC721059 BOY721059 BYU721059 CIQ721059 CSM721059 DCI721059 DME721059 DWA721059 EFW721059 EPS721059 EZO721059 FJK721059 FTG721059 GDC721059 GMY721059 GWU721059 HGQ721059 HQM721059 IAI721059 IKE721059 IUA721059 JDW721059 JNS721059 JXO721059 KHK721059 KRG721059 LBC721059 LKY721059 LUU721059 MEQ721059 MOM721059 MYI721059 NIE721059 NSA721059 OBW721059 OLS721059 OVO721059 PFK721059 PPG721059 PZC721059 QIY721059 QSU721059 RCQ721059 RMM721059 RWI721059 SGE721059 SQA721059 SZW721059 TJS721059 TTO721059 UDK721059 UNG721059 UXC721059 VGY721059 VQU721059 WAQ721059 WKM721059 WUI721059 HW786595 RS786595 ABO786595 ALK786595 AVG786595 BFC786595 BOY786595 BYU786595 CIQ786595 CSM786595 DCI786595 DME786595 DWA786595 EFW786595 EPS786595 EZO786595 FJK786595 FTG786595 GDC786595 GMY786595 GWU786595 HGQ786595 HQM786595 IAI786595 IKE786595 IUA786595 JDW786595 JNS786595 JXO786595 KHK786595 KRG786595 LBC786595 LKY786595 LUU786595 MEQ786595 MOM786595 MYI786595 NIE786595 NSA786595 OBW786595 OLS786595 OVO786595 PFK786595 PPG786595 PZC786595 QIY786595 QSU786595 RCQ786595 RMM786595 RWI786595 SGE786595 SQA786595 SZW786595 TJS786595 TTO786595 UDK786595 UNG786595 UXC786595 VGY786595 VQU786595 WAQ786595 WKM786595 WUI786595 HW852131 RS852131 ABO852131 ALK852131 AVG852131 BFC852131 BOY852131 BYU852131 CIQ852131 CSM852131 DCI852131 DME852131 DWA852131 EFW852131 EPS852131 EZO852131 FJK852131 FTG852131 GDC852131 GMY852131 GWU852131 HGQ852131 HQM852131 IAI852131 IKE852131 IUA852131 JDW852131 JNS852131 JXO852131 KHK852131 KRG852131 LBC852131 LKY852131 LUU852131 MEQ852131 MOM852131 MYI852131 NIE852131 NSA852131 OBW852131 OLS852131 OVO852131 PFK852131 PPG852131 PZC852131 QIY852131 QSU852131 RCQ852131 RMM852131 RWI852131 SGE852131 SQA852131 SZW852131 TJS852131 TTO852131 UDK852131 UNG852131 UXC852131 VGY852131 VQU852131 WAQ852131 WKM852131 WUI852131 HW917667 RS917667 ABO917667 ALK917667 AVG917667 BFC917667 BOY917667 BYU917667 CIQ917667 CSM917667 DCI917667 DME917667 DWA917667 EFW917667 EPS917667 EZO917667 FJK917667 FTG917667 GDC917667 GMY917667 GWU917667 HGQ917667 HQM917667 IAI917667 IKE917667 IUA917667 JDW917667 JNS917667 JXO917667 KHK917667 KRG917667 LBC917667 LKY917667 LUU917667 MEQ917667 MOM917667 MYI917667 NIE917667 NSA917667 OBW917667 OLS917667 OVO917667 PFK917667 PPG917667 PZC917667 QIY917667 QSU917667 RCQ917667 RMM917667 RWI917667 SGE917667 SQA917667 SZW917667 TJS917667 TTO917667 UDK917667 UNG917667 UXC917667 VGY917667 VQU917667 WAQ917667 WKM917667 WUI917667 HW983203 RS983203 ABO983203 ALK983203 AVG983203 BFC983203 BOY983203 BYU983203 CIQ983203 CSM983203 DCI983203 DME983203 DWA983203 EFW983203 EPS983203 EZO983203 FJK983203 FTG983203 GDC983203 GMY983203 GWU983203 HGQ983203 HQM983203 IAI983203 IKE983203 IUA983203 JDW983203 JNS983203 JXO983203 KHK983203 KRG983203 LBC983203 LKY983203 LUU983203 MEQ983203 MOM983203 MYI983203 NIE983203 NSA983203 OBW983203 OLS983203 OVO983203 PFK983203 PPG983203 PZC983203 QIY983203 QSU983203 RCQ983203 RMM983203 RWI983203 SGE983203 SQA983203 SZW983203 TJS983203 TTO983203 UDK983203 UNG983203 UXC983203 VGY983203 VQU983203 WAQ983203 WKM983203 WUI983203 HW65694 RS65694 ABO65694 ALK65694 AVG65694 BFC65694 BOY65694 BYU65694 CIQ65694 CSM65694 DCI65694 DME65694 DWA65694 EFW65694 EPS65694 EZO65694 FJK65694 FTG65694 GDC65694 GMY65694 GWU65694 HGQ65694 HQM65694 IAI65694 IKE65694 IUA65694 JDW65694 JNS65694 JXO65694 KHK65694 KRG65694 LBC65694 LKY65694 LUU65694 MEQ65694 MOM65694 MYI65694 NIE65694 NSA65694 OBW65694 OLS65694 OVO65694 PFK65694 PPG65694 PZC65694 QIY65694 QSU65694 RCQ65694 RMM65694 RWI65694 SGE65694 SQA65694 SZW65694 TJS65694 TTO65694 UDK65694 UNG65694 UXC65694 VGY65694 VQU65694 WAQ65694 WKM65694 WUI65694 HW131230 RS131230 ABO131230 ALK131230 AVG131230 BFC131230 BOY131230 BYU131230 CIQ131230 CSM131230 DCI131230 DME131230 DWA131230 EFW131230 EPS131230 EZO131230 FJK131230 FTG131230 GDC131230 GMY131230 GWU131230 HGQ131230 HQM131230 IAI131230 IKE131230 IUA131230 JDW131230 JNS131230 JXO131230 KHK131230 KRG131230 LBC131230 LKY131230 LUU131230 MEQ131230 MOM131230 MYI131230 NIE131230 NSA131230 OBW131230 OLS131230 OVO131230 PFK131230 PPG131230 PZC131230 QIY131230 QSU131230 RCQ131230 RMM131230 RWI131230 SGE131230 SQA131230 SZW131230 TJS131230 TTO131230 UDK131230 UNG131230 UXC131230 VGY131230 VQU131230 WAQ131230 WKM131230 WUI131230 HW196766 RS196766 ABO196766 ALK196766 AVG196766 BFC196766 BOY196766 BYU196766 CIQ196766 CSM196766 DCI196766 DME196766 DWA196766 EFW196766 EPS196766 EZO196766 FJK196766 FTG196766 GDC196766 GMY196766 GWU196766 HGQ196766 HQM196766 IAI196766 IKE196766 IUA196766 JDW196766 JNS196766 JXO196766 KHK196766 KRG196766 LBC196766 LKY196766 LUU196766 MEQ196766 MOM196766 MYI196766 NIE196766 NSA196766 OBW196766 OLS196766 OVO196766 PFK196766 PPG196766 PZC196766 QIY196766 QSU196766 RCQ196766 RMM196766 RWI196766 SGE196766 SQA196766 SZW196766 TJS196766 TTO196766 UDK196766 UNG196766 UXC196766 VGY196766 VQU196766 WAQ196766 WKM196766 WUI196766 HW262302 RS262302 ABO262302 ALK262302 AVG262302 BFC262302 BOY262302 BYU262302 CIQ262302 CSM262302 DCI262302 DME262302 DWA262302 EFW262302 EPS262302 EZO262302 FJK262302 FTG262302 GDC262302 GMY262302 GWU262302 HGQ262302 HQM262302 IAI262302 IKE262302 IUA262302 JDW262302 JNS262302 JXO262302 KHK262302 KRG262302 LBC262302 LKY262302 LUU262302 MEQ262302 MOM262302 MYI262302 NIE262302 NSA262302 OBW262302 OLS262302 OVO262302 PFK262302 PPG262302 PZC262302 QIY262302 QSU262302 RCQ262302 RMM262302 RWI262302 SGE262302 SQA262302 SZW262302 TJS262302 TTO262302 UDK262302 UNG262302 UXC262302 VGY262302 VQU262302 WAQ262302 WKM262302 WUI262302 HW327838 RS327838 ABO327838 ALK327838 AVG327838 BFC327838 BOY327838 BYU327838 CIQ327838 CSM327838 DCI327838 DME327838 DWA327838 EFW327838 EPS327838 EZO327838 FJK327838 FTG327838 GDC327838 GMY327838 GWU327838 HGQ327838 HQM327838 IAI327838 IKE327838 IUA327838 JDW327838 JNS327838 JXO327838 KHK327838 KRG327838 LBC327838 LKY327838 LUU327838 MEQ327838 MOM327838 MYI327838 NIE327838 NSA327838 OBW327838 OLS327838 OVO327838 PFK327838 PPG327838 PZC327838 QIY327838 QSU327838 RCQ327838 RMM327838 RWI327838 SGE327838 SQA327838 SZW327838 TJS327838 TTO327838 UDK327838 UNG327838 UXC327838 VGY327838 VQU327838 WAQ327838 WKM327838 WUI327838 HW393374 RS393374 ABO393374 ALK393374 AVG393374 BFC393374 BOY393374 BYU393374 CIQ393374 CSM393374 DCI393374 DME393374 DWA393374 EFW393374 EPS393374 EZO393374 FJK393374 FTG393374 GDC393374 GMY393374 GWU393374 HGQ393374 HQM393374 IAI393374 IKE393374 IUA393374 JDW393374 JNS393374 JXO393374 KHK393374 KRG393374 LBC393374 LKY393374 LUU393374 MEQ393374 MOM393374 MYI393374 NIE393374 NSA393374 OBW393374 OLS393374 OVO393374 PFK393374 PPG393374 PZC393374 QIY393374 QSU393374 RCQ393374 RMM393374 RWI393374 SGE393374 SQA393374 SZW393374 TJS393374 TTO393374 UDK393374 UNG393374 UXC393374 VGY393374 VQU393374 WAQ393374 WKM393374 WUI393374 HW458910 RS458910 ABO458910 ALK458910 AVG458910 BFC458910 BOY458910 BYU458910 CIQ458910 CSM458910 DCI458910 DME458910 DWA458910 EFW458910 EPS458910 EZO458910 FJK458910 FTG458910 GDC458910 GMY458910 GWU458910 HGQ458910 HQM458910 IAI458910 IKE458910 IUA458910 JDW458910 JNS458910 JXO458910 KHK458910 KRG458910 LBC458910 LKY458910 LUU458910 MEQ458910 MOM458910 MYI458910 NIE458910 NSA458910 OBW458910 OLS458910 OVO458910 PFK458910 PPG458910 PZC458910 QIY458910 QSU458910 RCQ458910 RMM458910 RWI458910 SGE458910 SQA458910 SZW458910 TJS458910 TTO458910 UDK458910 UNG458910 UXC458910 VGY458910 VQU458910 WAQ458910 WKM458910 WUI458910 HW524446 RS524446 ABO524446 ALK524446 AVG524446 BFC524446 BOY524446 BYU524446 CIQ524446 CSM524446 DCI524446 DME524446 DWA524446 EFW524446 EPS524446 EZO524446 FJK524446 FTG524446 GDC524446 GMY524446 GWU524446 HGQ524446 HQM524446 IAI524446 IKE524446 IUA524446 JDW524446 JNS524446 JXO524446 KHK524446 KRG524446 LBC524446 LKY524446 LUU524446 MEQ524446 MOM524446 MYI524446 NIE524446 NSA524446 OBW524446 OLS524446 OVO524446 PFK524446 PPG524446 PZC524446 QIY524446 QSU524446 RCQ524446 RMM524446 RWI524446 SGE524446 SQA524446 SZW524446 TJS524446 TTO524446 UDK524446 UNG524446 UXC524446 VGY524446 VQU524446 WAQ524446 WKM524446 WUI524446 HW589982 RS589982 ABO589982 ALK589982 AVG589982 BFC589982 BOY589982 BYU589982 CIQ589982 CSM589982 DCI589982 DME589982 DWA589982 EFW589982 EPS589982 EZO589982 FJK589982 FTG589982 GDC589982 GMY589982 GWU589982 HGQ589982 HQM589982 IAI589982 IKE589982 IUA589982 JDW589982 JNS589982 JXO589982 KHK589982 KRG589982 LBC589982 LKY589982 LUU589982 MEQ589982 MOM589982 MYI589982 NIE589982 NSA589982 OBW589982 OLS589982 OVO589982 PFK589982 PPG589982 PZC589982 QIY589982 QSU589982 RCQ589982 RMM589982 RWI589982 SGE589982 SQA589982 SZW589982 TJS589982 TTO589982 UDK589982 UNG589982 UXC589982 VGY589982 VQU589982 WAQ589982 WKM589982 WUI589982 HW655518 RS655518 ABO655518 ALK655518 AVG655518 BFC655518 BOY655518 BYU655518 CIQ655518 CSM655518 DCI655518 DME655518 DWA655518 EFW655518 EPS655518 EZO655518 FJK655518 FTG655518 GDC655518 GMY655518 GWU655518 HGQ655518 HQM655518 IAI655518 IKE655518 IUA655518 JDW655518 JNS655518 JXO655518 KHK655518 KRG655518 LBC655518 LKY655518 LUU655518 MEQ655518 MOM655518 MYI655518 NIE655518 NSA655518 OBW655518 OLS655518 OVO655518 PFK655518 PPG655518 PZC655518 QIY655518 QSU655518 RCQ655518 RMM655518 RWI655518 SGE655518 SQA655518 SZW655518 TJS655518 TTO655518 UDK655518 UNG655518 UXC655518 VGY655518 VQU655518 WAQ655518 WKM655518 WUI655518 HW721054 RS721054 ABO721054 ALK721054 AVG721054 BFC721054 BOY721054 BYU721054 CIQ721054 CSM721054 DCI721054 DME721054 DWA721054 EFW721054 EPS721054 EZO721054 FJK721054 FTG721054 GDC721054 GMY721054 GWU721054 HGQ721054 HQM721054 IAI721054 IKE721054 IUA721054 JDW721054 JNS721054 JXO721054 KHK721054 KRG721054 LBC721054 LKY721054 LUU721054 MEQ721054 MOM721054 MYI721054 NIE721054 NSA721054 OBW721054 OLS721054 OVO721054 PFK721054 PPG721054 PZC721054 QIY721054 QSU721054 RCQ721054 RMM721054 RWI721054 SGE721054 SQA721054 SZW721054 TJS721054 TTO721054 UDK721054 UNG721054 UXC721054 VGY721054 VQU721054 WAQ721054 WKM721054 WUI721054 HW786590 RS786590 ABO786590 ALK786590 AVG786590 BFC786590 BOY786590 BYU786590 CIQ786590 CSM786590 DCI786590 DME786590 DWA786590 EFW786590 EPS786590 EZO786590 FJK786590 FTG786590 GDC786590 GMY786590 GWU786590 HGQ786590 HQM786590 IAI786590 IKE786590 IUA786590 JDW786590 JNS786590 JXO786590 KHK786590 KRG786590 LBC786590 LKY786590 LUU786590 MEQ786590 MOM786590 MYI786590 NIE786590 NSA786590 OBW786590 OLS786590 OVO786590 PFK786590 PPG786590 PZC786590 QIY786590 QSU786590 RCQ786590 RMM786590 RWI786590 SGE786590 SQA786590 SZW786590 TJS786590 TTO786590 UDK786590 UNG786590 UXC786590 VGY786590 VQU786590 WAQ786590 WKM786590 WUI786590 HW852126 RS852126 ABO852126 ALK852126 AVG852126 BFC852126 BOY852126 BYU852126 CIQ852126 CSM852126 DCI852126 DME852126 DWA852126 EFW852126 EPS852126 EZO852126 FJK852126 FTG852126 GDC852126 GMY852126 GWU852126 HGQ852126 HQM852126 IAI852126 IKE852126 IUA852126 JDW852126 JNS852126 JXO852126 KHK852126 KRG852126 LBC852126 LKY852126 LUU852126 MEQ852126 MOM852126 MYI852126 NIE852126 NSA852126 OBW852126 OLS852126 OVO852126 PFK852126 PPG852126 PZC852126 QIY852126 QSU852126 RCQ852126 RMM852126 RWI852126 SGE852126 SQA852126 SZW852126 TJS852126 TTO852126 UDK852126 UNG852126 UXC852126 VGY852126 VQU852126 WAQ852126 WKM852126 WUI852126 HW917662 RS917662 ABO917662 ALK917662 AVG917662 BFC917662 BOY917662 BYU917662 CIQ917662 CSM917662 DCI917662 DME917662 DWA917662 EFW917662 EPS917662 EZO917662 FJK917662 FTG917662 GDC917662 GMY917662 GWU917662 HGQ917662 HQM917662 IAI917662 IKE917662 IUA917662 JDW917662 JNS917662 JXO917662 KHK917662 KRG917662 LBC917662 LKY917662 LUU917662 MEQ917662 MOM917662 MYI917662 NIE917662 NSA917662 OBW917662 OLS917662 OVO917662 PFK917662 PPG917662 PZC917662 QIY917662 QSU917662 RCQ917662 RMM917662 RWI917662 SGE917662 SQA917662 SZW917662 TJS917662 TTO917662 UDK917662 UNG917662 UXC917662 VGY917662 VQU917662 WAQ917662 WKM917662 WUI917662 HW983198 RS983198 ABO983198 ALK983198 AVG983198 BFC983198 BOY983198 BYU983198 CIQ983198 CSM983198 DCI983198 DME983198 DWA983198 EFW983198 EPS983198 EZO983198 FJK983198 FTG983198 GDC983198 GMY983198 GWU983198 HGQ983198 HQM983198 IAI983198 IKE983198 IUA983198 JDW983198 JNS983198 JXO983198 KHK983198 KRG983198 LBC983198 LKY983198 LUU983198 MEQ983198 MOM983198 MYI983198 NIE983198 NSA983198 OBW983198 OLS983198 OVO983198 PFK983198 PPG983198 PZC983198 QIY983198 QSU983198 RCQ983198 RMM983198 RWI983198 SGE983198 SQA983198 SZW983198 TJS983198 TTO983198 UDK983198 UNG983198 UXC983198 VGY983198 VQU983198 WAQ983198 WKM983198 WUI983198 E983198 E917662 E852126 E786590 E721054 E655518 E589982 E524446 E458910 E393374 E327838 E262302 E196766 E131230 E65694 E983203 E917667 E852131 E786595 E721059 E655523 E589987 E524451 E458915 E393379 E327843 E262307 E196771 E131235 E65699 E983192 E917656 E852120 E786584 E721048 E655512 E589976 E524440 E458904 E393368 E327832 E262296 E196760 E131224" xr:uid="{00000000-0002-0000-0600-000000000000}">
      <formula1>"Yes,No"</formula1>
    </dataValidation>
  </dataValidations>
  <pageMargins left="0.7" right="0.7" top="0.75" bottom="0.75" header="0.3" footer="0.3"/>
  <pageSetup orientation="portrait" horizontalDpi="4294967293" r:id="rId1"/>
  <ignoredErrors>
    <ignoredError sqref="E113 G259" formula="1"/>
  </ignoredError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7" tint="0.39997558519241921"/>
  </sheetPr>
  <dimension ref="B1:N161"/>
  <sheetViews>
    <sheetView workbookViewId="0"/>
  </sheetViews>
  <sheetFormatPr defaultColWidth="9.7109375" defaultRowHeight="15"/>
  <cols>
    <col min="1" max="1" width="2.7109375" customWidth="1"/>
    <col min="2" max="2" width="69.7109375" customWidth="1"/>
    <col min="3" max="4" width="15.7109375" customWidth="1"/>
    <col min="5" max="5" width="48.28515625" customWidth="1"/>
    <col min="6" max="7" width="13.7109375" customWidth="1"/>
    <col min="8" max="12" width="25.7109375" customWidth="1"/>
    <col min="13" max="13" width="13.7109375" customWidth="1"/>
    <col min="14" max="14" width="45.42578125" customWidth="1"/>
    <col min="16" max="16" width="18.7109375" customWidth="1"/>
    <col min="18" max="18" width="13" customWidth="1"/>
  </cols>
  <sheetData>
    <row r="1" spans="2:11" ht="15.75" thickBot="1">
      <c r="D1" s="45"/>
    </row>
    <row r="2" spans="2:11" ht="30.4" customHeight="1" thickBot="1">
      <c r="B2" s="68" t="s">
        <v>435</v>
      </c>
      <c r="C2" s="48"/>
      <c r="D2" s="69"/>
      <c r="E2" s="49"/>
      <c r="G2" s="244"/>
      <c r="H2" s="244"/>
      <c r="I2" s="244"/>
      <c r="J2" s="244"/>
      <c r="K2" s="244"/>
    </row>
    <row r="3" spans="2:11" ht="18.75" thickBot="1">
      <c r="B3" s="70" t="s">
        <v>436</v>
      </c>
      <c r="C3" s="71"/>
      <c r="D3" s="72"/>
      <c r="E3" s="79"/>
      <c r="G3" s="244"/>
      <c r="H3" s="244"/>
      <c r="I3" s="244"/>
      <c r="J3" s="244"/>
      <c r="K3" s="244"/>
    </row>
    <row r="4" spans="2:11" ht="15.75" thickBot="1">
      <c r="D4" s="45"/>
    </row>
    <row r="5" spans="2:11" ht="30.75" thickBot="1">
      <c r="B5" s="93" t="str">
        <f>'Active Inputs'!E16</f>
        <v>Generation Equipment</v>
      </c>
      <c r="C5" s="83" t="s">
        <v>47</v>
      </c>
      <c r="D5" s="84" t="s">
        <v>437</v>
      </c>
      <c r="E5" s="74" t="s">
        <v>438</v>
      </c>
    </row>
    <row r="6" spans="2:11" ht="15.75">
      <c r="B6" s="113" t="s">
        <v>439</v>
      </c>
      <c r="C6" s="116">
        <v>0</v>
      </c>
      <c r="D6" s="114">
        <v>1</v>
      </c>
      <c r="E6" s="232" t="s">
        <v>167</v>
      </c>
    </row>
    <row r="7" spans="2:11" ht="15.75">
      <c r="B7" s="115" t="s">
        <v>440</v>
      </c>
      <c r="C7" s="116">
        <v>0</v>
      </c>
      <c r="D7" s="114">
        <v>1</v>
      </c>
      <c r="E7" s="232" t="s">
        <v>167</v>
      </c>
    </row>
    <row r="8" spans="2:11" ht="15.75">
      <c r="B8" s="115" t="s">
        <v>441</v>
      </c>
      <c r="C8" s="116">
        <v>0</v>
      </c>
      <c r="D8" s="114">
        <v>1</v>
      </c>
      <c r="E8" s="232" t="s">
        <v>167</v>
      </c>
    </row>
    <row r="9" spans="2:11" ht="15.75">
      <c r="B9" s="115" t="s">
        <v>442</v>
      </c>
      <c r="C9" s="116">
        <v>0</v>
      </c>
      <c r="D9" s="114">
        <v>1</v>
      </c>
      <c r="E9" s="232" t="s">
        <v>167</v>
      </c>
    </row>
    <row r="10" spans="2:11" ht="15.75">
      <c r="B10" s="115" t="s">
        <v>443</v>
      </c>
      <c r="C10" s="116">
        <v>0</v>
      </c>
      <c r="D10" s="114">
        <v>1</v>
      </c>
      <c r="E10" s="232" t="s">
        <v>167</v>
      </c>
    </row>
    <row r="11" spans="2:11" ht="15.75">
      <c r="B11" s="115" t="s">
        <v>444</v>
      </c>
      <c r="C11" s="116">
        <v>0</v>
      </c>
      <c r="D11" s="114">
        <v>1</v>
      </c>
      <c r="E11" s="232" t="s">
        <v>167</v>
      </c>
    </row>
    <row r="12" spans="2:11" ht="15.75">
      <c r="B12" s="115" t="s">
        <v>445</v>
      </c>
      <c r="C12" s="116">
        <v>0</v>
      </c>
      <c r="D12" s="114">
        <v>1</v>
      </c>
      <c r="E12" s="232" t="s">
        <v>167</v>
      </c>
    </row>
    <row r="13" spans="2:11" ht="15.75">
      <c r="B13" s="115" t="s">
        <v>446</v>
      </c>
      <c r="C13" s="116">
        <v>0</v>
      </c>
      <c r="D13" s="114">
        <v>1</v>
      </c>
      <c r="E13" s="232" t="s">
        <v>167</v>
      </c>
    </row>
    <row r="14" spans="2:11" ht="15.75">
      <c r="B14" s="115" t="s">
        <v>447</v>
      </c>
      <c r="C14" s="116">
        <v>0</v>
      </c>
      <c r="D14" s="114">
        <v>1</v>
      </c>
      <c r="E14" s="232" t="s">
        <v>167</v>
      </c>
    </row>
    <row r="15" spans="2:11" ht="15.75">
      <c r="B15" s="115" t="s">
        <v>448</v>
      </c>
      <c r="C15" s="116">
        <v>0</v>
      </c>
      <c r="D15" s="114">
        <v>1</v>
      </c>
      <c r="E15" s="232" t="s">
        <v>167</v>
      </c>
    </row>
    <row r="16" spans="2:11" ht="15.75">
      <c r="B16" s="115" t="s">
        <v>448</v>
      </c>
      <c r="C16" s="116">
        <v>0</v>
      </c>
      <c r="D16" s="114">
        <v>1</v>
      </c>
      <c r="E16" s="232" t="s">
        <v>167</v>
      </c>
    </row>
    <row r="17" spans="2:5" ht="15.75">
      <c r="B17" s="115" t="s">
        <v>448</v>
      </c>
      <c r="C17" s="116">
        <v>0</v>
      </c>
      <c r="D17" s="114">
        <v>1</v>
      </c>
      <c r="E17" s="232" t="s">
        <v>167</v>
      </c>
    </row>
    <row r="18" spans="2:5" ht="15.75">
      <c r="B18" s="115" t="s">
        <v>448</v>
      </c>
      <c r="C18" s="116">
        <v>0</v>
      </c>
      <c r="D18" s="114">
        <v>1</v>
      </c>
      <c r="E18" s="232" t="s">
        <v>167</v>
      </c>
    </row>
    <row r="19" spans="2:5" ht="15.75">
      <c r="B19" s="115" t="s">
        <v>448</v>
      </c>
      <c r="C19" s="116">
        <v>0</v>
      </c>
      <c r="D19" s="114">
        <v>1</v>
      </c>
      <c r="E19" s="232" t="s">
        <v>167</v>
      </c>
    </row>
    <row r="20" spans="2:5" ht="15.75">
      <c r="B20" s="115" t="s">
        <v>448</v>
      </c>
      <c r="C20" s="116">
        <v>0</v>
      </c>
      <c r="D20" s="114">
        <v>1</v>
      </c>
      <c r="E20" s="232" t="s">
        <v>167</v>
      </c>
    </row>
    <row r="21" spans="2:5" ht="15.75">
      <c r="B21" s="115" t="s">
        <v>448</v>
      </c>
      <c r="C21" s="116">
        <v>0</v>
      </c>
      <c r="D21" s="114">
        <v>1</v>
      </c>
      <c r="E21" s="232" t="s">
        <v>167</v>
      </c>
    </row>
    <row r="22" spans="2:5" ht="15.75">
      <c r="B22" s="115" t="s">
        <v>448</v>
      </c>
      <c r="C22" s="116">
        <v>0</v>
      </c>
      <c r="D22" s="114">
        <v>1</v>
      </c>
      <c r="E22" s="232" t="s">
        <v>167</v>
      </c>
    </row>
    <row r="23" spans="2:5" ht="15.75">
      <c r="B23" s="115" t="s">
        <v>448</v>
      </c>
      <c r="C23" s="116">
        <v>0</v>
      </c>
      <c r="D23" s="114">
        <v>1</v>
      </c>
      <c r="E23" s="232" t="s">
        <v>167</v>
      </c>
    </row>
    <row r="24" spans="2:5" ht="15.75">
      <c r="B24" s="115" t="s">
        <v>448</v>
      </c>
      <c r="C24" s="116">
        <v>0</v>
      </c>
      <c r="D24" s="114">
        <v>1</v>
      </c>
      <c r="E24" s="232" t="s">
        <v>167</v>
      </c>
    </row>
    <row r="25" spans="2:5" ht="16.5" thickBot="1">
      <c r="B25" s="117" t="s">
        <v>448</v>
      </c>
      <c r="C25" s="118">
        <v>0</v>
      </c>
      <c r="D25" s="119">
        <v>1</v>
      </c>
      <c r="E25" s="232" t="s">
        <v>167</v>
      </c>
    </row>
    <row r="26" spans="2:5" ht="30.4" customHeight="1" thickTop="1">
      <c r="B26" s="80" t="s">
        <v>449</v>
      </c>
      <c r="C26" s="81">
        <f>SUM(C6:C25)</f>
        <v>0</v>
      </c>
      <c r="D26" s="56" t="e">
        <f>SUMPRODUCT(C6:C25,D6:D25)/C26</f>
        <v>#DIV/0!</v>
      </c>
      <c r="E26" s="82"/>
    </row>
    <row r="27" spans="2:5" ht="16.5" customHeight="1">
      <c r="B27" s="88"/>
      <c r="C27" s="89"/>
      <c r="D27" s="75"/>
    </row>
    <row r="28" spans="2:5" ht="30.4" customHeight="1">
      <c r="B28" s="53" t="s">
        <v>450</v>
      </c>
      <c r="C28" s="89"/>
      <c r="D28" s="75"/>
    </row>
    <row r="29" spans="2:5" ht="16.5" thickBot="1">
      <c r="B29" s="90"/>
      <c r="C29" s="91"/>
      <c r="D29" s="92"/>
      <c r="E29" s="87"/>
    </row>
    <row r="30" spans="2:5" ht="30.4" customHeight="1" thickBot="1">
      <c r="B30" s="93" t="str">
        <f>'Active Inputs'!E17</f>
        <v>Balance of Plant</v>
      </c>
      <c r="C30" s="83" t="s">
        <v>47</v>
      </c>
      <c r="D30" s="84" t="s">
        <v>437</v>
      </c>
      <c r="E30" s="74" t="s">
        <v>438</v>
      </c>
    </row>
    <row r="31" spans="2:5" ht="15.75">
      <c r="B31" s="113" t="s">
        <v>451</v>
      </c>
      <c r="C31" s="116">
        <v>0</v>
      </c>
      <c r="D31" s="114">
        <v>1</v>
      </c>
      <c r="E31" s="232" t="s">
        <v>167</v>
      </c>
    </row>
    <row r="32" spans="2:5" ht="15.75">
      <c r="B32" s="115" t="s">
        <v>452</v>
      </c>
      <c r="C32" s="116">
        <v>0</v>
      </c>
      <c r="D32" s="114">
        <v>0</v>
      </c>
      <c r="E32" s="232" t="s">
        <v>169</v>
      </c>
    </row>
    <row r="33" spans="2:5" ht="15.75">
      <c r="B33" s="115" t="s">
        <v>453</v>
      </c>
      <c r="C33" s="116">
        <v>0</v>
      </c>
      <c r="D33" s="114">
        <v>0</v>
      </c>
      <c r="E33" s="232" t="s">
        <v>169</v>
      </c>
    </row>
    <row r="34" spans="2:5" ht="15.75">
      <c r="B34" s="115" t="s">
        <v>454</v>
      </c>
      <c r="C34" s="116">
        <v>0</v>
      </c>
      <c r="D34" s="114">
        <v>0</v>
      </c>
      <c r="E34" s="232" t="s">
        <v>169</v>
      </c>
    </row>
    <row r="35" spans="2:5" ht="15.75">
      <c r="B35" s="115" t="s">
        <v>455</v>
      </c>
      <c r="C35" s="116">
        <v>0</v>
      </c>
      <c r="D35" s="114">
        <v>1</v>
      </c>
      <c r="E35" s="232" t="s">
        <v>167</v>
      </c>
    </row>
    <row r="36" spans="2:5" ht="15.75">
      <c r="B36" s="115" t="s">
        <v>456</v>
      </c>
      <c r="C36" s="116">
        <v>0</v>
      </c>
      <c r="D36" s="114">
        <v>1</v>
      </c>
      <c r="E36" s="232" t="s">
        <v>167</v>
      </c>
    </row>
    <row r="37" spans="2:5" ht="15.75">
      <c r="B37" s="115" t="s">
        <v>457</v>
      </c>
      <c r="C37" s="116">
        <v>0</v>
      </c>
      <c r="D37" s="114">
        <v>1</v>
      </c>
      <c r="E37" s="232" t="s">
        <v>167</v>
      </c>
    </row>
    <row r="38" spans="2:5" ht="15.75">
      <c r="B38" s="115" t="s">
        <v>458</v>
      </c>
      <c r="C38" s="116">
        <v>0</v>
      </c>
      <c r="D38" s="114">
        <v>1</v>
      </c>
      <c r="E38" s="232" t="s">
        <v>167</v>
      </c>
    </row>
    <row r="39" spans="2:5" ht="15.75">
      <c r="B39" s="115" t="s">
        <v>446</v>
      </c>
      <c r="C39" s="116">
        <v>0</v>
      </c>
      <c r="D39" s="114">
        <v>1</v>
      </c>
      <c r="E39" s="232" t="s">
        <v>167</v>
      </c>
    </row>
    <row r="40" spans="2:5" ht="15.75">
      <c r="B40" s="115" t="s">
        <v>459</v>
      </c>
      <c r="C40" s="116">
        <v>0</v>
      </c>
      <c r="D40" s="114">
        <v>0</v>
      </c>
      <c r="E40" s="232" t="s">
        <v>172</v>
      </c>
    </row>
    <row r="41" spans="2:5" ht="15.75">
      <c r="B41" s="115" t="s">
        <v>448</v>
      </c>
      <c r="C41" s="116">
        <v>0</v>
      </c>
      <c r="D41" s="114">
        <v>1</v>
      </c>
      <c r="E41" s="232" t="s">
        <v>167</v>
      </c>
    </row>
    <row r="42" spans="2:5" ht="15.75">
      <c r="B42" s="115" t="s">
        <v>448</v>
      </c>
      <c r="C42" s="116">
        <v>0</v>
      </c>
      <c r="D42" s="114">
        <v>1</v>
      </c>
      <c r="E42" s="232" t="s">
        <v>167</v>
      </c>
    </row>
    <row r="43" spans="2:5" ht="15.75">
      <c r="B43" s="115" t="s">
        <v>448</v>
      </c>
      <c r="C43" s="116">
        <v>0</v>
      </c>
      <c r="D43" s="114">
        <v>1</v>
      </c>
      <c r="E43" s="232" t="s">
        <v>167</v>
      </c>
    </row>
    <row r="44" spans="2:5" ht="15.75">
      <c r="B44" s="115" t="s">
        <v>448</v>
      </c>
      <c r="C44" s="116">
        <v>0</v>
      </c>
      <c r="D44" s="114">
        <v>1</v>
      </c>
      <c r="E44" s="232" t="s">
        <v>167</v>
      </c>
    </row>
    <row r="45" spans="2:5" ht="15.75">
      <c r="B45" s="115" t="s">
        <v>448</v>
      </c>
      <c r="C45" s="116">
        <v>0</v>
      </c>
      <c r="D45" s="114">
        <v>1</v>
      </c>
      <c r="E45" s="232" t="s">
        <v>167</v>
      </c>
    </row>
    <row r="46" spans="2:5" ht="15.75">
      <c r="B46" s="115" t="s">
        <v>448</v>
      </c>
      <c r="C46" s="116">
        <v>0</v>
      </c>
      <c r="D46" s="114">
        <v>1</v>
      </c>
      <c r="E46" s="232" t="s">
        <v>167</v>
      </c>
    </row>
    <row r="47" spans="2:5" ht="15.75">
      <c r="B47" s="115" t="s">
        <v>448</v>
      </c>
      <c r="C47" s="116">
        <v>0</v>
      </c>
      <c r="D47" s="114">
        <v>1</v>
      </c>
      <c r="E47" s="232" t="s">
        <v>167</v>
      </c>
    </row>
    <row r="48" spans="2:5" ht="15.75">
      <c r="B48" s="115" t="s">
        <v>448</v>
      </c>
      <c r="C48" s="116">
        <v>0</v>
      </c>
      <c r="D48" s="114">
        <v>1</v>
      </c>
      <c r="E48" s="232" t="s">
        <v>167</v>
      </c>
    </row>
    <row r="49" spans="2:5" ht="15.75">
      <c r="B49" s="115" t="s">
        <v>448</v>
      </c>
      <c r="C49" s="116">
        <v>0</v>
      </c>
      <c r="D49" s="114">
        <v>1</v>
      </c>
      <c r="E49" s="232" t="s">
        <v>167</v>
      </c>
    </row>
    <row r="50" spans="2:5" ht="16.5" thickBot="1">
      <c r="B50" s="117" t="s">
        <v>448</v>
      </c>
      <c r="C50" s="118">
        <v>0</v>
      </c>
      <c r="D50" s="119">
        <v>1</v>
      </c>
      <c r="E50" s="232" t="s">
        <v>167</v>
      </c>
    </row>
    <row r="51" spans="2:5" ht="30.4" customHeight="1" thickTop="1">
      <c r="B51" s="80" t="s">
        <v>460</v>
      </c>
      <c r="C51" s="81">
        <f>SUM(C31:C50)</f>
        <v>0</v>
      </c>
      <c r="D51" s="56" t="e">
        <f>SUMPRODUCT(C31:C50,D31:D50)/C51</f>
        <v>#DIV/0!</v>
      </c>
      <c r="E51" s="52"/>
    </row>
    <row r="53" spans="2:5" ht="30.4" customHeight="1">
      <c r="B53" s="53" t="s">
        <v>450</v>
      </c>
    </row>
    <row r="54" spans="2:5" ht="15.75" thickBot="1"/>
    <row r="55" spans="2:5" ht="30.75" thickBot="1">
      <c r="B55" s="46" t="str">
        <f>'Active Inputs'!E18</f>
        <v>Interconnection</v>
      </c>
      <c r="C55" s="83" t="s">
        <v>47</v>
      </c>
      <c r="D55" s="84" t="s">
        <v>437</v>
      </c>
      <c r="E55" s="74" t="s">
        <v>438</v>
      </c>
    </row>
    <row r="56" spans="2:5" ht="15.75">
      <c r="B56" s="113" t="s">
        <v>461</v>
      </c>
      <c r="C56" s="234">
        <v>0</v>
      </c>
      <c r="D56" s="114">
        <v>0.5</v>
      </c>
      <c r="E56" s="232" t="s">
        <v>173</v>
      </c>
    </row>
    <row r="57" spans="2:5" ht="15.75">
      <c r="B57" s="115" t="s">
        <v>462</v>
      </c>
      <c r="C57" s="234">
        <v>0</v>
      </c>
      <c r="D57" s="114">
        <v>0.5</v>
      </c>
      <c r="E57" s="232" t="s">
        <v>173</v>
      </c>
    </row>
    <row r="58" spans="2:5" ht="15.75">
      <c r="B58" s="115" t="s">
        <v>463</v>
      </c>
      <c r="C58" s="234">
        <v>0</v>
      </c>
      <c r="D58" s="114">
        <v>0.5</v>
      </c>
      <c r="E58" s="232" t="s">
        <v>173</v>
      </c>
    </row>
    <row r="59" spans="2:5" ht="15.75">
      <c r="B59" s="115" t="s">
        <v>464</v>
      </c>
      <c r="C59" s="234">
        <v>0</v>
      </c>
      <c r="D59" s="114">
        <v>0.5</v>
      </c>
      <c r="E59" s="232" t="s">
        <v>173</v>
      </c>
    </row>
    <row r="60" spans="2:5" ht="15.75">
      <c r="B60" s="233" t="s">
        <v>448</v>
      </c>
      <c r="C60" s="234">
        <v>0</v>
      </c>
      <c r="D60" s="114">
        <v>0.5</v>
      </c>
      <c r="E60" s="232" t="s">
        <v>173</v>
      </c>
    </row>
    <row r="61" spans="2:5" ht="15.75">
      <c r="B61" s="233" t="s">
        <v>448</v>
      </c>
      <c r="C61" s="234">
        <v>0</v>
      </c>
      <c r="D61" s="114">
        <v>0.5</v>
      </c>
      <c r="E61" s="232" t="s">
        <v>173</v>
      </c>
    </row>
    <row r="62" spans="2:5" ht="15.75">
      <c r="B62" s="233" t="s">
        <v>448</v>
      </c>
      <c r="C62" s="234">
        <v>0</v>
      </c>
      <c r="D62" s="114">
        <v>0.5</v>
      </c>
      <c r="E62" s="232" t="s">
        <v>173</v>
      </c>
    </row>
    <row r="63" spans="2:5" ht="15.75">
      <c r="B63" s="233" t="s">
        <v>448</v>
      </c>
      <c r="C63" s="234">
        <v>0</v>
      </c>
      <c r="D63" s="114">
        <v>0.5</v>
      </c>
      <c r="E63" s="232" t="s">
        <v>173</v>
      </c>
    </row>
    <row r="64" spans="2:5" ht="15.75">
      <c r="B64" s="233" t="s">
        <v>448</v>
      </c>
      <c r="C64" s="234">
        <v>0</v>
      </c>
      <c r="D64" s="114">
        <v>0.5</v>
      </c>
      <c r="E64" s="232" t="s">
        <v>173</v>
      </c>
    </row>
    <row r="65" spans="2:5" ht="15.75">
      <c r="B65" s="233" t="s">
        <v>448</v>
      </c>
      <c r="C65" s="234">
        <v>0</v>
      </c>
      <c r="D65" s="114">
        <v>0.5</v>
      </c>
      <c r="E65" s="232" t="s">
        <v>173</v>
      </c>
    </row>
    <row r="66" spans="2:5" ht="15.75">
      <c r="B66" s="233" t="s">
        <v>448</v>
      </c>
      <c r="C66" s="234">
        <v>0</v>
      </c>
      <c r="D66" s="114">
        <v>0.5</v>
      </c>
      <c r="E66" s="232" t="s">
        <v>173</v>
      </c>
    </row>
    <row r="67" spans="2:5" ht="15.75">
      <c r="B67" s="233" t="s">
        <v>448</v>
      </c>
      <c r="C67" s="234">
        <v>0</v>
      </c>
      <c r="D67" s="114">
        <v>0.5</v>
      </c>
      <c r="E67" s="232" t="s">
        <v>173</v>
      </c>
    </row>
    <row r="68" spans="2:5" ht="15.75">
      <c r="B68" s="233" t="s">
        <v>448</v>
      </c>
      <c r="C68" s="234">
        <v>0</v>
      </c>
      <c r="D68" s="114">
        <v>0.5</v>
      </c>
      <c r="E68" s="232" t="s">
        <v>173</v>
      </c>
    </row>
    <row r="69" spans="2:5" ht="15.75">
      <c r="B69" s="233" t="s">
        <v>448</v>
      </c>
      <c r="C69" s="234">
        <v>0</v>
      </c>
      <c r="D69" s="114">
        <v>0.5</v>
      </c>
      <c r="E69" s="232" t="s">
        <v>173</v>
      </c>
    </row>
    <row r="70" spans="2:5" ht="15.75">
      <c r="B70" s="233" t="s">
        <v>448</v>
      </c>
      <c r="C70" s="234">
        <v>0</v>
      </c>
      <c r="D70" s="114">
        <v>0.5</v>
      </c>
      <c r="E70" s="232" t="s">
        <v>173</v>
      </c>
    </row>
    <row r="71" spans="2:5" ht="15.75">
      <c r="B71" s="233" t="s">
        <v>448</v>
      </c>
      <c r="C71" s="234">
        <v>0</v>
      </c>
      <c r="D71" s="114">
        <v>0.5</v>
      </c>
      <c r="E71" s="232" t="s">
        <v>173</v>
      </c>
    </row>
    <row r="72" spans="2:5" ht="15.75">
      <c r="B72" s="233" t="s">
        <v>448</v>
      </c>
      <c r="C72" s="234">
        <v>0</v>
      </c>
      <c r="D72" s="114">
        <v>0.5</v>
      </c>
      <c r="E72" s="232" t="s">
        <v>173</v>
      </c>
    </row>
    <row r="73" spans="2:5" ht="15.75">
      <c r="B73" s="233" t="s">
        <v>448</v>
      </c>
      <c r="C73" s="234">
        <v>0</v>
      </c>
      <c r="D73" s="114">
        <v>0.5</v>
      </c>
      <c r="E73" s="232" t="s">
        <v>173</v>
      </c>
    </row>
    <row r="74" spans="2:5" ht="15.75">
      <c r="B74" s="233" t="s">
        <v>448</v>
      </c>
      <c r="C74" s="234">
        <v>0</v>
      </c>
      <c r="D74" s="114">
        <v>0.5</v>
      </c>
      <c r="E74" s="232" t="s">
        <v>173</v>
      </c>
    </row>
    <row r="75" spans="2:5" ht="16.5" thickBot="1">
      <c r="B75" s="117" t="s">
        <v>448</v>
      </c>
      <c r="C75" s="118">
        <v>0</v>
      </c>
      <c r="D75" s="119">
        <v>0.5</v>
      </c>
      <c r="E75" s="232" t="s">
        <v>173</v>
      </c>
    </row>
    <row r="76" spans="2:5" ht="30.4" customHeight="1" thickTop="1">
      <c r="B76" s="80" t="s">
        <v>465</v>
      </c>
      <c r="C76" s="81">
        <f>SUM(C56:C75)</f>
        <v>0</v>
      </c>
      <c r="D76" s="56" t="e">
        <f>SUMPRODUCT(C56:C75,D56:D75)/C76</f>
        <v>#DIV/0!</v>
      </c>
      <c r="E76" s="54"/>
    </row>
    <row r="77" spans="2:5" ht="15.75" customHeight="1"/>
    <row r="78" spans="2:5" ht="30.4" customHeight="1">
      <c r="B78" s="53" t="s">
        <v>450</v>
      </c>
    </row>
    <row r="79" spans="2:5" ht="15.75" customHeight="1" thickBot="1">
      <c r="B79" s="53"/>
    </row>
    <row r="80" spans="2:5" ht="30.75" thickBot="1">
      <c r="B80" s="46" t="str">
        <f>'Active Inputs'!E19</f>
        <v>Development Costs &amp; Fee</v>
      </c>
      <c r="C80" s="83" t="s">
        <v>47</v>
      </c>
      <c r="D80" s="84" t="s">
        <v>437</v>
      </c>
      <c r="E80" s="74" t="s">
        <v>438</v>
      </c>
    </row>
    <row r="81" spans="2:5" ht="15.75">
      <c r="B81" s="113" t="s">
        <v>466</v>
      </c>
      <c r="C81" s="116">
        <v>0</v>
      </c>
      <c r="D81" s="114">
        <v>1</v>
      </c>
      <c r="E81" s="232" t="s">
        <v>167</v>
      </c>
    </row>
    <row r="82" spans="2:5" ht="15.75">
      <c r="B82" s="115" t="s">
        <v>467</v>
      </c>
      <c r="C82" s="116">
        <v>0</v>
      </c>
      <c r="D82" s="114">
        <v>1</v>
      </c>
      <c r="E82" s="232" t="s">
        <v>167</v>
      </c>
    </row>
    <row r="83" spans="2:5" ht="15.75">
      <c r="B83" s="115" t="s">
        <v>468</v>
      </c>
      <c r="C83" s="116">
        <v>0</v>
      </c>
      <c r="D83" s="114">
        <v>1</v>
      </c>
      <c r="E83" s="232" t="s">
        <v>167</v>
      </c>
    </row>
    <row r="84" spans="2:5" ht="15.75">
      <c r="B84" s="115" t="s">
        <v>469</v>
      </c>
      <c r="C84" s="116">
        <v>0</v>
      </c>
      <c r="D84" s="114">
        <v>1</v>
      </c>
      <c r="E84" s="232" t="s">
        <v>167</v>
      </c>
    </row>
    <row r="85" spans="2:5" ht="15.75">
      <c r="B85" s="115" t="s">
        <v>470</v>
      </c>
      <c r="C85" s="116">
        <v>0</v>
      </c>
      <c r="D85" s="114">
        <v>1</v>
      </c>
      <c r="E85" s="232" t="s">
        <v>167</v>
      </c>
    </row>
    <row r="86" spans="2:5" ht="15.75">
      <c r="B86" s="115" t="s">
        <v>471</v>
      </c>
      <c r="C86" s="116">
        <v>0</v>
      </c>
      <c r="D86" s="114">
        <v>1</v>
      </c>
      <c r="E86" s="232" t="s">
        <v>167</v>
      </c>
    </row>
    <row r="87" spans="2:5" ht="15.75">
      <c r="B87" s="115" t="s">
        <v>448</v>
      </c>
      <c r="C87" s="116">
        <v>0</v>
      </c>
      <c r="D87" s="114">
        <v>1</v>
      </c>
      <c r="E87" s="232" t="s">
        <v>167</v>
      </c>
    </row>
    <row r="88" spans="2:5" ht="15.75">
      <c r="B88" s="115" t="s">
        <v>448</v>
      </c>
      <c r="C88" s="116">
        <v>0</v>
      </c>
      <c r="D88" s="114">
        <v>1</v>
      </c>
      <c r="E88" s="232" t="s">
        <v>167</v>
      </c>
    </row>
    <row r="89" spans="2:5" ht="15.75">
      <c r="B89" s="115" t="s">
        <v>448</v>
      </c>
      <c r="C89" s="116">
        <v>0</v>
      </c>
      <c r="D89" s="114">
        <v>1</v>
      </c>
      <c r="E89" s="232" t="s">
        <v>167</v>
      </c>
    </row>
    <row r="90" spans="2:5" ht="15.75">
      <c r="B90" s="115" t="s">
        <v>448</v>
      </c>
      <c r="C90" s="116">
        <v>0</v>
      </c>
      <c r="D90" s="114">
        <v>1</v>
      </c>
      <c r="E90" s="232" t="s">
        <v>167</v>
      </c>
    </row>
    <row r="91" spans="2:5" ht="15.75">
      <c r="B91" s="115" t="s">
        <v>448</v>
      </c>
      <c r="C91" s="116">
        <v>0</v>
      </c>
      <c r="D91" s="114">
        <v>1</v>
      </c>
      <c r="E91" s="232" t="s">
        <v>167</v>
      </c>
    </row>
    <row r="92" spans="2:5" ht="15.75">
      <c r="B92" s="115" t="s">
        <v>448</v>
      </c>
      <c r="C92" s="116">
        <v>0</v>
      </c>
      <c r="D92" s="114">
        <v>1</v>
      </c>
      <c r="E92" s="232" t="s">
        <v>167</v>
      </c>
    </row>
    <row r="93" spans="2:5" ht="15.75">
      <c r="B93" s="115" t="s">
        <v>448</v>
      </c>
      <c r="C93" s="116">
        <v>0</v>
      </c>
      <c r="D93" s="114">
        <v>1</v>
      </c>
      <c r="E93" s="232" t="s">
        <v>167</v>
      </c>
    </row>
    <row r="94" spans="2:5" ht="15.75">
      <c r="B94" s="115" t="s">
        <v>448</v>
      </c>
      <c r="C94" s="116">
        <v>0</v>
      </c>
      <c r="D94" s="114">
        <v>1</v>
      </c>
      <c r="E94" s="232" t="s">
        <v>167</v>
      </c>
    </row>
    <row r="95" spans="2:5" ht="15.75">
      <c r="B95" s="115" t="s">
        <v>448</v>
      </c>
      <c r="C95" s="116">
        <v>0</v>
      </c>
      <c r="D95" s="114">
        <v>1</v>
      </c>
      <c r="E95" s="232" t="s">
        <v>167</v>
      </c>
    </row>
    <row r="96" spans="2:5" ht="15.75">
      <c r="B96" s="115" t="s">
        <v>448</v>
      </c>
      <c r="C96" s="116">
        <v>0</v>
      </c>
      <c r="D96" s="114">
        <v>1</v>
      </c>
      <c r="E96" s="232" t="s">
        <v>167</v>
      </c>
    </row>
    <row r="97" spans="2:5" ht="15.75">
      <c r="B97" s="115" t="s">
        <v>448</v>
      </c>
      <c r="C97" s="116">
        <v>0</v>
      </c>
      <c r="D97" s="114">
        <v>1</v>
      </c>
      <c r="E97" s="232" t="s">
        <v>167</v>
      </c>
    </row>
    <row r="98" spans="2:5" ht="15.75">
      <c r="B98" s="115" t="s">
        <v>448</v>
      </c>
      <c r="C98" s="116">
        <v>0</v>
      </c>
      <c r="D98" s="114">
        <v>1</v>
      </c>
      <c r="E98" s="232" t="s">
        <v>167</v>
      </c>
    </row>
    <row r="99" spans="2:5" ht="15.75">
      <c r="B99" s="115" t="s">
        <v>448</v>
      </c>
      <c r="C99" s="116">
        <v>0</v>
      </c>
      <c r="D99" s="114">
        <v>1</v>
      </c>
      <c r="E99" s="232" t="s">
        <v>167</v>
      </c>
    </row>
    <row r="100" spans="2:5" ht="16.5" thickBot="1">
      <c r="B100" s="117" t="s">
        <v>448</v>
      </c>
      <c r="C100" s="118">
        <v>0</v>
      </c>
      <c r="D100" s="119">
        <v>1</v>
      </c>
      <c r="E100" s="232" t="s">
        <v>167</v>
      </c>
    </row>
    <row r="101" spans="2:5" ht="30.4" customHeight="1" thickTop="1">
      <c r="B101" s="80" t="s">
        <v>472</v>
      </c>
      <c r="C101" s="81">
        <f>SUM(C81:C100)</f>
        <v>0</v>
      </c>
      <c r="D101" s="56" t="e">
        <f>SUMPRODUCT(C81:C100,D81:D100)/C101</f>
        <v>#DIV/0!</v>
      </c>
      <c r="E101" s="54"/>
    </row>
    <row r="102" spans="2:5" ht="15.75" customHeight="1">
      <c r="B102" s="88"/>
      <c r="C102" s="89"/>
      <c r="D102" s="75"/>
      <c r="E102" s="102"/>
    </row>
    <row r="103" spans="2:5" ht="30.4" customHeight="1">
      <c r="B103" s="53" t="s">
        <v>450</v>
      </c>
      <c r="C103" s="89"/>
      <c r="D103" s="75"/>
      <c r="E103" s="102"/>
    </row>
    <row r="104" spans="2:5" ht="15.75" customHeight="1" thickBot="1">
      <c r="B104" s="88"/>
      <c r="C104" s="89"/>
      <c r="D104" s="75"/>
      <c r="E104" s="102"/>
    </row>
    <row r="105" spans="2:5" ht="30.4" customHeight="1" thickBot="1">
      <c r="B105" s="46" t="str">
        <f>'Active Inputs'!E20</f>
        <v>Reserves &amp; Financing Costs</v>
      </c>
      <c r="C105" s="83" t="s">
        <v>47</v>
      </c>
      <c r="D105" s="84" t="s">
        <v>437</v>
      </c>
      <c r="E105" s="74" t="s">
        <v>438</v>
      </c>
    </row>
    <row r="106" spans="2:5" ht="15.75" customHeight="1">
      <c r="B106" s="80" t="s">
        <v>473</v>
      </c>
      <c r="C106" s="81">
        <f>((C26+C51+C76+C101)*'Active Inputs'!$G$50*'Active Inputs'!$G$53)</f>
        <v>0</v>
      </c>
      <c r="D106" s="114">
        <v>0</v>
      </c>
      <c r="E106" s="232" t="s">
        <v>175</v>
      </c>
    </row>
    <row r="107" spans="2:5" ht="15.75" customHeight="1">
      <c r="B107" s="50" t="s">
        <v>110</v>
      </c>
      <c r="C107" s="104">
        <f>(C26+C51+C76+C101)*('Active Inputs'!$G$46/12)*('Active Inputs'!$G$45/2)</f>
        <v>0</v>
      </c>
      <c r="D107" s="114">
        <v>0</v>
      </c>
      <c r="E107" s="232" t="s">
        <v>173</v>
      </c>
    </row>
    <row r="108" spans="2:5" ht="15.75" customHeight="1">
      <c r="B108" s="9" t="s">
        <v>474</v>
      </c>
      <c r="C108" s="104">
        <f>'Active Inputs'!$G$63</f>
        <v>0</v>
      </c>
      <c r="D108" s="114">
        <v>0</v>
      </c>
      <c r="E108" s="232" t="s">
        <v>173</v>
      </c>
    </row>
    <row r="109" spans="2:5" ht="15.75" customHeight="1" thickBot="1">
      <c r="B109" s="105" t="s">
        <v>475</v>
      </c>
      <c r="C109" s="106">
        <f>'Active Inputs'!$Q$68+'Active Inputs'!$Q$71</f>
        <v>0</v>
      </c>
      <c r="D109" s="119">
        <v>0</v>
      </c>
      <c r="E109" s="232" t="s">
        <v>175</v>
      </c>
    </row>
    <row r="110" spans="2:5" ht="30.75" customHeight="1" thickTop="1">
      <c r="B110" s="96" t="s">
        <v>44</v>
      </c>
      <c r="C110" s="81">
        <f>SUM(C106:C109)</f>
        <v>0</v>
      </c>
      <c r="D110" s="56" t="e">
        <f>SUMPRODUCT(C106:C109,D106:D109)/C110</f>
        <v>#DIV/0!</v>
      </c>
      <c r="E110" s="73"/>
    </row>
    <row r="111" spans="2:5" ht="15.75" customHeight="1">
      <c r="B111" s="85"/>
      <c r="C111" s="103"/>
      <c r="D111" s="86"/>
      <c r="E111" s="87"/>
    </row>
    <row r="112" spans="2:5" ht="30.4" customHeight="1">
      <c r="B112" s="53" t="s">
        <v>450</v>
      </c>
      <c r="C112" s="103"/>
      <c r="D112" s="86"/>
      <c r="E112" s="87"/>
    </row>
    <row r="113" spans="2:14" ht="15.75" customHeight="1" thickBot="1">
      <c r="B113" s="85"/>
      <c r="C113" s="103"/>
      <c r="D113" s="86"/>
      <c r="E113" s="87"/>
    </row>
    <row r="114" spans="2:14" ht="16.5" thickBot="1">
      <c r="B114" s="46" t="s">
        <v>476</v>
      </c>
      <c r="C114" s="47"/>
      <c r="D114" s="47"/>
      <c r="E114" s="76" t="s">
        <v>158</v>
      </c>
      <c r="F114" s="77"/>
      <c r="G114" s="77"/>
      <c r="H114" s="77"/>
      <c r="I114" s="77"/>
      <c r="J114" s="77"/>
      <c r="K114" s="77"/>
      <c r="L114" s="77"/>
      <c r="M114" s="77"/>
      <c r="N114" s="78"/>
    </row>
    <row r="115" spans="2:14" ht="30.75" thickBot="1">
      <c r="B115" s="93" t="s">
        <v>477</v>
      </c>
      <c r="C115" s="83" t="s">
        <v>47</v>
      </c>
      <c r="D115" s="84" t="s">
        <v>478</v>
      </c>
      <c r="E115" s="84" t="s">
        <v>477</v>
      </c>
      <c r="F115" s="84" t="s">
        <v>167</v>
      </c>
      <c r="G115" s="84" t="s">
        <v>168</v>
      </c>
      <c r="H115" s="84" t="s">
        <v>169</v>
      </c>
      <c r="I115" s="84" t="s">
        <v>170</v>
      </c>
      <c r="J115" s="84" t="s">
        <v>171</v>
      </c>
      <c r="K115" s="84" t="s">
        <v>172</v>
      </c>
      <c r="L115" s="84" t="s">
        <v>173</v>
      </c>
      <c r="M115" s="84" t="s">
        <v>174</v>
      </c>
      <c r="N115" s="112" t="s">
        <v>175</v>
      </c>
    </row>
    <row r="116" spans="2:14" ht="15.75" customHeight="1">
      <c r="B116" s="96" t="s">
        <v>46</v>
      </c>
      <c r="C116" s="99">
        <f>C26</f>
        <v>0</v>
      </c>
      <c r="D116" s="110" t="e">
        <f>C26*D26</f>
        <v>#DIV/0!</v>
      </c>
      <c r="E116" s="111" t="s">
        <v>46</v>
      </c>
      <c r="F116" s="99">
        <f>SUMIF($E$5:$E$26,F$115,$C$5:$C$26)</f>
        <v>0</v>
      </c>
      <c r="G116" s="99">
        <f t="shared" ref="G116:N116" si="0">SUMIF($E$5:$E$26,G$115,$C$5:$C$26)</f>
        <v>0</v>
      </c>
      <c r="H116" s="99">
        <f t="shared" si="0"/>
        <v>0</v>
      </c>
      <c r="I116" s="99">
        <f t="shared" si="0"/>
        <v>0</v>
      </c>
      <c r="J116" s="99">
        <f t="shared" si="0"/>
        <v>0</v>
      </c>
      <c r="K116" s="99">
        <f t="shared" si="0"/>
        <v>0</v>
      </c>
      <c r="L116" s="99">
        <f t="shared" si="0"/>
        <v>0</v>
      </c>
      <c r="M116" s="99">
        <f t="shared" si="0"/>
        <v>0</v>
      </c>
      <c r="N116" s="99">
        <f t="shared" si="0"/>
        <v>0</v>
      </c>
    </row>
    <row r="117" spans="2:14" ht="15.75" customHeight="1">
      <c r="B117" s="51" t="s">
        <v>48</v>
      </c>
      <c r="C117" s="94">
        <f>C51</f>
        <v>0</v>
      </c>
      <c r="D117" s="101" t="e">
        <f>C51*D51</f>
        <v>#DIV/0!</v>
      </c>
      <c r="E117" s="108" t="s">
        <v>48</v>
      </c>
      <c r="F117" s="94">
        <f>SUMIF($E$30:$E$51,F$115,$C$30:$C$51)</f>
        <v>0</v>
      </c>
      <c r="G117" s="94">
        <f t="shared" ref="G117:N117" si="1">SUMIF($E$30:$E$51,G$115,$C$30:$C$51)</f>
        <v>0</v>
      </c>
      <c r="H117" s="94">
        <f t="shared" si="1"/>
        <v>0</v>
      </c>
      <c r="I117" s="94">
        <f t="shared" si="1"/>
        <v>0</v>
      </c>
      <c r="J117" s="94">
        <f t="shared" si="1"/>
        <v>0</v>
      </c>
      <c r="K117" s="94">
        <f t="shared" si="1"/>
        <v>0</v>
      </c>
      <c r="L117" s="94">
        <f t="shared" si="1"/>
        <v>0</v>
      </c>
      <c r="M117" s="94">
        <f t="shared" si="1"/>
        <v>0</v>
      </c>
      <c r="N117" s="94">
        <f t="shared" si="1"/>
        <v>0</v>
      </c>
    </row>
    <row r="118" spans="2:14" ht="15.75" customHeight="1">
      <c r="B118" s="51" t="s">
        <v>51</v>
      </c>
      <c r="C118" s="94">
        <f>C76</f>
        <v>0</v>
      </c>
      <c r="D118" s="101" t="e">
        <f>C76*D76</f>
        <v>#DIV/0!</v>
      </c>
      <c r="E118" s="108" t="s">
        <v>51</v>
      </c>
      <c r="F118" s="94">
        <f>SUMIF($E$55:$E$76,F$115,$C$55:$C$76)</f>
        <v>0</v>
      </c>
      <c r="G118" s="94">
        <f t="shared" ref="G118:N118" si="2">SUMIF($E$55:$E$76,G$115,$C$55:$C$76)</f>
        <v>0</v>
      </c>
      <c r="H118" s="94">
        <f t="shared" si="2"/>
        <v>0</v>
      </c>
      <c r="I118" s="94">
        <f t="shared" si="2"/>
        <v>0</v>
      </c>
      <c r="J118" s="94">
        <f t="shared" si="2"/>
        <v>0</v>
      </c>
      <c r="K118" s="94">
        <f t="shared" si="2"/>
        <v>0</v>
      </c>
      <c r="L118" s="94">
        <f t="shared" si="2"/>
        <v>0</v>
      </c>
      <c r="M118" s="94">
        <f t="shared" si="2"/>
        <v>0</v>
      </c>
      <c r="N118" s="94">
        <f t="shared" si="2"/>
        <v>0</v>
      </c>
    </row>
    <row r="119" spans="2:14" ht="15.75" customHeight="1">
      <c r="B119" s="51" t="s">
        <v>56</v>
      </c>
      <c r="C119" s="94">
        <f>C101</f>
        <v>0</v>
      </c>
      <c r="D119" s="101" t="e">
        <f>C101*D101</f>
        <v>#DIV/0!</v>
      </c>
      <c r="E119" s="108" t="s">
        <v>56</v>
      </c>
      <c r="F119" s="94">
        <f>SUMIF($E$80:$E$101,F$115,$C$80:$C$101)</f>
        <v>0</v>
      </c>
      <c r="G119" s="94">
        <f t="shared" ref="G119:N119" si="3">SUMIF($E$80:$E$101,G$115,$C$80:$C$101)</f>
        <v>0</v>
      </c>
      <c r="H119" s="94">
        <f t="shared" si="3"/>
        <v>0</v>
      </c>
      <c r="I119" s="94">
        <f t="shared" si="3"/>
        <v>0</v>
      </c>
      <c r="J119" s="94">
        <f t="shared" si="3"/>
        <v>0</v>
      </c>
      <c r="K119" s="94">
        <f t="shared" si="3"/>
        <v>0</v>
      </c>
      <c r="L119" s="94">
        <f t="shared" si="3"/>
        <v>0</v>
      </c>
      <c r="M119" s="94">
        <f t="shared" si="3"/>
        <v>0</v>
      </c>
      <c r="N119" s="94">
        <f t="shared" si="3"/>
        <v>0</v>
      </c>
    </row>
    <row r="120" spans="2:14" ht="15.75" customHeight="1" thickBot="1">
      <c r="B120" s="97" t="s">
        <v>59</v>
      </c>
      <c r="C120" s="98">
        <f>C110</f>
        <v>0</v>
      </c>
      <c r="D120" s="580" t="e">
        <f>C110*D110</f>
        <v>#DIV/0!</v>
      </c>
      <c r="E120" s="109" t="s">
        <v>59</v>
      </c>
      <c r="F120" s="107">
        <f>SUMIF($E$105:$E$110,F$115,$C$105:$C$110)</f>
        <v>0</v>
      </c>
      <c r="G120" s="107">
        <f t="shared" ref="G120:N120" si="4">SUMIF($E$105:$E$110,G$115,$C$105:$C$110)</f>
        <v>0</v>
      </c>
      <c r="H120" s="107">
        <f t="shared" si="4"/>
        <v>0</v>
      </c>
      <c r="I120" s="107">
        <f t="shared" si="4"/>
        <v>0</v>
      </c>
      <c r="J120" s="107">
        <f t="shared" si="4"/>
        <v>0</v>
      </c>
      <c r="K120" s="107">
        <f t="shared" si="4"/>
        <v>0</v>
      </c>
      <c r="L120" s="107">
        <f t="shared" si="4"/>
        <v>0</v>
      </c>
      <c r="M120" s="107">
        <f t="shared" si="4"/>
        <v>0</v>
      </c>
      <c r="N120" s="107">
        <f t="shared" si="4"/>
        <v>0</v>
      </c>
    </row>
    <row r="121" spans="2:14" ht="30.4" customHeight="1" thickTop="1">
      <c r="B121" s="95" t="s">
        <v>44</v>
      </c>
      <c r="C121" s="100">
        <f>SUM(C116:C120)</f>
        <v>0</v>
      </c>
      <c r="D121" s="100" t="e">
        <f>SUM(D116:D120)</f>
        <v>#DIV/0!</v>
      </c>
      <c r="E121" s="51"/>
      <c r="F121" s="100">
        <f>SUM(F116:F120)</f>
        <v>0</v>
      </c>
      <c r="G121" s="100">
        <f t="shared" ref="G121:N121" si="5">SUM(G116:G120)</f>
        <v>0</v>
      </c>
      <c r="H121" s="100">
        <f t="shared" si="5"/>
        <v>0</v>
      </c>
      <c r="I121" s="100">
        <f t="shared" si="5"/>
        <v>0</v>
      </c>
      <c r="J121" s="100">
        <f t="shared" si="5"/>
        <v>0</v>
      </c>
      <c r="K121" s="100">
        <f t="shared" si="5"/>
        <v>0</v>
      </c>
      <c r="L121" s="100">
        <f t="shared" si="5"/>
        <v>0</v>
      </c>
      <c r="M121" s="100">
        <f t="shared" si="5"/>
        <v>0</v>
      </c>
      <c r="N121" s="100">
        <f t="shared" si="5"/>
        <v>0</v>
      </c>
    </row>
    <row r="123" spans="2:14" ht="15.75">
      <c r="B123" s="184" t="s">
        <v>479</v>
      </c>
      <c r="C123" s="185" t="str">
        <f>'Active Inputs'!G72</f>
        <v>Yes</v>
      </c>
    </row>
    <row r="124" spans="2:14" ht="15.75" thickBot="1">
      <c r="B124" s="245"/>
      <c r="C124" s="245"/>
      <c r="D124" s="245"/>
      <c r="E124" s="245"/>
      <c r="F124" s="245"/>
      <c r="G124" s="245"/>
      <c r="H124" s="245"/>
      <c r="I124" s="245"/>
      <c r="J124" s="245"/>
      <c r="K124" s="245"/>
      <c r="L124" s="245"/>
      <c r="M124" s="245"/>
      <c r="N124" s="245"/>
    </row>
    <row r="125" spans="2:14" ht="15.75" thickBot="1">
      <c r="D125" s="231"/>
      <c r="E125" s="231"/>
    </row>
    <row r="126" spans="2:14" ht="30.4" customHeight="1" thickBot="1">
      <c r="B126" s="815" t="s">
        <v>480</v>
      </c>
      <c r="C126" s="816"/>
      <c r="D126" s="816"/>
      <c r="E126" s="817"/>
      <c r="H126" s="579" t="s">
        <v>481</v>
      </c>
      <c r="I126" s="576">
        <f>'Active Inputs'!W20</f>
        <v>2024</v>
      </c>
    </row>
    <row r="127" spans="2:14" ht="15.75" thickBot="1"/>
    <row r="128" spans="2:14" ht="94.5" customHeight="1" thickBot="1">
      <c r="C128" s="242" t="s">
        <v>482</v>
      </c>
      <c r="D128" s="243" t="s">
        <v>483</v>
      </c>
      <c r="E128" s="605"/>
      <c r="F128" s="631" t="str">
        <f>'Active Inputs'!$W$9</f>
        <v>third-party-owned</v>
      </c>
      <c r="H128" s="615" t="s">
        <v>484</v>
      </c>
      <c r="I128" s="611" t="s">
        <v>485</v>
      </c>
      <c r="J128" s="686" t="s">
        <v>178</v>
      </c>
      <c r="N128" s="618" t="s">
        <v>486</v>
      </c>
    </row>
    <row r="129" spans="2:14" ht="15.75">
      <c r="B129">
        <f>$I$126</f>
        <v>2024</v>
      </c>
      <c r="C129" s="397">
        <f>'Cash Flow'!G2</f>
        <v>1</v>
      </c>
      <c r="D129" s="398" t="str">
        <f>IF(C129&lt;='Active Inputs'!$Q$7,"",F129)</f>
        <v/>
      </c>
      <c r="E129" s="606"/>
      <c r="F129" s="587">
        <f t="shared" ref="F129:F158" si="6">INDEX($I$129:$J$161,MATCH($I$126,$H$129:$H$161,0)+C129-1,MATCH($F$128,$I$128:$J$128,0))+N129</f>
        <v>0</v>
      </c>
      <c r="H129" s="616">
        <v>2024</v>
      </c>
      <c r="I129" s="617"/>
      <c r="J129" s="687"/>
      <c r="N129" s="619">
        <v>0</v>
      </c>
    </row>
    <row r="130" spans="2:14" ht="15.75">
      <c r="B130">
        <f t="shared" ref="B130:B147" si="7">B129+1</f>
        <v>2025</v>
      </c>
      <c r="C130" s="399">
        <f>C129+1</f>
        <v>2</v>
      </c>
      <c r="D130" s="398" t="str">
        <f>IF(C130&lt;='Active Inputs'!$Q$7,"",F130)</f>
        <v/>
      </c>
      <c r="E130" s="606"/>
      <c r="F130" s="587">
        <f t="shared" si="6"/>
        <v>0</v>
      </c>
      <c r="H130" s="577">
        <f t="shared" ref="H130:H160" si="8">H129+1</f>
        <v>2025</v>
      </c>
      <c r="I130" s="612"/>
      <c r="J130" s="688"/>
      <c r="N130" s="619">
        <v>0</v>
      </c>
    </row>
    <row r="131" spans="2:14" ht="15.75">
      <c r="B131">
        <f t="shared" si="7"/>
        <v>2026</v>
      </c>
      <c r="C131" s="399">
        <f t="shared" ref="C131:C158" si="9">C130+1</f>
        <v>3</v>
      </c>
      <c r="D131" s="398" t="str">
        <f>IF(C131&lt;='Active Inputs'!$Q$7,"",F131)</f>
        <v/>
      </c>
      <c r="E131" s="606"/>
      <c r="F131" s="587">
        <f t="shared" si="6"/>
        <v>0</v>
      </c>
      <c r="H131" s="577">
        <f t="shared" si="8"/>
        <v>2026</v>
      </c>
      <c r="I131" s="612"/>
      <c r="J131" s="688"/>
      <c r="N131" s="619">
        <v>0</v>
      </c>
    </row>
    <row r="132" spans="2:14" ht="15.75">
      <c r="B132">
        <f t="shared" si="7"/>
        <v>2027</v>
      </c>
      <c r="C132" s="399">
        <f t="shared" si="9"/>
        <v>4</v>
      </c>
      <c r="D132" s="398" t="str">
        <f>IF(C132&lt;='Active Inputs'!$Q$7,"",F132)</f>
        <v/>
      </c>
      <c r="E132" s="606"/>
      <c r="F132" s="587">
        <f t="shared" si="6"/>
        <v>0</v>
      </c>
      <c r="H132" s="577">
        <f t="shared" si="8"/>
        <v>2027</v>
      </c>
      <c r="I132" s="612"/>
      <c r="J132" s="688"/>
      <c r="N132" s="619">
        <v>0</v>
      </c>
    </row>
    <row r="133" spans="2:14" ht="15.75">
      <c r="B133">
        <f t="shared" si="7"/>
        <v>2028</v>
      </c>
      <c r="C133" s="399">
        <f t="shared" si="9"/>
        <v>5</v>
      </c>
      <c r="D133" s="398" t="str">
        <f>IF(C133&lt;='Active Inputs'!$Q$7,"",F133)</f>
        <v/>
      </c>
      <c r="E133" s="606"/>
      <c r="F133" s="587">
        <f t="shared" si="6"/>
        <v>0</v>
      </c>
      <c r="H133" s="577">
        <f t="shared" si="8"/>
        <v>2028</v>
      </c>
      <c r="I133" s="612"/>
      <c r="J133" s="689"/>
      <c r="N133" s="619">
        <v>0</v>
      </c>
    </row>
    <row r="134" spans="2:14" ht="15.75">
      <c r="B134">
        <f t="shared" si="7"/>
        <v>2029</v>
      </c>
      <c r="C134" s="399">
        <f t="shared" si="9"/>
        <v>6</v>
      </c>
      <c r="D134" s="398" t="str">
        <f>IF(C134&lt;='Active Inputs'!$Q$7,"",F134)</f>
        <v/>
      </c>
      <c r="E134" s="606"/>
      <c r="F134" s="587">
        <f t="shared" si="6"/>
        <v>0</v>
      </c>
      <c r="H134" s="577">
        <f t="shared" si="8"/>
        <v>2029</v>
      </c>
      <c r="I134" s="612"/>
      <c r="J134" s="689"/>
      <c r="N134" s="619">
        <v>0</v>
      </c>
    </row>
    <row r="135" spans="2:14" ht="15.75">
      <c r="B135">
        <f t="shared" si="7"/>
        <v>2030</v>
      </c>
      <c r="C135" s="399">
        <f t="shared" si="9"/>
        <v>7</v>
      </c>
      <c r="D135" s="398" t="str">
        <f>IF(C135&lt;='Active Inputs'!$Q$7,"",F135)</f>
        <v/>
      </c>
      <c r="E135" s="606"/>
      <c r="F135" s="587">
        <f t="shared" si="6"/>
        <v>0</v>
      </c>
      <c r="H135" s="577">
        <f t="shared" si="8"/>
        <v>2030</v>
      </c>
      <c r="I135" s="612"/>
      <c r="J135" s="689"/>
      <c r="N135" s="619">
        <v>0</v>
      </c>
    </row>
    <row r="136" spans="2:14" ht="15.75">
      <c r="B136">
        <f t="shared" si="7"/>
        <v>2031</v>
      </c>
      <c r="C136" s="399">
        <f t="shared" si="9"/>
        <v>8</v>
      </c>
      <c r="D136" s="398" t="str">
        <f>IF(C136&lt;='Active Inputs'!$Q$7,"",F136)</f>
        <v/>
      </c>
      <c r="E136" s="606"/>
      <c r="F136" s="587">
        <f t="shared" si="6"/>
        <v>0</v>
      </c>
      <c r="H136" s="577">
        <f t="shared" si="8"/>
        <v>2031</v>
      </c>
      <c r="I136" s="612"/>
      <c r="J136" s="689"/>
      <c r="N136" s="619">
        <v>0</v>
      </c>
    </row>
    <row r="137" spans="2:14" ht="15.75">
      <c r="B137">
        <f t="shared" si="7"/>
        <v>2032</v>
      </c>
      <c r="C137" s="399">
        <f t="shared" si="9"/>
        <v>9</v>
      </c>
      <c r="D137" s="398" t="str">
        <f>IF(C137&lt;='Active Inputs'!$Q$7,"",F137)</f>
        <v/>
      </c>
      <c r="E137" s="606"/>
      <c r="F137" s="587">
        <f t="shared" si="6"/>
        <v>0</v>
      </c>
      <c r="H137" s="577">
        <f t="shared" si="8"/>
        <v>2032</v>
      </c>
      <c r="I137" s="612"/>
      <c r="J137" s="689"/>
      <c r="N137" s="619">
        <v>0</v>
      </c>
    </row>
    <row r="138" spans="2:14" ht="15.75">
      <c r="B138">
        <f t="shared" si="7"/>
        <v>2033</v>
      </c>
      <c r="C138" s="399">
        <f t="shared" si="9"/>
        <v>10</v>
      </c>
      <c r="D138" s="398" t="str">
        <f>IF(C138&lt;='Active Inputs'!$Q$7,"",F138)</f>
        <v/>
      </c>
      <c r="E138" s="606"/>
      <c r="F138" s="587">
        <f t="shared" si="6"/>
        <v>0</v>
      </c>
      <c r="H138" s="577">
        <f t="shared" si="8"/>
        <v>2033</v>
      </c>
      <c r="I138" s="612"/>
      <c r="J138" s="689"/>
      <c r="N138" s="619">
        <v>0</v>
      </c>
    </row>
    <row r="139" spans="2:14" ht="15.75">
      <c r="B139">
        <f t="shared" si="7"/>
        <v>2034</v>
      </c>
      <c r="C139" s="399">
        <f t="shared" si="9"/>
        <v>11</v>
      </c>
      <c r="D139" s="398" t="str">
        <f>IF(C139&lt;='Active Inputs'!$Q$7,"",F139)</f>
        <v/>
      </c>
      <c r="E139" s="606"/>
      <c r="F139" s="587">
        <f t="shared" si="6"/>
        <v>0</v>
      </c>
      <c r="H139" s="577">
        <f t="shared" si="8"/>
        <v>2034</v>
      </c>
      <c r="I139" s="612"/>
      <c r="J139" s="689"/>
      <c r="N139" s="619">
        <v>0</v>
      </c>
    </row>
    <row r="140" spans="2:14" ht="15.75">
      <c r="B140">
        <f t="shared" si="7"/>
        <v>2035</v>
      </c>
      <c r="C140" s="399">
        <f t="shared" si="9"/>
        <v>12</v>
      </c>
      <c r="D140" s="398" t="str">
        <f>IF(C140&lt;='Active Inputs'!$Q$7,"",F140)</f>
        <v/>
      </c>
      <c r="E140" s="606"/>
      <c r="F140" s="587">
        <f t="shared" si="6"/>
        <v>0</v>
      </c>
      <c r="H140" s="577">
        <f t="shared" si="8"/>
        <v>2035</v>
      </c>
      <c r="I140" s="612"/>
      <c r="J140" s="689"/>
      <c r="N140" s="619">
        <v>0</v>
      </c>
    </row>
    <row r="141" spans="2:14" ht="15.75">
      <c r="B141">
        <f t="shared" si="7"/>
        <v>2036</v>
      </c>
      <c r="C141" s="399">
        <f t="shared" si="9"/>
        <v>13</v>
      </c>
      <c r="D141" s="398" t="str">
        <f>IF(C141&lt;='Active Inputs'!$Q$7,"",F141)</f>
        <v/>
      </c>
      <c r="E141" s="606"/>
      <c r="F141" s="587">
        <f t="shared" si="6"/>
        <v>0</v>
      </c>
      <c r="H141" s="577">
        <f t="shared" si="8"/>
        <v>2036</v>
      </c>
      <c r="I141" s="612"/>
      <c r="J141" s="689"/>
      <c r="N141" s="619">
        <v>0</v>
      </c>
    </row>
    <row r="142" spans="2:14" ht="15.75">
      <c r="B142">
        <f t="shared" si="7"/>
        <v>2037</v>
      </c>
      <c r="C142" s="399">
        <f t="shared" si="9"/>
        <v>14</v>
      </c>
      <c r="D142" s="398" t="str">
        <f>IF(C142&lt;='Active Inputs'!$Q$7,"",F142)</f>
        <v/>
      </c>
      <c r="E142" s="606"/>
      <c r="F142" s="587">
        <f t="shared" si="6"/>
        <v>0.5</v>
      </c>
      <c r="H142" s="577">
        <f t="shared" si="8"/>
        <v>2037</v>
      </c>
      <c r="I142" s="612"/>
      <c r="J142" s="689"/>
      <c r="N142" s="619">
        <v>0.5</v>
      </c>
    </row>
    <row r="143" spans="2:14" ht="15.75">
      <c r="B143">
        <f t="shared" si="7"/>
        <v>2038</v>
      </c>
      <c r="C143" s="399">
        <f t="shared" si="9"/>
        <v>15</v>
      </c>
      <c r="D143" s="398" t="str">
        <f>IF(C143&lt;='Active Inputs'!$Q$7,"",F143)</f>
        <v/>
      </c>
      <c r="E143" s="606"/>
      <c r="F143" s="587">
        <f t="shared" si="6"/>
        <v>0.5</v>
      </c>
      <c r="H143" s="577">
        <f t="shared" si="8"/>
        <v>2038</v>
      </c>
      <c r="I143" s="612"/>
      <c r="J143" s="689"/>
      <c r="N143" s="619">
        <v>0.5</v>
      </c>
    </row>
    <row r="144" spans="2:14" ht="15.75">
      <c r="B144">
        <f>B143+1</f>
        <v>2039</v>
      </c>
      <c r="C144" s="399">
        <f t="shared" si="9"/>
        <v>16</v>
      </c>
      <c r="D144" s="398" t="str">
        <f>IF(C144&lt;='Active Inputs'!$Q$7,"",F144)</f>
        <v/>
      </c>
      <c r="E144" s="606"/>
      <c r="F144" s="587">
        <f>INDEX($I$129:$J$161,MATCH($I$126,$H$129:$H$161,0)+C144-1,MATCH($F$128,$I$128:$J$128,0))+N144</f>
        <v>17.072076700852868</v>
      </c>
      <c r="H144" s="577">
        <f t="shared" si="8"/>
        <v>2039</v>
      </c>
      <c r="I144" s="612">
        <v>16.51668222236345</v>
      </c>
      <c r="J144" s="689">
        <v>16.572076700852868</v>
      </c>
      <c r="K144" s="685"/>
      <c r="N144" s="619">
        <v>0.5</v>
      </c>
    </row>
    <row r="145" spans="2:14" ht="15.75">
      <c r="B145">
        <f t="shared" si="7"/>
        <v>2040</v>
      </c>
      <c r="C145" s="399">
        <f t="shared" si="9"/>
        <v>17</v>
      </c>
      <c r="D145" s="398" t="str">
        <f>IF(C145&lt;='Active Inputs'!$Q$7,"",F145)</f>
        <v/>
      </c>
      <c r="E145" s="606"/>
      <c r="F145" s="587">
        <f t="shared" si="6"/>
        <v>17.505711921407467</v>
      </c>
      <c r="H145" s="577">
        <f t="shared" si="8"/>
        <v>2040</v>
      </c>
      <c r="I145" s="612">
        <v>16.917143696666542</v>
      </c>
      <c r="J145" s="689">
        <v>17.005711921407467</v>
      </c>
      <c r="N145" s="619">
        <v>0.5</v>
      </c>
    </row>
    <row r="146" spans="2:14" ht="15.75">
      <c r="B146">
        <f t="shared" si="7"/>
        <v>2041</v>
      </c>
      <c r="C146" s="399">
        <f t="shared" si="9"/>
        <v>18</v>
      </c>
      <c r="D146" s="398" t="str">
        <f>IF(C146&lt;='Active Inputs'!$Q$7,"",F146)</f>
        <v/>
      </c>
      <c r="E146" s="606"/>
      <c r="F146" s="587">
        <f t="shared" si="6"/>
        <v>17.939440242550475</v>
      </c>
      <c r="H146" s="577">
        <f t="shared" si="8"/>
        <v>2041</v>
      </c>
      <c r="I146" s="612">
        <v>17.310876658593504</v>
      </c>
      <c r="J146" s="689">
        <v>17.439440242550475</v>
      </c>
      <c r="N146" s="619">
        <v>0.5</v>
      </c>
    </row>
    <row r="147" spans="2:14" ht="15.75">
      <c r="B147">
        <f t="shared" si="7"/>
        <v>2042</v>
      </c>
      <c r="C147" s="399">
        <f t="shared" si="9"/>
        <v>19</v>
      </c>
      <c r="D147" s="398" t="str">
        <f>IF(C147&lt;='Active Inputs'!$Q$7,"",F147)</f>
        <v/>
      </c>
      <c r="E147" s="606"/>
      <c r="F147" s="587">
        <f t="shared" si="6"/>
        <v>18.370444494691881</v>
      </c>
      <c r="H147" s="577">
        <f t="shared" si="8"/>
        <v>2042</v>
      </c>
      <c r="I147" s="612">
        <v>17.704168111525643</v>
      </c>
      <c r="J147" s="689">
        <v>17.870444494691881</v>
      </c>
      <c r="N147" s="619">
        <v>0.5</v>
      </c>
    </row>
    <row r="148" spans="2:14" ht="15.75">
      <c r="B148">
        <f t="shared" ref="B148:B158" si="10">B147+1</f>
        <v>2043</v>
      </c>
      <c r="C148" s="399">
        <f t="shared" si="9"/>
        <v>20</v>
      </c>
      <c r="D148" s="398" t="str">
        <f>IF(C148&lt;='Active Inputs'!$Q$7,"",F148)</f>
        <v/>
      </c>
      <c r="E148" s="606"/>
      <c r="F148" s="587">
        <f t="shared" si="6"/>
        <v>18.801143026745233</v>
      </c>
      <c r="H148" s="577">
        <f t="shared" si="8"/>
        <v>2043</v>
      </c>
      <c r="I148" s="612">
        <v>18.094020567735196</v>
      </c>
      <c r="J148" s="689">
        <v>18.301143026745233</v>
      </c>
      <c r="N148" s="619">
        <v>0.5</v>
      </c>
    </row>
    <row r="149" spans="2:14" ht="15.75">
      <c r="B149">
        <f t="shared" si="10"/>
        <v>2044</v>
      </c>
      <c r="C149" s="399">
        <f t="shared" si="9"/>
        <v>21</v>
      </c>
      <c r="D149" s="398">
        <f>IF(C149&lt;='Active Inputs'!$Q$7,"",F149)</f>
        <v>19.239186388780748</v>
      </c>
      <c r="E149" s="606"/>
      <c r="F149" s="587">
        <f>INDEX($I$129:$J$161,MATCH($I$126,$H$129:$H$161,0)+C149-1,MATCH($F$128,$I$128:$J$128,0))+N149</f>
        <v>19.239186388780748</v>
      </c>
      <c r="H149" s="577">
        <f t="shared" si="8"/>
        <v>2044</v>
      </c>
      <c r="I149" s="612">
        <v>18.487324052090909</v>
      </c>
      <c r="J149" s="689">
        <v>18.739186388780748</v>
      </c>
      <c r="N149" s="619">
        <v>0.5</v>
      </c>
    </row>
    <row r="150" spans="2:14" ht="15.75">
      <c r="B150">
        <f t="shared" si="10"/>
        <v>2045</v>
      </c>
      <c r="C150" s="399">
        <f t="shared" si="9"/>
        <v>22</v>
      </c>
      <c r="D150" s="398">
        <f>IF(C150&lt;='Active Inputs'!$Q$7,"",F150)</f>
        <v>19.677168746197321</v>
      </c>
      <c r="E150" s="606"/>
      <c r="F150" s="587">
        <f>INDEX($I$129:$J$161,MATCH($I$126,$H$129:$H$161,0)+C150-1,MATCH($F$128,$I$128:$J$128,0))+N150</f>
        <v>19.677168746197321</v>
      </c>
      <c r="H150" s="577">
        <f t="shared" si="8"/>
        <v>2045</v>
      </c>
      <c r="I150" s="612">
        <v>18.882001818251272</v>
      </c>
      <c r="J150" s="689">
        <v>19.177168746197321</v>
      </c>
      <c r="N150" s="619">
        <v>0.5</v>
      </c>
    </row>
    <row r="151" spans="2:14" ht="15.75">
      <c r="B151">
        <f t="shared" si="10"/>
        <v>2046</v>
      </c>
      <c r="C151" s="399">
        <f t="shared" si="9"/>
        <v>23</v>
      </c>
      <c r="D151" s="398">
        <f>IF(C151&lt;='Active Inputs'!$Q$7,"",F151)</f>
        <v>20.111908263727106</v>
      </c>
      <c r="E151" s="606"/>
      <c r="F151" s="587">
        <f t="shared" si="6"/>
        <v>20.111908263727106</v>
      </c>
      <c r="H151" s="577">
        <f t="shared" si="8"/>
        <v>2046</v>
      </c>
      <c r="I151" s="612">
        <v>19.271703882188064</v>
      </c>
      <c r="J151" s="689">
        <v>19.611908263727106</v>
      </c>
      <c r="N151" s="619">
        <v>0.5</v>
      </c>
    </row>
    <row r="152" spans="2:14" ht="15.75">
      <c r="B152">
        <f t="shared" si="10"/>
        <v>2047</v>
      </c>
      <c r="C152" s="399">
        <f t="shared" si="9"/>
        <v>24</v>
      </c>
      <c r="D152" s="398">
        <f>IF(C152&lt;='Active Inputs'!$Q$7,"",F152)</f>
        <v>20.553967509645897</v>
      </c>
      <c r="E152" s="606"/>
      <c r="F152" s="587">
        <f t="shared" si="6"/>
        <v>20.553967509645897</v>
      </c>
      <c r="H152" s="577">
        <f t="shared" si="8"/>
        <v>2047</v>
      </c>
      <c r="I152" s="612">
        <v>19.663382159166101</v>
      </c>
      <c r="J152" s="689">
        <v>20.053967509645897</v>
      </c>
      <c r="N152" s="619">
        <v>0.5</v>
      </c>
    </row>
    <row r="153" spans="2:14" ht="15.75">
      <c r="B153">
        <f t="shared" si="10"/>
        <v>2048</v>
      </c>
      <c r="C153" s="399">
        <f t="shared" si="9"/>
        <v>25</v>
      </c>
      <c r="D153" s="398">
        <f>IF(C153&lt;='Active Inputs'!$Q$7,"",F153)</f>
        <v>21.008868430112049</v>
      </c>
      <c r="E153" s="606"/>
      <c r="F153" s="587">
        <f t="shared" si="6"/>
        <v>21.008868430112049</v>
      </c>
      <c r="H153" s="577">
        <f t="shared" si="8"/>
        <v>2048</v>
      </c>
      <c r="I153" s="612">
        <v>20.065297992034971</v>
      </c>
      <c r="J153" s="689">
        <v>20.508868430112049</v>
      </c>
      <c r="N153" s="619">
        <v>0.5</v>
      </c>
    </row>
    <row r="154" spans="2:14" ht="15.75">
      <c r="B154">
        <f t="shared" si="10"/>
        <v>2049</v>
      </c>
      <c r="C154" s="399">
        <f t="shared" si="9"/>
        <v>26</v>
      </c>
      <c r="D154" s="398">
        <f>IF(C154&lt;='Active Inputs'!$Q$7,"",F154)</f>
        <v>21.472998943823626</v>
      </c>
      <c r="E154" s="606"/>
      <c r="F154" s="587">
        <f t="shared" si="6"/>
        <v>21.472998943823626</v>
      </c>
      <c r="H154" s="577">
        <f t="shared" si="8"/>
        <v>2049</v>
      </c>
      <c r="I154" s="612">
        <v>20.475848011645994</v>
      </c>
      <c r="J154" s="689">
        <v>20.972998943823626</v>
      </c>
      <c r="N154" s="619">
        <v>0.5</v>
      </c>
    </row>
    <row r="155" spans="2:14" ht="15.75">
      <c r="B155">
        <f t="shared" si="10"/>
        <v>2050</v>
      </c>
      <c r="C155" s="399">
        <f t="shared" si="9"/>
        <v>27</v>
      </c>
      <c r="D155" s="398">
        <f>IF(C155&lt;='Active Inputs'!$Q$7,"",F155)</f>
        <v>21.872433239210707</v>
      </c>
      <c r="E155" s="606"/>
      <c r="F155" s="587">
        <f t="shared" si="6"/>
        <v>21.872433239210707</v>
      </c>
      <c r="H155" s="577">
        <f t="shared" si="8"/>
        <v>2050</v>
      </c>
      <c r="I155" s="612">
        <v>20.92245859702081</v>
      </c>
      <c r="J155" s="689">
        <v>21.372433239210707</v>
      </c>
      <c r="N155" s="619">
        <v>0.5</v>
      </c>
    </row>
    <row r="156" spans="2:14" ht="15.75">
      <c r="B156">
        <f t="shared" si="10"/>
        <v>2051</v>
      </c>
      <c r="C156" s="399">
        <f t="shared" si="9"/>
        <v>28</v>
      </c>
      <c r="D156" s="398">
        <f>IF(C156&lt;='Active Inputs'!$Q$7,"",F156)</f>
        <v>21.872433239210707</v>
      </c>
      <c r="E156" s="606"/>
      <c r="F156" s="587">
        <f t="shared" si="6"/>
        <v>21.872433239210707</v>
      </c>
      <c r="H156" s="577">
        <f t="shared" si="8"/>
        <v>2051</v>
      </c>
      <c r="I156" s="612">
        <v>20.92245859702081</v>
      </c>
      <c r="J156" s="689">
        <v>21.372433239210707</v>
      </c>
      <c r="N156" s="619">
        <v>0.5</v>
      </c>
    </row>
    <row r="157" spans="2:14" ht="15.75">
      <c r="B157">
        <f t="shared" si="10"/>
        <v>2052</v>
      </c>
      <c r="C157" s="399">
        <f t="shared" si="9"/>
        <v>29</v>
      </c>
      <c r="D157" s="398">
        <f>IF(C157&lt;='Active Inputs'!$Q$7,"",F157)</f>
        <v>21.872433239210707</v>
      </c>
      <c r="E157" s="606"/>
      <c r="F157" s="587">
        <f t="shared" si="6"/>
        <v>21.872433239210707</v>
      </c>
      <c r="H157" s="577">
        <f t="shared" si="8"/>
        <v>2052</v>
      </c>
      <c r="I157" s="612">
        <v>20.92245859702081</v>
      </c>
      <c r="J157" s="689">
        <v>21.372433239210707</v>
      </c>
      <c r="N157" s="619">
        <v>0.5</v>
      </c>
    </row>
    <row r="158" spans="2:14" ht="15.75">
      <c r="B158">
        <f t="shared" si="10"/>
        <v>2053</v>
      </c>
      <c r="C158" s="399">
        <f t="shared" si="9"/>
        <v>30</v>
      </c>
      <c r="D158" s="398">
        <f>IF(C158&lt;='Active Inputs'!$Q$7,"",F158)</f>
        <v>21.872433239210707</v>
      </c>
      <c r="E158" s="606"/>
      <c r="F158" s="587">
        <f t="shared" si="6"/>
        <v>21.872433239210707</v>
      </c>
      <c r="H158" s="577">
        <f t="shared" si="8"/>
        <v>2053</v>
      </c>
      <c r="I158" s="612">
        <v>20.92245859702081</v>
      </c>
      <c r="J158" s="689">
        <v>21.372433239210707</v>
      </c>
      <c r="N158" s="619">
        <v>0.5</v>
      </c>
    </row>
    <row r="159" spans="2:14" ht="15.75">
      <c r="C159" s="818" t="s">
        <v>487</v>
      </c>
      <c r="D159" s="819"/>
      <c r="F159" s="585"/>
      <c r="H159" s="577">
        <f t="shared" si="8"/>
        <v>2054</v>
      </c>
      <c r="I159" s="612">
        <v>20.92245859702081</v>
      </c>
      <c r="J159" s="689">
        <v>21.372433239210707</v>
      </c>
      <c r="N159" s="619">
        <v>0.5</v>
      </c>
    </row>
    <row r="160" spans="2:14" ht="16.5" thickBot="1">
      <c r="F160" s="586"/>
      <c r="H160" s="578">
        <f t="shared" si="8"/>
        <v>2055</v>
      </c>
      <c r="I160" s="690">
        <v>20.92245859702081</v>
      </c>
      <c r="J160" s="691">
        <v>21.372433239210707</v>
      </c>
      <c r="N160" s="619">
        <v>0.5</v>
      </c>
    </row>
    <row r="161" spans="8:10" ht="15.75">
      <c r="H161" s="614"/>
      <c r="I161" s="612"/>
      <c r="J161" s="613"/>
    </row>
  </sheetData>
  <protectedRanges>
    <protectedRange sqref="D129:D158" name="Market Value"/>
    <protectedRange sqref="B6:E25 B31:E50 B56:E75 B81:E100 D106:E109" name="Complex Inputs"/>
  </protectedRanges>
  <mergeCells count="2">
    <mergeCell ref="B126:E126"/>
    <mergeCell ref="C159:D159"/>
  </mergeCells>
  <conditionalFormatting sqref="D106:E110 D6:E26 D56:E76 D116:N121 D81:E101 D31:E51">
    <cfRule type="expression" dxfId="2" priority="1">
      <formula>$C$123="No"</formula>
    </cfRule>
  </conditionalFormatting>
  <conditionalFormatting sqref="B108">
    <cfRule type="expression" dxfId="1" priority="5">
      <formula>#REF!="100% Equity"</formula>
    </cfRule>
  </conditionalFormatting>
  <conditionalFormatting sqref="B108">
    <cfRule type="expression" dxfId="0" priority="6">
      <formula>#REF!="(use dropdown)"</formula>
    </cfRule>
  </conditionalFormatting>
  <dataValidations disablePrompts="1" count="1">
    <dataValidation type="list" allowBlank="1" showInputMessage="1" showErrorMessage="1" sqref="E6:E25 E31:E50 E106:E109 E56:E75 E81:E100" xr:uid="{00000000-0002-0000-0700-000000000000}">
      <formula1>$F$115:$N$115</formula1>
    </dataValidation>
  </dataValidations>
  <hyperlinks>
    <hyperlink ref="B53" location="Inputs!A1" display="Click Here to Return to Inputs Worksheet" xr:uid="{00000000-0004-0000-0700-000000000000}"/>
    <hyperlink ref="B78" location="Inputs!A1" display="Click Here to Return to Inputs Worksheet" xr:uid="{00000000-0004-0000-0700-000001000000}"/>
    <hyperlink ref="B28" location="Inputs!A1" display="Click Here to Return to Inputs Worksheet" xr:uid="{00000000-0004-0000-0700-000002000000}"/>
    <hyperlink ref="B103" location="Inputs!A1" display="Click Here to Return to Inputs Worksheet" xr:uid="{00000000-0004-0000-0700-000003000000}"/>
    <hyperlink ref="B112" location="Inputs!A1" display="Click Here to Return to Inputs Worksheet" xr:uid="{00000000-0004-0000-0700-000004000000}"/>
  </hyperlinks>
  <pageMargins left="0.7" right="0.7" top="0.75" bottom="0.75" header="0.3" footer="0.3"/>
  <pageSetup orientation="portrait" horizontalDpi="4294967293"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escription0 xmlns="b940d948-4510-4f7b-8fe4-c972814d6837" xsi:nil="true"/>
    <Date_x0020_of_x0020_Publication xmlns="b940d948-4510-4f7b-8fe4-c972814d6837" xsi:nil="true"/>
    <Organization xmlns="b940d948-4510-4f7b-8fe4-c972814d6837" xsi:nil="true"/>
    <Author0 xmlns="b940d948-4510-4f7b-8fe4-c972814d6837" xsi:nil="true"/>
    <_ip_UnifiedCompliancePolicyUIAction xmlns="http://schemas.microsoft.com/sharepoint/v3" xsi:nil="true"/>
    <_ip_UnifiedCompliancePolicyProperties xmlns="http://schemas.microsoft.com/sharepoint/v3" xsi:nil="true"/>
    <lcf76f155ced4ddcb4097134ff3c332f xmlns="b940d948-4510-4f7b-8fe4-c972814d6837">
      <Terms xmlns="http://schemas.microsoft.com/office/infopath/2007/PartnerControls"/>
    </lcf76f155ced4ddcb4097134ff3c332f>
    <TaxCatchAll xmlns="0c3f61a1-4f0a-4c77-91b8-7d0a7460c6e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57040FA6A4A2246987C6E5E2D982C44" ma:contentTypeVersion="25" ma:contentTypeDescription="Create a new document." ma:contentTypeScope="" ma:versionID="c07bc175cc9a03c3260588f57550758c">
  <xsd:schema xmlns:xsd="http://www.w3.org/2001/XMLSchema" xmlns:xs="http://www.w3.org/2001/XMLSchema" xmlns:p="http://schemas.microsoft.com/office/2006/metadata/properties" xmlns:ns1="http://schemas.microsoft.com/sharepoint/v3" xmlns:ns2="0c3f61a1-4f0a-4c77-91b8-7d0a7460c6ed" xmlns:ns3="77e41e1c-5222-43b2-9e51-7508e654bdb7" xmlns:ns4="b940d948-4510-4f7b-8fe4-c972814d6837" targetNamespace="http://schemas.microsoft.com/office/2006/metadata/properties" ma:root="true" ma:fieldsID="5661a525d4dc772b97711f1ccc3c22e7" ns1:_="" ns2:_="" ns3:_="" ns4:_="">
    <xsd:import namespace="http://schemas.microsoft.com/sharepoint/v3"/>
    <xsd:import namespace="0c3f61a1-4f0a-4c77-91b8-7d0a7460c6ed"/>
    <xsd:import namespace="77e41e1c-5222-43b2-9e51-7508e654bdb7"/>
    <xsd:import namespace="b940d948-4510-4f7b-8fe4-c972814d6837"/>
    <xsd:element name="properties">
      <xsd:complexType>
        <xsd:sequence>
          <xsd:element name="documentManagement">
            <xsd:complexType>
              <xsd:all>
                <xsd:element ref="ns2:SharedWithUsers" minOccurs="0"/>
                <xsd:element ref="ns3:SharingHintHash" minOccurs="0"/>
                <xsd:element ref="ns3:SharedWithDetails" minOccurs="0"/>
                <xsd:element ref="ns4:Description0" minOccurs="0"/>
                <xsd:element ref="ns4:Author0" minOccurs="0"/>
                <xsd:element ref="ns4:Organization" minOccurs="0"/>
                <xsd:element ref="ns4:Date_x0020_of_x0020_Publication" minOccurs="0"/>
                <xsd:element ref="ns2:LastSharedByUser" minOccurs="0"/>
                <xsd:element ref="ns2:LastSharedByTime" minOccurs="0"/>
                <xsd:element ref="ns4:MediaServiceMetadata" minOccurs="0"/>
                <xsd:element ref="ns4:MediaServiceFastMetadata" minOccurs="0"/>
                <xsd:element ref="ns4:MediaServiceAutoTags"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ServiceDateTaken" minOccurs="0"/>
                <xsd:element ref="ns1:_ip_UnifiedCompliancePolicyProperties" minOccurs="0"/>
                <xsd:element ref="ns1:_ip_UnifiedCompliancePolicyUIAction" minOccurs="0"/>
                <xsd:element ref="ns4:MediaLengthInSeconds" minOccurs="0"/>
                <xsd:element ref="ns4:lcf76f155ced4ddcb4097134ff3c332f" minOccurs="0"/>
                <xsd:element ref="ns2:TaxCatchAll"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6" nillable="true" ma:displayName="Unified Compliance Policy Properties" ma:hidden="true" ma:internalName="_ip_UnifiedCompliancePolicyProperties">
      <xsd:simpleType>
        <xsd:restriction base="dms:Note"/>
      </xsd:simpleType>
    </xsd:element>
    <xsd:element name="_ip_UnifiedCompliancePolicyUIAction" ma:index="2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3f61a1-4f0a-4c77-91b8-7d0a7460c6e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astSharedByUser" ma:index="15" nillable="true" ma:displayName="Last Shared By User" ma:internalName="LastSharedByUser" ma:readOnly="true">
      <xsd:simpleType>
        <xsd:restriction base="dms:Note">
          <xsd:maxLength value="255"/>
        </xsd:restriction>
      </xsd:simpleType>
    </xsd:element>
    <xsd:element name="LastSharedByTime" ma:index="16" nillable="true" ma:displayName="Last Shared By Time" ma:description="" ma:internalName="LastSharedByTime" ma:readOnly="true">
      <xsd:simpleType>
        <xsd:restriction base="dms:DateTime"/>
      </xsd:simpleType>
    </xsd:element>
    <xsd:element name="TaxCatchAll" ma:index="31" nillable="true" ma:displayName="Taxonomy Catch All Column" ma:hidden="true" ma:list="{432fd4cf-c4f2-4fc7-bce0-78f6e90dc7ee}" ma:internalName="TaxCatchAll" ma:showField="CatchAllData" ma:web="0c3f61a1-4f0a-4c77-91b8-7d0a7460c6e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7e41e1c-5222-43b2-9e51-7508e654bdb7" elementFormDefault="qualified">
    <xsd:import namespace="http://schemas.microsoft.com/office/2006/documentManagement/types"/>
    <xsd:import namespace="http://schemas.microsoft.com/office/infopath/2007/PartnerControls"/>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940d948-4510-4f7b-8fe4-c972814d6837" elementFormDefault="qualified">
    <xsd:import namespace="http://schemas.microsoft.com/office/2006/documentManagement/types"/>
    <xsd:import namespace="http://schemas.microsoft.com/office/infopath/2007/PartnerControls"/>
    <xsd:element name="Description0" ma:index="11" nillable="true" ma:displayName="Description" ma:internalName="Description0">
      <xsd:simpleType>
        <xsd:restriction base="dms:Note">
          <xsd:maxLength value="255"/>
        </xsd:restriction>
      </xsd:simpleType>
    </xsd:element>
    <xsd:element name="Author0" ma:index="12" nillable="true" ma:displayName="Author" ma:internalName="Author0">
      <xsd:simpleType>
        <xsd:restriction base="dms:Text">
          <xsd:maxLength value="255"/>
        </xsd:restriction>
      </xsd:simpleType>
    </xsd:element>
    <xsd:element name="Organization" ma:index="13" nillable="true" ma:displayName="Organization" ma:internalName="Organization">
      <xsd:simpleType>
        <xsd:restriction base="dms:Text">
          <xsd:maxLength value="255"/>
        </xsd:restriction>
      </xsd:simpleType>
    </xsd:element>
    <xsd:element name="Date_x0020_of_x0020_Publication" ma:index="14" nillable="true" ma:displayName="Date of Publication" ma:format="DateOnly" ma:internalName="Date_x0020_of_x0020_Publication">
      <xsd:simpleType>
        <xsd:restriction base="dms:DateTime"/>
      </xsd:simpleType>
    </xsd:element>
    <xsd:element name="MediaServiceMetadata" ma:index="17" nillable="true" ma:displayName="MediaServiceMetadata" ma:description="" ma:hidden="true" ma:internalName="MediaServiceMetadata" ma:readOnly="true">
      <xsd:simpleType>
        <xsd:restriction base="dms:Note"/>
      </xsd:simpleType>
    </xsd:element>
    <xsd:element name="MediaServiceFastMetadata" ma:index="18" nillable="true" ma:displayName="MediaServiceFastMetadata" ma:description="" ma:hidden="true" ma:internalName="MediaServiceFastMetadata" ma:readOnly="true">
      <xsd:simpleType>
        <xsd:restriction base="dms:Note"/>
      </xsd:simpleType>
    </xsd:element>
    <xsd:element name="MediaServiceAutoTags" ma:index="19" nillable="true" ma:displayName="MediaServiceAutoTags" ma:internalName="MediaServiceAutoTags" ma:readOnly="true">
      <xsd:simpleType>
        <xsd:restriction base="dms:Text"/>
      </xsd:simpleType>
    </xsd:element>
    <xsd:element name="MediaServiceOCR" ma:index="20" nillable="true" ma:displayName="MediaServiceOCR" ma:internalName="MediaServiceOCR" ma:readOnly="true">
      <xsd:simpleType>
        <xsd:restriction base="dms:Note">
          <xsd:maxLength value="255"/>
        </xsd:restriction>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element name="MediaServiceDateTaken" ma:index="25" nillable="true" ma:displayName="MediaServiceDateTaken" ma:hidden="true" ma:internalName="MediaServiceDateTaken" ma:readOnly="true">
      <xsd:simpleType>
        <xsd:restriction base="dms:Text"/>
      </xsd:simpleType>
    </xsd:element>
    <xsd:element name="MediaLengthInSeconds" ma:index="28" nillable="true" ma:displayName="MediaLengthInSeconds" ma:hidden="true" ma:internalName="MediaLengthInSeconds" ma:readOnly="true">
      <xsd:simpleType>
        <xsd:restriction base="dms:Unknown"/>
      </xsd:simpleType>
    </xsd:element>
    <xsd:element name="lcf76f155ced4ddcb4097134ff3c332f" ma:index="30" nillable="true" ma:taxonomy="true" ma:internalName="lcf76f155ced4ddcb4097134ff3c332f" ma:taxonomyFieldName="MediaServiceImageTags" ma:displayName="Image Tags" ma:readOnly="false" ma:fieldId="{5cf76f15-5ced-4ddc-b409-7134ff3c332f}" ma:taxonomyMulti="true" ma:sspId="a8730412-3796-4da5-9855-79a31b3d9ed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2"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824445-1374-4F6E-8FA0-6B39D2DCBE8D}">
  <ds:schemaRefs>
    <ds:schemaRef ds:uri="http://purl.org/dc/terms/"/>
    <ds:schemaRef ds:uri="b940d948-4510-4f7b-8fe4-c972814d6837"/>
    <ds:schemaRef ds:uri="http://www.w3.org/XML/1998/namespace"/>
    <ds:schemaRef ds:uri="http://purl.org/dc/dcmitype/"/>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http://schemas.microsoft.com/office/2006/documentManagement/types"/>
    <ds:schemaRef ds:uri="77e41e1c-5222-43b2-9e51-7508e654bdb7"/>
    <ds:schemaRef ds:uri="0c3f61a1-4f0a-4c77-91b8-7d0a7460c6ed"/>
    <ds:schemaRef ds:uri="http://schemas.microsoft.com/sharepoint/v3"/>
  </ds:schemaRefs>
</ds:datastoreItem>
</file>

<file path=customXml/itemProps2.xml><?xml version="1.0" encoding="utf-8"?>
<ds:datastoreItem xmlns:ds="http://schemas.openxmlformats.org/officeDocument/2006/customXml" ds:itemID="{FACC3D8C-5DB6-4AA9-A628-0854DC7D19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c3f61a1-4f0a-4c77-91b8-7d0a7460c6ed"/>
    <ds:schemaRef ds:uri="77e41e1c-5222-43b2-9e51-7508e654bdb7"/>
    <ds:schemaRef ds:uri="b940d948-4510-4f7b-8fe4-c972814d68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8EACCDD-3A3F-47B1-A822-7B3AE46381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README</vt:lpstr>
      <vt:lpstr>2024 Program Year Inputs</vt:lpstr>
      <vt:lpstr>Adder Inputs</vt:lpstr>
      <vt:lpstr>Yearly Inputs</vt:lpstr>
      <vt:lpstr>Active Inputs</vt:lpstr>
      <vt:lpstr>Summary Results</vt:lpstr>
      <vt:lpstr>Annual Cash Flows &amp; Returns</vt:lpstr>
      <vt:lpstr>Cash Flow</vt:lpstr>
      <vt:lpstr>Complex Inputs</vt:lpstr>
      <vt:lpstr>'Active Inputs'!_ftnref1</vt:lpstr>
      <vt:lpstr>FIT_actual_avg_DSCR</vt:lpstr>
      <vt:lpstr>FIT_actual_min_DSCR</vt:lpstr>
      <vt:lpstr>FIT_LCOE_result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CREST Model</dc:title>
  <dc:subject>Cost of Energy Model</dc:subject>
  <dc:creator>Jason S. Gifford</dc:creator>
  <cp:keywords>Feed-In Tariff</cp:keywords>
  <dc:description>Prepared under contract to the National Renewable Energy Laboratory.</dc:description>
  <cp:lastModifiedBy>Tobin Armstrong</cp:lastModifiedBy>
  <cp:revision/>
  <dcterms:created xsi:type="dcterms:W3CDTF">2010-03-29T19:24:38Z</dcterms:created>
  <dcterms:modified xsi:type="dcterms:W3CDTF">2024-01-31T16:37:10Z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0x010100F57040FA6A4A2246987C6E5E2D982C44</vt:lpwstr>
  </property>
  <property fmtid="{D5CDD505-2E9C-101B-9397-08002B2CF9AE}" pid="3" name="MediaServiceImageTags">
    <vt:lpwstr/>
  </property>
</Properties>
</file>