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CC010E00-A524-4D8B-810E-7C5B7AD45A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te Case DIV 13-32_Combined" sheetId="24" r:id="rId1"/>
  </sheets>
  <definedNames>
    <definedName name="Op_Co_List">#REF!</definedName>
    <definedName name="Sanc_Type_Lst">#REF!</definedName>
    <definedName name="Utility_Svc_L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8" i="24" l="1"/>
  <c r="L145" i="24"/>
  <c r="K145" i="24"/>
  <c r="I133" i="24"/>
  <c r="G163" i="24"/>
  <c r="I148" i="24"/>
  <c r="F148" i="24"/>
  <c r="G148" i="24"/>
  <c r="H148" i="24"/>
  <c r="E148" i="24"/>
  <c r="K136" i="24"/>
  <c r="H81" i="24" l="1"/>
  <c r="M131" i="24"/>
  <c r="I40" i="24" l="1"/>
  <c r="I30" i="24"/>
  <c r="I31" i="24"/>
  <c r="J82" i="24" l="1"/>
  <c r="J81" i="24"/>
  <c r="H131" i="24" s="1"/>
  <c r="I82" i="24"/>
  <c r="I81" i="24"/>
  <c r="H132" i="24" s="1"/>
  <c r="H82" i="24"/>
  <c r="I36" i="24"/>
  <c r="G54" i="24" s="1"/>
  <c r="I37" i="24"/>
  <c r="F55" i="24" s="1"/>
  <c r="F41" i="24"/>
  <c r="G41" i="24"/>
  <c r="H41" i="24"/>
  <c r="E41" i="24"/>
  <c r="I35" i="24"/>
  <c r="F54" i="24" s="1"/>
  <c r="I32" i="24"/>
  <c r="E51" i="24" s="1"/>
  <c r="I51" i="24" s="1"/>
  <c r="H66" i="24" s="1"/>
  <c r="H50" i="24"/>
  <c r="E50" i="24"/>
  <c r="H49" i="24"/>
  <c r="J78" i="24" s="1"/>
  <c r="E49" i="24"/>
  <c r="J67" i="24" s="1"/>
  <c r="I33" i="24"/>
  <c r="F160" i="24" l="1"/>
  <c r="H52" i="24"/>
  <c r="H58" i="24" s="1"/>
  <c r="E52" i="24"/>
  <c r="J80" i="24"/>
  <c r="I77" i="24"/>
  <c r="H78" i="24"/>
  <c r="I78" i="24"/>
  <c r="E160" i="24" s="1"/>
  <c r="H67" i="24"/>
  <c r="I67" i="24"/>
  <c r="I55" i="24"/>
  <c r="I50" i="24"/>
  <c r="H72" i="24"/>
  <c r="I49" i="24"/>
  <c r="H76" i="24" l="1"/>
  <c r="H68" i="24"/>
  <c r="H65" i="24"/>
  <c r="H80" i="24" s="1"/>
  <c r="I52" i="24"/>
  <c r="J75" i="24" l="1"/>
  <c r="F159" i="24" s="1"/>
  <c r="F162" i="24" s="1"/>
  <c r="H75" i="24"/>
  <c r="I71" i="24"/>
  <c r="H71" i="24"/>
  <c r="G56" i="24"/>
  <c r="F56" i="24"/>
  <c r="I54" i="24"/>
  <c r="I39" i="24"/>
  <c r="G57" i="24" s="1"/>
  <c r="I34" i="24"/>
  <c r="I38" i="24"/>
  <c r="G58" i="24" l="1"/>
  <c r="E53" i="24"/>
  <c r="I41" i="24"/>
  <c r="I56" i="24"/>
  <c r="F57" i="24"/>
  <c r="I57" i="24" s="1"/>
  <c r="H74" i="24" s="1"/>
  <c r="I69" i="24"/>
  <c r="I72" i="24"/>
  <c r="H73" i="24"/>
  <c r="G130" i="24" l="1"/>
  <c r="I53" i="24"/>
  <c r="I58" i="24" s="1"/>
  <c r="E58" i="24"/>
  <c r="F58" i="24"/>
  <c r="I66" i="24"/>
  <c r="I80" i="24" s="1"/>
  <c r="F104" i="24" s="1"/>
  <c r="H70" i="24"/>
  <c r="J74" i="24"/>
  <c r="I70" i="24"/>
  <c r="H79" i="24" l="1"/>
  <c r="H135" i="24"/>
  <c r="H130" i="24" s="1"/>
  <c r="J79" i="24"/>
  <c r="H159" i="24"/>
  <c r="H162" i="24" s="1"/>
  <c r="G159" i="24"/>
  <c r="E121" i="24"/>
  <c r="G131" i="24"/>
  <c r="I131" i="24" s="1"/>
  <c r="I79" i="24"/>
  <c r="F107" i="24"/>
  <c r="F108" i="24"/>
  <c r="F109" i="24"/>
  <c r="F110" i="24"/>
  <c r="F106" i="24"/>
  <c r="F105" i="24"/>
  <c r="I130" i="24" l="1"/>
  <c r="L130" i="24" s="1"/>
  <c r="L133" i="24" s="1"/>
  <c r="M133" i="24" s="1"/>
  <c r="F89" i="24"/>
  <c r="G132" i="24"/>
  <c r="I132" i="24" s="1"/>
  <c r="F90" i="24"/>
  <c r="F91" i="24"/>
  <c r="F94" i="24"/>
  <c r="F92" i="24"/>
  <c r="F93" i="24"/>
  <c r="F95" i="24"/>
  <c r="F96" i="24"/>
  <c r="F111" i="24" l="1"/>
  <c r="G160" i="24" s="1"/>
  <c r="F97" i="24"/>
  <c r="F98" i="24" s="1"/>
  <c r="K132" i="24" l="1"/>
  <c r="I160" i="24"/>
  <c r="G162" i="24"/>
  <c r="F112" i="24"/>
  <c r="E120" i="24"/>
  <c r="M132" i="24" l="1"/>
  <c r="M134" i="24" s="1"/>
  <c r="E159" i="24"/>
  <c r="E122" i="24"/>
  <c r="E162" i="24" l="1"/>
  <c r="I159" i="24"/>
  <c r="I162" i="24" s="1"/>
  <c r="I163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11" authorId="0" shapeId="0" xr:uid="{62C6D4F9-F226-4423-9CFF-DECC8319274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Scenario 9 from
 Conduit Decision Tree</t>
        </r>
      </text>
    </comment>
    <comment ref="L16" authorId="0" shapeId="0" xr:uid="{AEABC8F9-1298-4CDC-A84D-88B16F0ADD8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Scenario 5 from
 Conduit Decision Tree</t>
        </r>
      </text>
    </comment>
    <comment ref="L18" authorId="0" shapeId="0" xr:uid="{FD38B4A5-75FD-4684-AAA2-75C288667D4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Scenario 9 from
 Conduit Decision Tree</t>
        </r>
      </text>
    </comment>
    <comment ref="L22" authorId="0" shapeId="0" xr:uid="{CDFD67A4-0F04-47E0-8182-6259641EBF2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Scenario 5 from
 Conduit Decision Tree</t>
        </r>
      </text>
    </comment>
    <comment ref="H81" authorId="0" shapeId="0" xr:uid="{2E593DED-C6F2-4321-99EE-4EFE0C5F789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2026-05-18 removed $605k (it’s the tax for Developer 2 below) - this does not change the results</t>
        </r>
      </text>
    </comment>
  </commentList>
</comments>
</file>

<file path=xl/sharedStrings.xml><?xml version="1.0" encoding="utf-8"?>
<sst xmlns="http://schemas.openxmlformats.org/spreadsheetml/2006/main" count="326" uniqueCount="160">
  <si>
    <t>The Narragansett Electric Company</t>
  </si>
  <si>
    <t>d/b/a Rhode Island Energy</t>
  </si>
  <si>
    <t>Docket No. 25-45-GE</t>
  </si>
  <si>
    <t>Attachment DIV 13-32</t>
  </si>
  <si>
    <t>Page 1 of 1</t>
  </si>
  <si>
    <t>SCHEDULE 1 - Percent Reimbursement - Section Breakdown</t>
  </si>
  <si>
    <t xml:space="preserve">Line No. </t>
  </si>
  <si>
    <t>Schedule
(a)</t>
  </si>
  <si>
    <t>ITEM NO.
(b)</t>
  </si>
  <si>
    <t>Description
(c)</t>
  </si>
  <si>
    <t>Sections
(d)</t>
  </si>
  <si>
    <t>From
(e)</t>
  </si>
  <si>
    <t>To
(f)</t>
  </si>
  <si>
    <t>% For DG
(g)</t>
  </si>
  <si>
    <t>% For Accel Mod
(h)</t>
  </si>
  <si>
    <t>% For Sys Improve
(i)</t>
  </si>
  <si>
    <t>Notes
(j)</t>
  </si>
  <si>
    <t>Developer 2 - Civil Work - Hopkins Hill</t>
  </si>
  <si>
    <t>Hopkins Hill Road</t>
  </si>
  <si>
    <t>3309 Riser (Hopkins Hill Rd)</t>
  </si>
  <si>
    <t>3310 Riser (Hopkins Hill Rd)</t>
  </si>
  <si>
    <t>Duct Bank allocated 80% to 3309 Line (system modification) and 20% to spare ducts (system improvement)</t>
  </si>
  <si>
    <t>Developer 2 - Cable Procurement</t>
  </si>
  <si>
    <t>Hopkins Hill Road, Nooseneck Hill Road - North, Weaver Hill Road</t>
  </si>
  <si>
    <t>Revity Tap - Robin Hollow Site</t>
  </si>
  <si>
    <t>72.55% for 3309 cable on Hopkins Hill and Weaver Roads, 27.45% for 3310 cable on Weaver Hill Road</t>
  </si>
  <si>
    <t>RIE - Overhead Work- 3309</t>
  </si>
  <si>
    <t>RIE - Subtransmission Lines - 3309 and 3310</t>
  </si>
  <si>
    <t>69.56% for 3309 cable on Hopkins Hill and Weaver Roads, 30.44% for 3310 cable on Weaver Hill Road</t>
  </si>
  <si>
    <t>RIE - Riser Poles</t>
  </si>
  <si>
    <t>Riser work on Hopkins Hill Road is for 3310 Line (accelerated modification)</t>
  </si>
  <si>
    <t>Developer 1 - Civil Work</t>
  </si>
  <si>
    <t>Nooseneck Hill Road - North</t>
  </si>
  <si>
    <t>Intersection of Nooseneck/Weaver Hill Roads (Node A)</t>
  </si>
  <si>
    <t>Duct Bank allocated 50% to 3310 Line (accelerated modification and 50% to 3309 Line (system modification)</t>
  </si>
  <si>
    <t>Developer 1 - Civil Work - Risers</t>
  </si>
  <si>
    <t>3309 Line civil work for risers</t>
  </si>
  <si>
    <t>Nooseneck Hill Road - South</t>
  </si>
  <si>
    <t>Green Dev Site</t>
  </si>
  <si>
    <t>Duct Bank allocated 80% to 3310 Line (system modification) and 20% to spare ducts (system improvement)</t>
  </si>
  <si>
    <t>RIE - Subtransmission Lines - 3310 - Labor</t>
  </si>
  <si>
    <t>Nooseneck Hill Road - North, Nooseneck Hill Road - South</t>
  </si>
  <si>
    <t xml:space="preserve">Nooseneck Hill Road South - 14,651 feet (system modification). Nooseneck Hill Road - North - 16.486 feet (accelerated modification).    </t>
  </si>
  <si>
    <t>RIE - Subtransmission Lines - 3310 - Material</t>
  </si>
  <si>
    <t xml:space="preserve">Nooseneck Hill Road South - 500kcmil cable (system modification). Nooseneck Hill Road - North - 1000 kcmil cable (system improvement).  </t>
  </si>
  <si>
    <t>RIE - Riser Poles - Nooseneck Hill Road</t>
  </si>
  <si>
    <t xml:space="preserve">Developer 2 - Civil Work </t>
  </si>
  <si>
    <t>Weaver Hill Road</t>
  </si>
  <si>
    <t>Duct Bank allocated 22% to 3310 Line (accelerated modification), 22% to 3309 Line (system modification), and 56% to spare ducts (system improvement)</t>
  </si>
  <si>
    <t>SCHEDULE 2  - Actual Costs</t>
  </si>
  <si>
    <t>ITEM
NO.
(b)</t>
  </si>
  <si>
    <t>FINAL COSTS
(c)</t>
  </si>
  <si>
    <t>Labor
(d)</t>
  </si>
  <si>
    <t>Equipment
(e)</t>
  </si>
  <si>
    <t>Subcontractor
(f)</t>
  </si>
  <si>
    <t>Materials
(g)</t>
  </si>
  <si>
    <t>Total
(h)</t>
  </si>
  <si>
    <t>RIE - Subtransmission Lines - 3309 and 3310 Phase 2</t>
  </si>
  <si>
    <t>RIE - Riser Poles - Hopkins Hill Road</t>
  </si>
  <si>
    <t>Developer 1 Civil Work - Nooseneck Hill Road - North</t>
  </si>
  <si>
    <t>Developer 1 Civil Work - Nooseneck Hill Road - South</t>
  </si>
  <si>
    <t>RIE - Subtransmission Lines - 3310 Phase 1</t>
  </si>
  <si>
    <t>Developer 2 - Civil Work - Weaver Hill</t>
  </si>
  <si>
    <t>TOTAL</t>
  </si>
  <si>
    <t>SCHEDULE 3 - Breakdown Actual Costs By Defined Sections</t>
  </si>
  <si>
    <t>DESCRIPTION OF WORK
(c)</t>
  </si>
  <si>
    <t>Hopkins Hill Road
(d)</t>
  </si>
  <si>
    <t>Nooseneck Hill Road - North
(e)</t>
  </si>
  <si>
    <t>Nooseneck Hill Road - South
(f)</t>
  </si>
  <si>
    <t>Weaver Hill Road
(g)</t>
  </si>
  <si>
    <t>Developer 2 - Civil Work</t>
  </si>
  <si>
    <t>SCHEDULE 4 - Breakdown Actual Costs By Defined Sections and By Type</t>
  </si>
  <si>
    <t>Section Name
(d)</t>
  </si>
  <si>
    <t>Cable 35kV - 3309 Line</t>
  </si>
  <si>
    <t>Cable allocation by street is Hopkins Hill -15.36%, Nooseneck - 81.67%, Weaver Hill - 2.97%</t>
  </si>
  <si>
    <t>Riser Work</t>
  </si>
  <si>
    <t>Duct Bank Civil Work - Developer 2</t>
  </si>
  <si>
    <t>Cable 35kV - 3310 Line</t>
  </si>
  <si>
    <t>3311 Riser (Hopkins Hill Rd)</t>
  </si>
  <si>
    <t>Duct Bank Civil Work - Developer 1</t>
  </si>
  <si>
    <t>Duct Bank Civil Work - Developer 1 - 3309 Risers</t>
  </si>
  <si>
    <t>Subtotal - Developer 1</t>
  </si>
  <si>
    <t>Subtotal - Developer 2</t>
  </si>
  <si>
    <t>TAXES - Developer 1</t>
  </si>
  <si>
    <t>TAXES - Developer 2</t>
  </si>
  <si>
    <t>SCHEDULE 5A - Depreciation on Accelerated Modifications - Developer 1</t>
  </si>
  <si>
    <t>Depreciation Years Per Original Schedule
(c)</t>
  </si>
  <si>
    <t>Rate
(d)</t>
  </si>
  <si>
    <t>Amount
(e)</t>
  </si>
  <si>
    <t>5A</t>
  </si>
  <si>
    <t>Total Cost</t>
  </si>
  <si>
    <t>FY 2022 Book Depreciation</t>
  </si>
  <si>
    <t>FY 2023 Book Depreciation</t>
  </si>
  <si>
    <t>FY 2024 Book Depreciation</t>
  </si>
  <si>
    <t>FY 2025 Book Depreciation</t>
  </si>
  <si>
    <t>FY 2026 Book Depreciation</t>
  </si>
  <si>
    <t>FY 2027 Book Depreciation</t>
  </si>
  <si>
    <t>FY 2028 Book Depreciation</t>
  </si>
  <si>
    <t xml:space="preserve">Cumulative Book Depreciation </t>
  </si>
  <si>
    <t>Accelerated Modification Cost less Depreciation</t>
  </si>
  <si>
    <t>SCHEDULE 5B - Depreciation on Accelerated Modifications - Developer 2</t>
  </si>
  <si>
    <t>5B</t>
  </si>
  <si>
    <t>SCHEDULE 6 - Rate Base Calculation</t>
  </si>
  <si>
    <t>Total Rate Base Amount</t>
  </si>
  <si>
    <t>Cost Classification</t>
  </si>
  <si>
    <t>Green Paid/Self Build Costs</t>
  </si>
  <si>
    <t>Customer Payment</t>
  </si>
  <si>
    <t>Company Payment</t>
  </si>
  <si>
    <t>System Modification (Including Study Costs)</t>
  </si>
  <si>
    <t>System Improvement</t>
  </si>
  <si>
    <t>Accelerated Modification</t>
  </si>
  <si>
    <t>Total Reimbursement</t>
  </si>
  <si>
    <t>Depreciation - Developer1</t>
  </si>
  <si>
    <t>Study Costs - Developer1</t>
  </si>
  <si>
    <t>Site Costs- Developer 1</t>
  </si>
  <si>
    <t>Total Cost w/Tax - Developer 1</t>
  </si>
  <si>
    <t>Non-Site Costs - Developer 1</t>
  </si>
  <si>
    <t>Tax -Developer 1</t>
  </si>
  <si>
    <t>New Schedules for PUC 17-1</t>
  </si>
  <si>
    <t>SCHEDULE 7 - Comparison to Compliance Filing 25-24-EL - Reimbursement Table - Nooseneck</t>
  </si>
  <si>
    <t>Tax paid by Developer 2 on work performed by Developer 1</t>
  </si>
  <si>
    <t>Portion of Depreciation to be paid by other developers</t>
  </si>
  <si>
    <t>Total Seeking Cost Recovery</t>
  </si>
  <si>
    <t>System Improvement Amount (Company Performed Work)</t>
  </si>
  <si>
    <t>Accelerated System Modification (Company Performed Work)</t>
  </si>
  <si>
    <t>Project</t>
  </si>
  <si>
    <t>(a)</t>
  </si>
  <si>
    <t>(b)</t>
  </si>
  <si>
    <t>(c)</t>
  </si>
  <si>
    <t>(d)</t>
  </si>
  <si>
    <t>(e)</t>
  </si>
  <si>
    <t>(f)</t>
  </si>
  <si>
    <t>Nooseneck</t>
  </si>
  <si>
    <t>Robin Hollow</t>
  </si>
  <si>
    <r>
      <rPr>
        <b/>
        <sz val="9.5"/>
        <rFont val="Times New Roman"/>
        <family val="1"/>
      </rPr>
      <t>Accelerated System Modification Amount (Customer Performed Work)</t>
    </r>
  </si>
  <si>
    <r>
      <rPr>
        <b/>
        <sz val="9.5"/>
        <rFont val="Times New Roman"/>
        <family val="1"/>
      </rPr>
      <t>System Improvement Amount (Customer Performed Work)</t>
    </r>
  </si>
  <si>
    <r>
      <rPr>
        <b/>
        <sz val="9.5"/>
        <rFont val="Times New Roman"/>
        <family val="1"/>
      </rPr>
      <t>Totals</t>
    </r>
  </si>
  <si>
    <r>
      <rPr>
        <b/>
        <sz val="9.5"/>
        <rFont val="Times New Roman"/>
        <family val="1"/>
      </rPr>
      <t>Project</t>
    </r>
  </si>
  <si>
    <r>
      <rPr>
        <b/>
        <sz val="9.5"/>
        <rFont val="Times New Roman"/>
        <family val="1"/>
      </rPr>
      <t>Accelerated System Modification (Company Performed Work)</t>
    </r>
  </si>
  <si>
    <r>
      <rPr>
        <b/>
        <sz val="9.5"/>
        <rFont val="Times New Roman"/>
        <family val="1"/>
      </rPr>
      <t>System Improvement Amount (Company Performed Work)</t>
    </r>
  </si>
  <si>
    <r>
      <rPr>
        <b/>
        <sz val="9.5"/>
        <rFont val="Times New Roman"/>
        <family val="1"/>
      </rPr>
      <t>Total Seeking Cost Recovery</t>
    </r>
  </si>
  <si>
    <t>Tiverton</t>
  </si>
  <si>
    <t>Studley Solar</t>
  </si>
  <si>
    <t>System Improvements</t>
  </si>
  <si>
    <t>Less Additional Depreciation on Accelerated Modification to be paid by Studley Solar on work done by Developer 1</t>
  </si>
  <si>
    <t>Riser work on Nooseneck Hail Road - North - 3310 Line (accelerated modification) and 3309 Line (system modification).  Riser work on Nooseneck Hill - South - 3310 Line for Green Development (system modification) and other TBD (system improvement)</t>
  </si>
  <si>
    <t>Accelerated Modifications</t>
  </si>
  <si>
    <t>Description (c)</t>
  </si>
  <si>
    <t>Amount (d)</t>
  </si>
  <si>
    <t>$ For DG (g)</t>
  </si>
  <si>
    <t>$ For Accel Mod (h)</t>
  </si>
  <si>
    <t>$ For Sys Improve (i)</t>
  </si>
  <si>
    <t>SCHEDULE 8 - Attachment 1, Table 1 from Compliance Filing 25-24-EL - Original, Nooseneck and Robin Hollow Only</t>
  </si>
  <si>
    <t>SCHEDULE 9 - Attachment 1, Table 1 from Compliance Filing 25-24-EL - Updated, Nooseneck and Robin Hollow Only</t>
  </si>
  <si>
    <t>(g)</t>
  </si>
  <si>
    <t>(h)</t>
  </si>
  <si>
    <t>(i)</t>
  </si>
  <si>
    <t>(j)</t>
  </si>
  <si>
    <t>(k)</t>
  </si>
  <si>
    <t>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</si>
</sst>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;&quot;$&quot;\-#,##0"/>
    <numFmt numFmtId="165" formatCode="_(&quot;$&quot;* #,##0_);_(&quot;$&quot;* \(#,##0\);_(&quot;$&quot;* &quot;-&quot;??_);_(@_)"/>
    <numFmt numFmtId="166" formatCode="\$#,##0"/>
    <numFmt numFmtId="167" formatCode="\$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.5"/>
      <name val="Times New Roman"/>
      <family val="1"/>
    </font>
    <font>
      <b/>
      <sz val="11"/>
      <color theme="1"/>
      <name val="Calibri"/>
      <family val="2"/>
      <scheme val="minor"/>
    </font>
    <font>
      <b/>
      <sz val="9.5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6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0" fillId="2" borderId="0" xfId="0" applyFill="1"/>
    <xf numFmtId="5" fontId="6" fillId="0" borderId="1" xfId="0" applyNumberFormat="1" applyFont="1" applyBorder="1" applyAlignment="1">
      <alignment vertical="center" wrapText="1"/>
    </xf>
    <xf numFmtId="9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65" fontId="7" fillId="0" borderId="0" xfId="0" applyNumberFormat="1" applyFont="1"/>
    <xf numFmtId="9" fontId="6" fillId="0" borderId="1" xfId="2" applyFont="1" applyBorder="1" applyAlignment="1">
      <alignment horizontal="center" vertical="center"/>
    </xf>
    <xf numFmtId="10" fontId="6" fillId="0" borderId="1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5" fontId="0" fillId="0" borderId="0" xfId="0" applyNumberFormat="1"/>
    <xf numFmtId="5" fontId="6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5" fontId="8" fillId="0" borderId="1" xfId="0" applyNumberFormat="1" applyFont="1" applyBorder="1" applyAlignment="1">
      <alignment vertical="center" wrapText="1"/>
    </xf>
    <xf numFmtId="10" fontId="0" fillId="0" borderId="0" xfId="2" applyNumberFormat="1" applyFont="1"/>
    <xf numFmtId="5" fontId="6" fillId="0" borderId="1" xfId="0" applyNumberFormat="1" applyFont="1" applyBorder="1" applyAlignment="1">
      <alignment horizontal="right" vertical="center"/>
    </xf>
    <xf numFmtId="9" fontId="6" fillId="0" borderId="2" xfId="2" applyFont="1" applyBorder="1" applyAlignment="1">
      <alignment horizontal="center" vertical="center" wrapText="1"/>
    </xf>
    <xf numFmtId="9" fontId="6" fillId="0" borderId="0" xfId="2" applyFont="1" applyBorder="1" applyAlignment="1">
      <alignment horizontal="center" vertical="center" wrapText="1"/>
    </xf>
    <xf numFmtId="5" fontId="6" fillId="0" borderId="2" xfId="0" applyNumberFormat="1" applyFont="1" applyBorder="1" applyAlignment="1">
      <alignment vertical="center" wrapText="1"/>
    </xf>
    <xf numFmtId="5" fontId="8" fillId="0" borderId="2" xfId="0" applyNumberFormat="1" applyFont="1" applyBorder="1" applyAlignment="1">
      <alignment vertical="center" wrapText="1"/>
    </xf>
    <xf numFmtId="5" fontId="8" fillId="0" borderId="0" xfId="0" applyNumberFormat="1" applyFont="1" applyAlignment="1">
      <alignment vertical="center" wrapText="1"/>
    </xf>
    <xf numFmtId="10" fontId="6" fillId="0" borderId="1" xfId="2" applyNumberFormat="1" applyFont="1" applyBorder="1" applyAlignment="1">
      <alignment horizontal="right" vertical="center"/>
    </xf>
    <xf numFmtId="5" fontId="6" fillId="0" borderId="1" xfId="2" applyNumberFormat="1" applyFont="1" applyBorder="1" applyAlignment="1">
      <alignment horizontal="right" vertical="center"/>
    </xf>
    <xf numFmtId="5" fontId="6" fillId="0" borderId="2" xfId="0" applyNumberFormat="1" applyFont="1" applyBorder="1" applyAlignment="1">
      <alignment horizontal="right" vertical="center"/>
    </xf>
    <xf numFmtId="5" fontId="8" fillId="0" borderId="1" xfId="2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0" fontId="6" fillId="0" borderId="1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5" fontId="8" fillId="3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166" fontId="14" fillId="0" borderId="0" xfId="0" applyNumberFormat="1" applyFont="1" applyAlignment="1">
      <alignment vertical="center" shrinkToFit="1"/>
    </xf>
    <xf numFmtId="166" fontId="1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167" fontId="1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top" wrapText="1" indent="1"/>
    </xf>
    <xf numFmtId="166" fontId="15" fillId="0" borderId="0" xfId="0" applyNumberFormat="1" applyFont="1" applyAlignment="1">
      <alignment vertical="top" shrinkToFit="1"/>
    </xf>
    <xf numFmtId="166" fontId="15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left" vertical="center" wrapText="1"/>
    </xf>
    <xf numFmtId="0" fontId="2" fillId="3" borderId="0" xfId="0" applyFont="1" applyFill="1"/>
    <xf numFmtId="0" fontId="8" fillId="0" borderId="0" xfId="0" applyFont="1" applyAlignment="1">
      <alignment horizontal="center" vertical="center"/>
    </xf>
    <xf numFmtId="5" fontId="6" fillId="0" borderId="0" xfId="0" applyNumberFormat="1" applyFont="1" applyAlignment="1">
      <alignment horizontal="right" vertical="center"/>
    </xf>
    <xf numFmtId="5" fontId="6" fillId="0" borderId="1" xfId="0" applyNumberFormat="1" applyFont="1" applyBorder="1" applyAlignment="1">
      <alignment horizontal="center" vertical="center" wrapText="1"/>
    </xf>
    <xf numFmtId="5" fontId="6" fillId="0" borderId="3" xfId="0" applyNumberFormat="1" applyFont="1" applyBorder="1" applyAlignment="1">
      <alignment horizontal="right" vertical="center"/>
    </xf>
    <xf numFmtId="5" fontId="6" fillId="0" borderId="3" xfId="0" applyNumberFormat="1" applyFont="1" applyBorder="1" applyAlignment="1">
      <alignment horizontal="center" vertical="center" wrapText="1"/>
    </xf>
    <xf numFmtId="5" fontId="6" fillId="0" borderId="0" xfId="0" applyNumberFormat="1" applyFont="1" applyAlignment="1">
      <alignment horizontal="center" vertical="center" wrapText="1"/>
    </xf>
    <xf numFmtId="5" fontId="6" fillId="0" borderId="1" xfId="0" applyNumberFormat="1" applyFont="1" applyBorder="1" applyAlignment="1">
      <alignment horizontal="center" vertical="center"/>
    </xf>
    <xf numFmtId="5" fontId="6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5" fontId="8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5" fontId="6" fillId="0" borderId="0" xfId="0" applyNumberFormat="1" applyFont="1"/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9" fontId="6" fillId="4" borderId="1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5" fontId="6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5" fontId="6" fillId="0" borderId="5" xfId="0" applyNumberFormat="1" applyFont="1" applyBorder="1" applyAlignment="1">
      <alignment horizontal="center" vertical="center"/>
    </xf>
    <xf numFmtId="5" fontId="6" fillId="0" borderId="0" xfId="0" applyNumberFormat="1" applyFont="1" applyAlignment="1">
      <alignment horizontal="center" vertical="center"/>
    </xf>
  </cellXfs>
  <cellStyles count="5">
    <cellStyle name="Comma 3" xfId="4" xr:uid="{848657EE-F819-4DDE-A09C-9435F2BA46D0}"/>
    <cellStyle name="Normal" xfId="0" builtinId="0"/>
    <cellStyle name="Normal 2" xfId="1" xr:uid="{00000000-0005-0000-0000-000002000000}"/>
    <cellStyle name="Normal 4" xfId="3" xr:uid="{16D5D427-8AEB-4112-A93D-E77083509B35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11C2-2D48-4186-849D-7FE99C83D76D}">
  <dimension ref="A1:BD167"/>
  <sheetViews>
    <sheetView tabSelected="1" zoomScale="90" zoomScaleNormal="90" workbookViewId="0">
      <selection activeCell="I160" sqref="I160"/>
    </sheetView>
  </sheetViews>
  <sheetFormatPr defaultRowHeight="12.5" x14ac:dyDescent="0.25"/>
  <cols>
    <col min="3" max="3" width="7.6328125" customWidth="1"/>
    <col min="4" max="4" width="48.6328125" customWidth="1"/>
    <col min="5" max="5" width="41.08984375" customWidth="1"/>
    <col min="6" max="6" width="41.6328125" customWidth="1"/>
    <col min="7" max="7" width="41.36328125" customWidth="1"/>
    <col min="8" max="9" width="12.36328125" customWidth="1"/>
    <col min="10" max="10" width="11.6328125" customWidth="1"/>
    <col min="11" max="11" width="16.6328125" customWidth="1"/>
    <col min="12" max="12" width="18" customWidth="1"/>
    <col min="13" max="13" width="17.36328125" customWidth="1"/>
    <col min="14" max="14" width="18.54296875" customWidth="1"/>
    <col min="15" max="15" width="17.08984375" customWidth="1"/>
    <col min="16" max="17" width="18" customWidth="1"/>
    <col min="18" max="18" width="12.36328125" customWidth="1"/>
    <col min="20" max="20" width="12.36328125" customWidth="1"/>
    <col min="22" max="22" width="26.36328125" customWidth="1"/>
    <col min="23" max="23" width="18" customWidth="1"/>
    <col min="24" max="24" width="13.90625" customWidth="1"/>
    <col min="25" max="26" width="15.6328125" customWidth="1"/>
    <col min="27" max="27" width="17.453125" customWidth="1"/>
  </cols>
  <sheetData>
    <row r="1" spans="1:16" ht="14" x14ac:dyDescent="0.3">
      <c r="P1" s="44" t="s">
        <v>0</v>
      </c>
    </row>
    <row r="2" spans="1:16" ht="14" x14ac:dyDescent="0.3">
      <c r="P2" s="44" t="s">
        <v>1</v>
      </c>
    </row>
    <row r="3" spans="1:16" ht="14" x14ac:dyDescent="0.3">
      <c r="P3" s="44" t="s">
        <v>2</v>
      </c>
    </row>
    <row r="4" spans="1:16" ht="14" x14ac:dyDescent="0.3">
      <c r="P4" s="44" t="s">
        <v>3</v>
      </c>
    </row>
    <row r="5" spans="1:16" ht="14" x14ac:dyDescent="0.3">
      <c r="P5" s="44" t="s">
        <v>4</v>
      </c>
    </row>
    <row r="6" spans="1:16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C7" s="1" t="s">
        <v>5</v>
      </c>
    </row>
    <row r="9" spans="1:16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6" ht="37.5" x14ac:dyDescent="0.35">
      <c r="A10" s="4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9" t="s">
        <v>13</v>
      </c>
      <c r="I10" s="9" t="s">
        <v>14</v>
      </c>
      <c r="J10" s="9" t="s">
        <v>15</v>
      </c>
      <c r="L10" s="9" t="s">
        <v>16</v>
      </c>
      <c r="M10" s="13"/>
      <c r="N10" s="13"/>
      <c r="O10" s="13"/>
    </row>
    <row r="11" spans="1:16" ht="14.5" x14ac:dyDescent="0.35">
      <c r="A11" s="43">
        <v>1</v>
      </c>
      <c r="B11" s="10">
        <v>1</v>
      </c>
      <c r="C11" s="3">
        <v>1</v>
      </c>
      <c r="D11" s="5" t="s">
        <v>17</v>
      </c>
      <c r="E11" s="5" t="s">
        <v>18</v>
      </c>
      <c r="F11" s="11" t="s">
        <v>19</v>
      </c>
      <c r="G11" s="11" t="s">
        <v>20</v>
      </c>
      <c r="H11" s="9">
        <v>0.8</v>
      </c>
      <c r="I11" s="9">
        <v>0</v>
      </c>
      <c r="J11" s="9">
        <v>0.2</v>
      </c>
      <c r="L11" s="18" t="s">
        <v>21</v>
      </c>
      <c r="M11" s="13"/>
      <c r="N11" s="13"/>
      <c r="O11" s="13"/>
    </row>
    <row r="12" spans="1:16" ht="25" x14ac:dyDescent="0.35">
      <c r="A12" s="43">
        <v>2</v>
      </c>
      <c r="B12" s="10">
        <v>1</v>
      </c>
      <c r="C12" s="3">
        <v>2</v>
      </c>
      <c r="D12" s="11" t="s">
        <v>22</v>
      </c>
      <c r="E12" s="5" t="s">
        <v>23</v>
      </c>
      <c r="F12" s="11" t="s">
        <v>19</v>
      </c>
      <c r="G12" s="11" t="s">
        <v>24</v>
      </c>
      <c r="H12" s="42">
        <v>0.72549019607843135</v>
      </c>
      <c r="I12" s="42">
        <v>0.27450980392156871</v>
      </c>
      <c r="J12" s="42">
        <v>0</v>
      </c>
      <c r="L12" s="18" t="s">
        <v>25</v>
      </c>
      <c r="M12" s="13"/>
      <c r="N12" s="13"/>
      <c r="O12" s="13"/>
    </row>
    <row r="13" spans="1:16" ht="14.5" x14ac:dyDescent="0.35">
      <c r="A13" s="43">
        <v>3</v>
      </c>
      <c r="B13" s="10">
        <v>1</v>
      </c>
      <c r="C13" s="3">
        <v>3</v>
      </c>
      <c r="D13" s="5" t="s">
        <v>26</v>
      </c>
      <c r="E13" s="5" t="s">
        <v>18</v>
      </c>
      <c r="F13" s="11" t="s">
        <v>19</v>
      </c>
      <c r="G13" s="11" t="s">
        <v>20</v>
      </c>
      <c r="H13" s="9">
        <v>1</v>
      </c>
      <c r="I13" s="9">
        <v>0</v>
      </c>
      <c r="J13" s="9">
        <v>0</v>
      </c>
      <c r="L13" s="18"/>
      <c r="M13" s="13"/>
      <c r="N13" s="13"/>
      <c r="O13" s="13"/>
    </row>
    <row r="14" spans="1:16" ht="25" x14ac:dyDescent="0.35">
      <c r="A14" s="43">
        <v>4</v>
      </c>
      <c r="B14" s="10">
        <v>1</v>
      </c>
      <c r="C14" s="3">
        <v>4</v>
      </c>
      <c r="D14" s="5" t="s">
        <v>27</v>
      </c>
      <c r="E14" s="5" t="s">
        <v>23</v>
      </c>
      <c r="F14" s="11" t="s">
        <v>19</v>
      </c>
      <c r="G14" s="11" t="s">
        <v>24</v>
      </c>
      <c r="H14" s="17">
        <v>0.69562862065789199</v>
      </c>
      <c r="I14" s="17">
        <v>0.3043713793421079</v>
      </c>
      <c r="J14" s="17">
        <v>0</v>
      </c>
      <c r="L14" s="18" t="s">
        <v>28</v>
      </c>
      <c r="M14" s="13"/>
      <c r="N14" s="13"/>
      <c r="O14" s="13"/>
    </row>
    <row r="15" spans="1:16" ht="14.5" x14ac:dyDescent="0.35">
      <c r="A15" s="43">
        <v>5</v>
      </c>
      <c r="B15" s="10">
        <v>1</v>
      </c>
      <c r="C15" s="3">
        <v>5</v>
      </c>
      <c r="D15" s="5" t="s">
        <v>29</v>
      </c>
      <c r="E15" s="5" t="s">
        <v>18</v>
      </c>
      <c r="F15" s="11" t="s">
        <v>19</v>
      </c>
      <c r="G15" s="11" t="s">
        <v>20</v>
      </c>
      <c r="H15" s="17">
        <v>0</v>
      </c>
      <c r="I15" s="17">
        <v>1</v>
      </c>
      <c r="J15" s="17">
        <v>0</v>
      </c>
      <c r="L15" s="18" t="s">
        <v>30</v>
      </c>
      <c r="M15" s="13"/>
      <c r="N15" s="13"/>
      <c r="O15" s="13"/>
    </row>
    <row r="16" spans="1:16" ht="13" x14ac:dyDescent="0.3">
      <c r="A16" s="43">
        <v>6</v>
      </c>
      <c r="B16" s="10">
        <v>1</v>
      </c>
      <c r="C16" s="3">
        <v>6</v>
      </c>
      <c r="D16" s="11" t="s">
        <v>31</v>
      </c>
      <c r="E16" s="5" t="s">
        <v>32</v>
      </c>
      <c r="F16" s="11" t="s">
        <v>20</v>
      </c>
      <c r="G16" s="11" t="s">
        <v>33</v>
      </c>
      <c r="H16" s="16">
        <v>0.5</v>
      </c>
      <c r="I16" s="16">
        <v>0.5</v>
      </c>
      <c r="J16" s="16">
        <v>0</v>
      </c>
      <c r="L16" s="18" t="s">
        <v>34</v>
      </c>
    </row>
    <row r="17" spans="1:16" ht="13" x14ac:dyDescent="0.3">
      <c r="A17" s="43">
        <v>7</v>
      </c>
      <c r="B17" s="10">
        <v>1</v>
      </c>
      <c r="C17" s="3">
        <v>7</v>
      </c>
      <c r="D17" s="11" t="s">
        <v>35</v>
      </c>
      <c r="E17" s="5" t="s">
        <v>32</v>
      </c>
      <c r="F17" s="11" t="s">
        <v>20</v>
      </c>
      <c r="G17" s="11" t="s">
        <v>33</v>
      </c>
      <c r="H17" s="16">
        <v>1</v>
      </c>
      <c r="I17" s="16">
        <v>0</v>
      </c>
      <c r="J17" s="16">
        <v>0</v>
      </c>
      <c r="L17" s="18" t="s">
        <v>36</v>
      </c>
    </row>
    <row r="18" spans="1:16" ht="13" x14ac:dyDescent="0.3">
      <c r="A18" s="43">
        <v>8</v>
      </c>
      <c r="B18" s="10">
        <v>1</v>
      </c>
      <c r="C18" s="3">
        <v>8</v>
      </c>
      <c r="D18" s="11" t="s">
        <v>31</v>
      </c>
      <c r="E18" s="5" t="s">
        <v>37</v>
      </c>
      <c r="F18" s="11" t="s">
        <v>33</v>
      </c>
      <c r="G18" s="11" t="s">
        <v>38</v>
      </c>
      <c r="H18" s="16">
        <v>0.8</v>
      </c>
      <c r="I18" s="16">
        <v>0</v>
      </c>
      <c r="J18" s="9">
        <v>0.2</v>
      </c>
      <c r="L18" s="18" t="s">
        <v>39</v>
      </c>
    </row>
    <row r="19" spans="1:16" ht="25" x14ac:dyDescent="0.3">
      <c r="A19" s="43">
        <v>9</v>
      </c>
      <c r="B19" s="10">
        <v>1</v>
      </c>
      <c r="C19" s="3">
        <v>9</v>
      </c>
      <c r="D19" s="5" t="s">
        <v>40</v>
      </c>
      <c r="E19" s="5" t="s">
        <v>41</v>
      </c>
      <c r="F19" s="11" t="s">
        <v>20</v>
      </c>
      <c r="G19" s="11" t="s">
        <v>38</v>
      </c>
      <c r="H19" s="17">
        <v>0.47053344895140831</v>
      </c>
      <c r="I19" s="17">
        <v>0.52946655104859175</v>
      </c>
      <c r="J19" s="17">
        <v>0</v>
      </c>
      <c r="L19" s="18" t="s">
        <v>42</v>
      </c>
      <c r="M19" s="2"/>
      <c r="N19" s="2"/>
      <c r="O19" s="2"/>
    </row>
    <row r="20" spans="1:16" ht="25" x14ac:dyDescent="0.3">
      <c r="A20" s="43">
        <v>10</v>
      </c>
      <c r="B20" s="10">
        <v>1</v>
      </c>
      <c r="C20" s="3">
        <v>10</v>
      </c>
      <c r="D20" s="5" t="s">
        <v>43</v>
      </c>
      <c r="E20" s="5" t="s">
        <v>41</v>
      </c>
      <c r="F20" s="11" t="s">
        <v>20</v>
      </c>
      <c r="G20" s="11" t="s">
        <v>38</v>
      </c>
      <c r="H20" s="17">
        <v>0.4131762652705061</v>
      </c>
      <c r="I20" s="17">
        <v>0.58682373472949378</v>
      </c>
      <c r="J20" s="17">
        <v>0</v>
      </c>
      <c r="L20" s="18" t="s">
        <v>44</v>
      </c>
      <c r="M20" s="2"/>
      <c r="N20" s="2"/>
      <c r="O20" s="2"/>
    </row>
    <row r="21" spans="1:16" ht="25" x14ac:dyDescent="0.3">
      <c r="A21" s="43">
        <v>11</v>
      </c>
      <c r="B21" s="10">
        <v>1</v>
      </c>
      <c r="C21" s="3">
        <v>11</v>
      </c>
      <c r="D21" s="5" t="s">
        <v>45</v>
      </c>
      <c r="E21" s="5" t="s">
        <v>41</v>
      </c>
      <c r="F21" s="11" t="s">
        <v>20</v>
      </c>
      <c r="G21" s="11" t="s">
        <v>38</v>
      </c>
      <c r="H21" s="17">
        <v>0.5</v>
      </c>
      <c r="I21" s="17">
        <v>0.25</v>
      </c>
      <c r="J21" s="17">
        <v>0.25</v>
      </c>
      <c r="L21" s="18" t="s">
        <v>145</v>
      </c>
      <c r="M21" s="2"/>
      <c r="N21" s="2"/>
      <c r="O21" s="2"/>
    </row>
    <row r="22" spans="1:16" ht="13" x14ac:dyDescent="0.3">
      <c r="A22" s="43">
        <v>12</v>
      </c>
      <c r="B22" s="10">
        <v>1</v>
      </c>
      <c r="C22" s="3">
        <v>12</v>
      </c>
      <c r="D22" s="5" t="s">
        <v>46</v>
      </c>
      <c r="E22" s="5" t="s">
        <v>47</v>
      </c>
      <c r="F22" s="11" t="s">
        <v>33</v>
      </c>
      <c r="G22" s="11" t="s">
        <v>24</v>
      </c>
      <c r="H22" s="17">
        <v>0.22</v>
      </c>
      <c r="I22" s="17">
        <v>0.22</v>
      </c>
      <c r="J22" s="17">
        <v>0.56000000000000005</v>
      </c>
      <c r="L22" s="18" t="s">
        <v>48</v>
      </c>
      <c r="M22" s="2"/>
      <c r="N22" s="2"/>
      <c r="O22" s="2"/>
    </row>
    <row r="23" spans="1:16" x14ac:dyDescent="0.25">
      <c r="B23" s="37"/>
      <c r="C23" s="37"/>
      <c r="D23" s="12"/>
      <c r="E23" s="12"/>
      <c r="F23" s="12"/>
      <c r="G23" s="38"/>
      <c r="H23" s="38"/>
      <c r="I23" s="38"/>
      <c r="K23" s="18"/>
      <c r="M23" s="2"/>
      <c r="N23" s="2"/>
      <c r="O23" s="2"/>
    </row>
    <row r="25" spans="1:16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7" spans="1:16" ht="14.5" x14ac:dyDescent="0.35">
      <c r="C27" s="1" t="s">
        <v>49</v>
      </c>
      <c r="O27" s="14"/>
      <c r="P27" s="15"/>
    </row>
    <row r="28" spans="1:16" x14ac:dyDescent="0.25">
      <c r="B28" s="19"/>
      <c r="C28" s="19"/>
      <c r="D28" s="19"/>
      <c r="E28" s="19"/>
      <c r="F28" s="19"/>
      <c r="G28" s="19"/>
      <c r="H28" s="19"/>
      <c r="I28" s="19"/>
    </row>
    <row r="29" spans="1:16" ht="37.5" x14ac:dyDescent="0.3">
      <c r="A29" s="43" t="s">
        <v>6</v>
      </c>
      <c r="B29" s="3" t="s">
        <v>7</v>
      </c>
      <c r="C29" s="3" t="s">
        <v>50</v>
      </c>
      <c r="D29" s="3" t="s">
        <v>51</v>
      </c>
      <c r="E29" s="3" t="s">
        <v>52</v>
      </c>
      <c r="F29" s="3" t="s">
        <v>53</v>
      </c>
      <c r="G29" s="3" t="s">
        <v>54</v>
      </c>
      <c r="H29" s="3" t="s">
        <v>55</v>
      </c>
      <c r="I29" s="3" t="s">
        <v>56</v>
      </c>
    </row>
    <row r="30" spans="1:16" ht="13" x14ac:dyDescent="0.3">
      <c r="A30" s="43">
        <v>1</v>
      </c>
      <c r="B30" s="3">
        <v>2</v>
      </c>
      <c r="C30" s="3">
        <v>1</v>
      </c>
      <c r="D30" s="5" t="s">
        <v>17</v>
      </c>
      <c r="E30" s="8">
        <v>26941.676712328768</v>
      </c>
      <c r="F30" s="8"/>
      <c r="G30" s="8">
        <v>2993413.801322374</v>
      </c>
      <c r="H30" s="8">
        <v>245425.18589954337</v>
      </c>
      <c r="I30" s="6">
        <f>SUM(E30:H30)</f>
        <v>3265780.6639342462</v>
      </c>
      <c r="J30" s="1"/>
    </row>
    <row r="31" spans="1:16" ht="13" x14ac:dyDescent="0.3">
      <c r="A31" s="43">
        <v>2</v>
      </c>
      <c r="B31" s="3">
        <v>2</v>
      </c>
      <c r="C31" s="3">
        <v>2</v>
      </c>
      <c r="D31" s="5" t="s">
        <v>22</v>
      </c>
      <c r="E31" s="8"/>
      <c r="F31" s="8"/>
      <c r="G31" s="8"/>
      <c r="H31" s="6">
        <v>988022.31</v>
      </c>
      <c r="I31" s="6">
        <f>SUM(E31:H31)</f>
        <v>988022.31</v>
      </c>
      <c r="J31" s="1"/>
    </row>
    <row r="32" spans="1:16" ht="13" x14ac:dyDescent="0.3">
      <c r="A32" s="43">
        <v>3</v>
      </c>
      <c r="B32" s="3">
        <v>2</v>
      </c>
      <c r="C32" s="3">
        <v>3</v>
      </c>
      <c r="D32" s="5" t="s">
        <v>26</v>
      </c>
      <c r="E32" s="8">
        <v>38327.05339897739</v>
      </c>
      <c r="F32" s="8"/>
      <c r="G32" s="8">
        <v>105062.9257178308</v>
      </c>
      <c r="H32" s="8">
        <v>93731.290883191599</v>
      </c>
      <c r="I32" s="6">
        <f>SUM(E32:H32)</f>
        <v>237121.26999999979</v>
      </c>
      <c r="J32" s="1"/>
    </row>
    <row r="33" spans="1:16" ht="13" x14ac:dyDescent="0.3">
      <c r="A33" s="43">
        <v>4</v>
      </c>
      <c r="B33" s="3">
        <v>2</v>
      </c>
      <c r="C33" s="3">
        <v>4</v>
      </c>
      <c r="D33" s="5" t="s">
        <v>57</v>
      </c>
      <c r="E33" s="8">
        <v>67183.281301390409</v>
      </c>
      <c r="F33" s="8"/>
      <c r="G33" s="8">
        <v>879892.13938344654</v>
      </c>
      <c r="H33" s="8">
        <v>311054.00931516307</v>
      </c>
      <c r="I33" s="6">
        <f>SUM(E33:H33)</f>
        <v>1258129.43</v>
      </c>
      <c r="J33" s="1"/>
    </row>
    <row r="34" spans="1:16" ht="13" x14ac:dyDescent="0.3">
      <c r="A34" s="43">
        <v>5</v>
      </c>
      <c r="B34" s="3">
        <v>2</v>
      </c>
      <c r="C34" s="3">
        <v>5</v>
      </c>
      <c r="D34" s="5" t="s">
        <v>58</v>
      </c>
      <c r="E34" s="8">
        <v>61873.319792242371</v>
      </c>
      <c r="F34" s="8"/>
      <c r="G34" s="8">
        <v>16263.123559494401</v>
      </c>
      <c r="H34" s="8">
        <v>86294.306648263213</v>
      </c>
      <c r="I34" s="6">
        <f>SUM(E34:H34)</f>
        <v>164430.75</v>
      </c>
      <c r="J34" s="1"/>
    </row>
    <row r="35" spans="1:16" ht="13" x14ac:dyDescent="0.3">
      <c r="A35" s="43">
        <v>6</v>
      </c>
      <c r="B35" s="3">
        <v>2</v>
      </c>
      <c r="C35" s="3">
        <v>6</v>
      </c>
      <c r="D35" s="5" t="s">
        <v>59</v>
      </c>
      <c r="E35" s="8">
        <v>2542680.5402427563</v>
      </c>
      <c r="F35" s="8"/>
      <c r="G35" s="8">
        <v>1670654.6246601499</v>
      </c>
      <c r="H35" s="8">
        <v>1790466.8520316437</v>
      </c>
      <c r="I35" s="6">
        <f t="shared" ref="I35:I37" si="0">SUM(E35:H35)</f>
        <v>6003802.0169345494</v>
      </c>
    </row>
    <row r="36" spans="1:16" ht="13" x14ac:dyDescent="0.3">
      <c r="A36" s="43">
        <v>7</v>
      </c>
      <c r="B36" s="3">
        <v>2</v>
      </c>
      <c r="C36" s="3">
        <v>7</v>
      </c>
      <c r="D36" s="5" t="s">
        <v>60</v>
      </c>
      <c r="E36" s="8">
        <v>2463139.2198852194</v>
      </c>
      <c r="F36" s="8"/>
      <c r="G36" s="8">
        <v>1843516.7607898496</v>
      </c>
      <c r="H36" s="8">
        <v>1606097.9313179082</v>
      </c>
      <c r="I36" s="6">
        <f t="shared" si="0"/>
        <v>5912753.9119929764</v>
      </c>
    </row>
    <row r="37" spans="1:16" ht="13" x14ac:dyDescent="0.3">
      <c r="A37" s="43">
        <v>8</v>
      </c>
      <c r="B37" s="3">
        <v>2</v>
      </c>
      <c r="C37" s="3">
        <v>8</v>
      </c>
      <c r="D37" s="11" t="s">
        <v>35</v>
      </c>
      <c r="E37" s="8">
        <v>116727.02587202465</v>
      </c>
      <c r="F37" s="8"/>
      <c r="G37" s="8">
        <v>52170.476749999994</v>
      </c>
      <c r="H37" s="8">
        <v>12529.926650448051</v>
      </c>
      <c r="I37" s="6">
        <f t="shared" si="0"/>
        <v>181427.42927247271</v>
      </c>
    </row>
    <row r="38" spans="1:16" ht="13" x14ac:dyDescent="0.3">
      <c r="A38" s="43">
        <v>9</v>
      </c>
      <c r="B38" s="3">
        <v>2</v>
      </c>
      <c r="C38" s="3">
        <v>9</v>
      </c>
      <c r="D38" s="5" t="s">
        <v>61</v>
      </c>
      <c r="E38" s="8">
        <v>803158.64771579381</v>
      </c>
      <c r="F38" s="8"/>
      <c r="G38" s="8">
        <v>114491.01313561163</v>
      </c>
      <c r="H38" s="8">
        <v>3756783.7091485942</v>
      </c>
      <c r="I38" s="6">
        <f>SUM(E38:H38)</f>
        <v>4674433.3699999992</v>
      </c>
      <c r="J38" s="1"/>
    </row>
    <row r="39" spans="1:16" ht="13" x14ac:dyDescent="0.3">
      <c r="A39" s="43">
        <v>10</v>
      </c>
      <c r="B39" s="3">
        <v>2</v>
      </c>
      <c r="C39" s="3">
        <v>10</v>
      </c>
      <c r="D39" s="5" t="s">
        <v>45</v>
      </c>
      <c r="E39" s="8">
        <v>248549.07234446131</v>
      </c>
      <c r="F39" s="8"/>
      <c r="G39" s="8">
        <v>53721.64004192617</v>
      </c>
      <c r="H39" s="8">
        <v>152396.95761361264</v>
      </c>
      <c r="I39" s="6">
        <f>SUM(E39:H39)</f>
        <v>454667.6700000001</v>
      </c>
      <c r="J39" s="1"/>
    </row>
    <row r="40" spans="1:16" ht="13" x14ac:dyDescent="0.3">
      <c r="A40" s="43">
        <v>11</v>
      </c>
      <c r="B40" s="3">
        <v>2</v>
      </c>
      <c r="C40" s="3">
        <v>11</v>
      </c>
      <c r="D40" s="5" t="s">
        <v>62</v>
      </c>
      <c r="E40" s="8">
        <v>11468.416438356164</v>
      </c>
      <c r="F40" s="8"/>
      <c r="G40" s="8">
        <v>1274223.4424547944</v>
      </c>
      <c r="H40" s="8">
        <v>104471.53183561644</v>
      </c>
      <c r="I40" s="6">
        <f>SUM(E40:H40)</f>
        <v>1390163.390728767</v>
      </c>
      <c r="J40" s="1"/>
    </row>
    <row r="41" spans="1:16" ht="13" x14ac:dyDescent="0.3">
      <c r="A41" s="43">
        <v>12</v>
      </c>
      <c r="B41" s="3">
        <v>2</v>
      </c>
      <c r="C41" s="3">
        <v>12</v>
      </c>
      <c r="D41" s="5" t="s">
        <v>63</v>
      </c>
      <c r="E41" s="8">
        <f>SUM(E30:E40)</f>
        <v>6380048.2537035504</v>
      </c>
      <c r="F41" s="8">
        <f>SUM(F30:F40)</f>
        <v>0</v>
      </c>
      <c r="G41" s="8">
        <f>SUM(G30:G40)</f>
        <v>9003409.9478154778</v>
      </c>
      <c r="H41" s="8">
        <f>SUM(H30:H40)</f>
        <v>9147274.0113439858</v>
      </c>
      <c r="I41" s="8">
        <f>SUM(I30:I40)</f>
        <v>24530732.212863009</v>
      </c>
    </row>
    <row r="42" spans="1:16" x14ac:dyDescent="0.25">
      <c r="B42" s="39"/>
      <c r="C42" s="39"/>
      <c r="D42" s="40"/>
      <c r="E42" s="22"/>
      <c r="F42" s="22"/>
      <c r="G42" s="22"/>
      <c r="H42" s="22"/>
      <c r="I42" s="41"/>
    </row>
    <row r="44" spans="1:16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6" spans="1:16" x14ac:dyDescent="0.25">
      <c r="C46" s="1" t="s">
        <v>64</v>
      </c>
    </row>
    <row r="47" spans="1:16" x14ac:dyDescent="0.25">
      <c r="B47" s="19"/>
      <c r="C47" s="19"/>
      <c r="D47" s="19"/>
      <c r="E47" s="19"/>
      <c r="F47" s="19"/>
      <c r="G47" s="19"/>
      <c r="H47" s="19"/>
      <c r="I47" s="19"/>
    </row>
    <row r="48" spans="1:16" ht="37.5" x14ac:dyDescent="0.3">
      <c r="A48" s="43" t="s">
        <v>6</v>
      </c>
      <c r="B48" s="3" t="s">
        <v>7</v>
      </c>
      <c r="C48" s="3" t="s">
        <v>8</v>
      </c>
      <c r="D48" s="3" t="s">
        <v>65</v>
      </c>
      <c r="E48" s="3" t="s">
        <v>66</v>
      </c>
      <c r="F48" s="3" t="s">
        <v>67</v>
      </c>
      <c r="G48" s="3" t="s">
        <v>68</v>
      </c>
      <c r="H48" s="3" t="s">
        <v>69</v>
      </c>
      <c r="I48" s="3" t="s">
        <v>56</v>
      </c>
    </row>
    <row r="49" spans="1:16" ht="13" x14ac:dyDescent="0.3">
      <c r="A49" s="43">
        <v>1</v>
      </c>
      <c r="B49" s="3">
        <v>3</v>
      </c>
      <c r="C49" s="3">
        <v>1</v>
      </c>
      <c r="D49" s="5" t="s">
        <v>70</v>
      </c>
      <c r="E49" s="8">
        <f>I30</f>
        <v>3265780.6639342462</v>
      </c>
      <c r="F49" s="8"/>
      <c r="G49" s="8"/>
      <c r="H49" s="8">
        <f>I40</f>
        <v>1390163.390728767</v>
      </c>
      <c r="I49" s="8">
        <f t="shared" ref="I49:I54" si="1">SUM(E49:H49)</f>
        <v>4655944.0546630137</v>
      </c>
      <c r="K49" s="1"/>
      <c r="N49" s="1"/>
    </row>
    <row r="50" spans="1:16" ht="13" x14ac:dyDescent="0.3">
      <c r="A50" s="43">
        <v>2</v>
      </c>
      <c r="B50" s="3">
        <v>3</v>
      </c>
      <c r="C50" s="3">
        <v>2</v>
      </c>
      <c r="D50" s="5" t="s">
        <v>22</v>
      </c>
      <c r="E50" s="8">
        <f>I31*H12</f>
        <v>716800.49941176467</v>
      </c>
      <c r="F50" s="8"/>
      <c r="G50" s="8"/>
      <c r="H50" s="8">
        <f>I31*I12</f>
        <v>271221.81058823538</v>
      </c>
      <c r="I50" s="8">
        <f t="shared" si="1"/>
        <v>988022.31</v>
      </c>
    </row>
    <row r="51" spans="1:16" ht="13" x14ac:dyDescent="0.3">
      <c r="A51" s="43">
        <v>3</v>
      </c>
      <c r="B51" s="3">
        <v>3</v>
      </c>
      <c r="C51" s="3">
        <v>3</v>
      </c>
      <c r="D51" s="5" t="s">
        <v>26</v>
      </c>
      <c r="E51" s="8">
        <f>I32</f>
        <v>237121.26999999979</v>
      </c>
      <c r="F51" s="8"/>
      <c r="G51" s="8"/>
      <c r="H51" s="8"/>
      <c r="I51" s="8">
        <f t="shared" si="1"/>
        <v>237121.26999999979</v>
      </c>
    </row>
    <row r="52" spans="1:16" ht="13" x14ac:dyDescent="0.3">
      <c r="A52" s="43">
        <v>4</v>
      </c>
      <c r="B52" s="3">
        <v>3</v>
      </c>
      <c r="C52" s="3">
        <v>4</v>
      </c>
      <c r="D52" s="5" t="s">
        <v>57</v>
      </c>
      <c r="E52" s="8">
        <f>I33*H14</f>
        <v>875190.83999999985</v>
      </c>
      <c r="F52" s="8"/>
      <c r="G52" s="8"/>
      <c r="H52" s="8">
        <f>I33*I14</f>
        <v>382938.58999999997</v>
      </c>
      <c r="I52" s="8">
        <f t="shared" si="1"/>
        <v>1258129.4299999997</v>
      </c>
      <c r="K52" s="1"/>
      <c r="N52" s="1"/>
    </row>
    <row r="53" spans="1:16" ht="13" x14ac:dyDescent="0.3">
      <c r="A53" s="43">
        <v>5</v>
      </c>
      <c r="B53" s="3">
        <v>3</v>
      </c>
      <c r="C53" s="3">
        <v>5</v>
      </c>
      <c r="D53" s="5" t="s">
        <v>58</v>
      </c>
      <c r="E53" s="8">
        <f>I34</f>
        <v>164430.75</v>
      </c>
      <c r="F53" s="8"/>
      <c r="G53" s="8"/>
      <c r="H53" s="8"/>
      <c r="I53" s="8">
        <f t="shared" si="1"/>
        <v>164430.75</v>
      </c>
      <c r="K53" s="1"/>
      <c r="L53" s="1"/>
    </row>
    <row r="54" spans="1:16" ht="13" x14ac:dyDescent="0.3">
      <c r="A54" s="43">
        <v>6</v>
      </c>
      <c r="B54" s="4">
        <v>3</v>
      </c>
      <c r="C54" s="3">
        <v>6</v>
      </c>
      <c r="D54" s="5" t="s">
        <v>31</v>
      </c>
      <c r="F54" s="8">
        <f>I35</f>
        <v>6003802.0169345494</v>
      </c>
      <c r="G54" s="8">
        <f>I36</f>
        <v>5912753.9119929764</v>
      </c>
      <c r="H54" s="8"/>
      <c r="I54" s="8">
        <f t="shared" si="1"/>
        <v>11916555.928927526</v>
      </c>
      <c r="L54" s="1"/>
      <c r="M54" s="1"/>
    </row>
    <row r="55" spans="1:16" ht="13" x14ac:dyDescent="0.3">
      <c r="A55" s="43">
        <v>7</v>
      </c>
      <c r="B55" s="4">
        <v>3</v>
      </c>
      <c r="C55" s="3">
        <v>7</v>
      </c>
      <c r="D55" s="11" t="s">
        <v>35</v>
      </c>
      <c r="E55" s="8"/>
      <c r="F55" s="8">
        <f>I37*H17</f>
        <v>181427.42927247271</v>
      </c>
      <c r="G55" s="8"/>
      <c r="H55" s="8"/>
      <c r="I55" s="8">
        <f t="shared" ref="I55:I57" si="2">SUM(E55:H55)</f>
        <v>181427.42927247271</v>
      </c>
      <c r="L55" s="1"/>
    </row>
    <row r="56" spans="1:16" ht="13" x14ac:dyDescent="0.3">
      <c r="A56" s="43">
        <v>8</v>
      </c>
      <c r="B56" s="4">
        <v>3</v>
      </c>
      <c r="C56" s="3">
        <v>8</v>
      </c>
      <c r="D56" s="5" t="s">
        <v>61</v>
      </c>
      <c r="E56" s="8"/>
      <c r="F56" s="8">
        <f>I19*(E38+G38)+I20*(H38)</f>
        <v>2690434.6477754018</v>
      </c>
      <c r="G56" s="8">
        <f>H19*(E38+G38)+H20*(H38)</f>
        <v>1983998.7222245974</v>
      </c>
      <c r="H56" s="8"/>
      <c r="I56" s="8">
        <f t="shared" si="2"/>
        <v>4674433.3699999992</v>
      </c>
      <c r="L56" s="1"/>
      <c r="M56" s="1"/>
    </row>
    <row r="57" spans="1:16" ht="13" x14ac:dyDescent="0.3">
      <c r="A57" s="43">
        <v>9</v>
      </c>
      <c r="B57" s="4">
        <v>3</v>
      </c>
      <c r="C57" s="3">
        <v>9</v>
      </c>
      <c r="D57" s="5" t="s">
        <v>45</v>
      </c>
      <c r="E57" s="8"/>
      <c r="F57" s="8">
        <f>I39/2</f>
        <v>227333.83500000005</v>
      </c>
      <c r="G57" s="8">
        <f>I39/2</f>
        <v>227333.83500000005</v>
      </c>
      <c r="H57" s="8"/>
      <c r="I57" s="8">
        <f t="shared" si="2"/>
        <v>454667.6700000001</v>
      </c>
      <c r="L57" s="1"/>
      <c r="M57" s="1"/>
    </row>
    <row r="58" spans="1:16" ht="13" x14ac:dyDescent="0.3">
      <c r="A58" s="43">
        <v>10</v>
      </c>
      <c r="B58" s="4">
        <v>3</v>
      </c>
      <c r="C58" s="3">
        <v>10</v>
      </c>
      <c r="D58" s="5" t="s">
        <v>63</v>
      </c>
      <c r="E58" s="8">
        <f>SUM(E49:E57)</f>
        <v>5259324.0233460106</v>
      </c>
      <c r="F58" s="8">
        <f>SUM(F49:F57)</f>
        <v>9102997.9289824255</v>
      </c>
      <c r="G58" s="8">
        <f>SUM(G49:G57)</f>
        <v>8124086.4692175733</v>
      </c>
      <c r="H58" s="8">
        <f>SUM(H49:H57)</f>
        <v>2044323.7913170024</v>
      </c>
      <c r="I58" s="8">
        <f>SUM(I49:I57)</f>
        <v>24530732.212863013</v>
      </c>
    </row>
    <row r="60" spans="1:16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2" spans="1:16" x14ac:dyDescent="0.25">
      <c r="C62" s="1" t="s">
        <v>71</v>
      </c>
    </row>
    <row r="63" spans="1:16" x14ac:dyDescent="0.25">
      <c r="B63" s="19"/>
      <c r="C63" s="19"/>
      <c r="D63" s="19"/>
      <c r="E63" s="19"/>
      <c r="F63" s="19"/>
      <c r="G63" s="19"/>
      <c r="H63" s="19"/>
      <c r="I63" s="19"/>
      <c r="J63" s="19"/>
    </row>
    <row r="64" spans="1:16" ht="37.5" x14ac:dyDescent="0.3">
      <c r="A64" s="43" t="s">
        <v>6</v>
      </c>
      <c r="B64" s="3" t="s">
        <v>7</v>
      </c>
      <c r="C64" s="3" t="s">
        <v>8</v>
      </c>
      <c r="D64" s="3" t="s">
        <v>9</v>
      </c>
      <c r="E64" s="3" t="s">
        <v>72</v>
      </c>
      <c r="F64" s="3" t="s">
        <v>11</v>
      </c>
      <c r="G64" s="3" t="s">
        <v>12</v>
      </c>
      <c r="H64" s="84" t="s">
        <v>149</v>
      </c>
      <c r="I64" s="84" t="s">
        <v>150</v>
      </c>
      <c r="J64" s="84" t="s">
        <v>151</v>
      </c>
    </row>
    <row r="65" spans="1:12" ht="13" x14ac:dyDescent="0.3">
      <c r="A65" s="43">
        <v>1</v>
      </c>
      <c r="B65" s="10">
        <v>10</v>
      </c>
      <c r="C65" s="10">
        <v>1</v>
      </c>
      <c r="D65" s="11" t="s">
        <v>73</v>
      </c>
      <c r="E65" s="3" t="s">
        <v>18</v>
      </c>
      <c r="F65" s="11" t="s">
        <v>19</v>
      </c>
      <c r="G65" s="11" t="s">
        <v>20</v>
      </c>
      <c r="H65" s="8">
        <f>($E$52+$E$50)*0.1535717</f>
        <v>244484.81637874167</v>
      </c>
      <c r="I65" s="8">
        <v>0</v>
      </c>
      <c r="J65" s="8">
        <v>0</v>
      </c>
      <c r="L65" s="18" t="s">
        <v>74</v>
      </c>
    </row>
    <row r="66" spans="1:12" ht="13" x14ac:dyDescent="0.3">
      <c r="A66" s="43">
        <v>2</v>
      </c>
      <c r="B66" s="10">
        <v>10</v>
      </c>
      <c r="C66" s="10">
        <v>2</v>
      </c>
      <c r="D66" s="11" t="s">
        <v>75</v>
      </c>
      <c r="E66" s="3" t="s">
        <v>18</v>
      </c>
      <c r="F66" s="11" t="s">
        <v>19</v>
      </c>
      <c r="G66" s="11" t="s">
        <v>20</v>
      </c>
      <c r="H66" s="8">
        <f>I51</f>
        <v>237121.26999999979</v>
      </c>
      <c r="I66" s="8">
        <f>E53*I15</f>
        <v>164430.75</v>
      </c>
      <c r="J66" s="8">
        <v>0</v>
      </c>
      <c r="L66" s="18"/>
    </row>
    <row r="67" spans="1:12" ht="13" x14ac:dyDescent="0.3">
      <c r="A67" s="43">
        <v>3</v>
      </c>
      <c r="B67" s="10">
        <v>10</v>
      </c>
      <c r="C67" s="10">
        <v>3</v>
      </c>
      <c r="D67" s="11" t="s">
        <v>76</v>
      </c>
      <c r="E67" s="3" t="s">
        <v>18</v>
      </c>
      <c r="F67" s="11" t="s">
        <v>19</v>
      </c>
      <c r="G67" s="11" t="s">
        <v>20</v>
      </c>
      <c r="H67" s="8">
        <f>E49*H11</f>
        <v>2612624.5311473971</v>
      </c>
      <c r="I67" s="8">
        <f>E49*I11</f>
        <v>0</v>
      </c>
      <c r="J67" s="8">
        <f>E49*J11</f>
        <v>653156.13278684928</v>
      </c>
      <c r="L67" s="18"/>
    </row>
    <row r="68" spans="1:12" ht="13" x14ac:dyDescent="0.3">
      <c r="A68" s="43">
        <v>4</v>
      </c>
      <c r="B68" s="10">
        <v>10</v>
      </c>
      <c r="C68" s="10">
        <v>4</v>
      </c>
      <c r="D68" s="11" t="s">
        <v>73</v>
      </c>
      <c r="E68" s="3" t="s">
        <v>32</v>
      </c>
      <c r="F68" s="11" t="s">
        <v>20</v>
      </c>
      <c r="G68" s="11" t="s">
        <v>33</v>
      </c>
      <c r="H68" s="8">
        <f>($E$52+$E$50)*0.8167046</f>
        <v>1300186.6500577494</v>
      </c>
      <c r="I68" s="8">
        <v>0</v>
      </c>
      <c r="J68" s="8">
        <v>0</v>
      </c>
      <c r="L68" s="18" t="s">
        <v>74</v>
      </c>
    </row>
    <row r="69" spans="1:12" ht="13" x14ac:dyDescent="0.3">
      <c r="A69" s="43">
        <v>5</v>
      </c>
      <c r="B69" s="10">
        <v>10</v>
      </c>
      <c r="C69" s="10">
        <v>5</v>
      </c>
      <c r="D69" s="11" t="s">
        <v>77</v>
      </c>
      <c r="E69" s="3" t="s">
        <v>32</v>
      </c>
      <c r="F69" s="11" t="s">
        <v>20</v>
      </c>
      <c r="G69" s="11" t="s">
        <v>33</v>
      </c>
      <c r="H69" s="8">
        <v>0</v>
      </c>
      <c r="I69" s="8">
        <f>F56</f>
        <v>2690434.6477754018</v>
      </c>
      <c r="J69" s="8">
        <v>0</v>
      </c>
    </row>
    <row r="70" spans="1:12" ht="13" x14ac:dyDescent="0.3">
      <c r="A70" s="43">
        <v>6</v>
      </c>
      <c r="B70" s="10">
        <v>10</v>
      </c>
      <c r="C70" s="10">
        <v>6</v>
      </c>
      <c r="D70" s="11" t="s">
        <v>75</v>
      </c>
      <c r="E70" s="3" t="s">
        <v>32</v>
      </c>
      <c r="F70" s="11" t="s">
        <v>78</v>
      </c>
      <c r="G70" s="11" t="s">
        <v>33</v>
      </c>
      <c r="H70" s="8">
        <f>I57*H21/2</f>
        <v>113666.91750000003</v>
      </c>
      <c r="I70" s="8">
        <f>I57*I21</f>
        <v>113666.91750000003</v>
      </c>
      <c r="J70" s="8">
        <v>0</v>
      </c>
    </row>
    <row r="71" spans="1:12" ht="13" x14ac:dyDescent="0.3">
      <c r="A71" s="43">
        <v>7</v>
      </c>
      <c r="B71" s="10">
        <v>10</v>
      </c>
      <c r="C71" s="10">
        <v>7</v>
      </c>
      <c r="D71" s="11" t="s">
        <v>79</v>
      </c>
      <c r="E71" s="3" t="s">
        <v>32</v>
      </c>
      <c r="F71" s="11" t="s">
        <v>20</v>
      </c>
      <c r="G71" s="11" t="s">
        <v>33</v>
      </c>
      <c r="H71" s="8">
        <f>F54*H16</f>
        <v>3001901.0084672747</v>
      </c>
      <c r="I71" s="8">
        <f>F54*I16</f>
        <v>3001901.0084672747</v>
      </c>
      <c r="J71" s="8">
        <v>0</v>
      </c>
    </row>
    <row r="72" spans="1:12" ht="13" x14ac:dyDescent="0.3">
      <c r="A72" s="43">
        <v>8</v>
      </c>
      <c r="B72" s="10">
        <v>10</v>
      </c>
      <c r="C72" s="10">
        <v>8</v>
      </c>
      <c r="D72" s="11" t="s">
        <v>80</v>
      </c>
      <c r="E72" s="3" t="s">
        <v>32</v>
      </c>
      <c r="F72" s="11" t="s">
        <v>20</v>
      </c>
      <c r="G72" s="11" t="s">
        <v>33</v>
      </c>
      <c r="H72" s="8">
        <f>F55</f>
        <v>181427.42927247271</v>
      </c>
      <c r="I72" s="8">
        <f>F56*I18</f>
        <v>0</v>
      </c>
      <c r="J72" s="8">
        <v>0</v>
      </c>
    </row>
    <row r="73" spans="1:12" ht="13" x14ac:dyDescent="0.3">
      <c r="A73" s="43">
        <v>9</v>
      </c>
      <c r="B73" s="10">
        <v>10</v>
      </c>
      <c r="C73" s="10">
        <v>9</v>
      </c>
      <c r="D73" s="11" t="s">
        <v>77</v>
      </c>
      <c r="E73" s="3" t="s">
        <v>37</v>
      </c>
      <c r="F73" s="11" t="s">
        <v>33</v>
      </c>
      <c r="G73" s="11" t="s">
        <v>38</v>
      </c>
      <c r="H73" s="8">
        <f>G56</f>
        <v>1983998.7222245974</v>
      </c>
      <c r="I73" s="8">
        <v>0</v>
      </c>
      <c r="J73" s="8">
        <v>0</v>
      </c>
    </row>
    <row r="74" spans="1:12" ht="13" x14ac:dyDescent="0.3">
      <c r="A74" s="43">
        <v>10</v>
      </c>
      <c r="B74" s="10">
        <v>10</v>
      </c>
      <c r="C74" s="10">
        <v>10</v>
      </c>
      <c r="D74" s="11" t="s">
        <v>75</v>
      </c>
      <c r="E74" s="3" t="s">
        <v>37</v>
      </c>
      <c r="F74" s="11" t="s">
        <v>33</v>
      </c>
      <c r="G74" s="11" t="s">
        <v>38</v>
      </c>
      <c r="H74" s="8">
        <f>I57*H21/2</f>
        <v>113666.91750000003</v>
      </c>
      <c r="I74" s="8">
        <v>0</v>
      </c>
      <c r="J74" s="8">
        <f>I57*J21</f>
        <v>113666.91750000003</v>
      </c>
    </row>
    <row r="75" spans="1:12" ht="13" x14ac:dyDescent="0.3">
      <c r="A75" s="43">
        <v>11</v>
      </c>
      <c r="B75" s="10">
        <v>10</v>
      </c>
      <c r="C75" s="10">
        <v>11</v>
      </c>
      <c r="D75" s="11" t="s">
        <v>79</v>
      </c>
      <c r="E75" s="3" t="s">
        <v>37</v>
      </c>
      <c r="F75" s="11" t="s">
        <v>33</v>
      </c>
      <c r="G75" s="11" t="s">
        <v>38</v>
      </c>
      <c r="H75" s="8">
        <f>G54*H18</f>
        <v>4730203.129594381</v>
      </c>
      <c r="I75" s="8">
        <v>0</v>
      </c>
      <c r="J75" s="8">
        <f>G54*J18</f>
        <v>1182550.7823985952</v>
      </c>
    </row>
    <row r="76" spans="1:12" ht="13" x14ac:dyDescent="0.3">
      <c r="A76" s="43">
        <v>12</v>
      </c>
      <c r="B76" s="10">
        <v>10</v>
      </c>
      <c r="C76" s="10">
        <v>12</v>
      </c>
      <c r="D76" s="11" t="s">
        <v>73</v>
      </c>
      <c r="E76" s="3" t="s">
        <v>47</v>
      </c>
      <c r="F76" s="11" t="s">
        <v>33</v>
      </c>
      <c r="G76" s="11" t="s">
        <v>24</v>
      </c>
      <c r="H76" s="8">
        <f>($E$52+$E$50)*0.02972357</f>
        <v>47319.666016399337</v>
      </c>
      <c r="I76" s="8">
        <v>0</v>
      </c>
      <c r="J76" s="8">
        <v>0</v>
      </c>
      <c r="L76" s="18" t="s">
        <v>74</v>
      </c>
    </row>
    <row r="77" spans="1:12" ht="13" x14ac:dyDescent="0.3">
      <c r="A77" s="43">
        <v>13</v>
      </c>
      <c r="B77" s="10">
        <v>10</v>
      </c>
      <c r="C77" s="10">
        <v>13</v>
      </c>
      <c r="D77" s="11" t="s">
        <v>77</v>
      </c>
      <c r="E77" s="3" t="s">
        <v>47</v>
      </c>
      <c r="F77" s="11" t="s">
        <v>33</v>
      </c>
      <c r="G77" s="11" t="s">
        <v>24</v>
      </c>
      <c r="H77" s="8">
        <v>0</v>
      </c>
      <c r="I77" s="8">
        <f>H52+H50</f>
        <v>654160.40058823535</v>
      </c>
      <c r="J77" s="8">
        <v>0</v>
      </c>
      <c r="L77" s="18"/>
    </row>
    <row r="78" spans="1:12" ht="13" x14ac:dyDescent="0.3">
      <c r="A78" s="43">
        <v>14</v>
      </c>
      <c r="B78" s="10">
        <v>10</v>
      </c>
      <c r="C78" s="10">
        <v>14</v>
      </c>
      <c r="D78" s="11" t="s">
        <v>76</v>
      </c>
      <c r="E78" s="3" t="s">
        <v>47</v>
      </c>
      <c r="F78" s="11" t="s">
        <v>33</v>
      </c>
      <c r="G78" s="11" t="s">
        <v>24</v>
      </c>
      <c r="H78" s="8">
        <f>H49*H22</f>
        <v>305835.94596032874</v>
      </c>
      <c r="I78" s="8">
        <f>H49*I22</f>
        <v>305835.94596032874</v>
      </c>
      <c r="J78" s="8">
        <f>H49*J22</f>
        <v>778491.49880810967</v>
      </c>
      <c r="L78" s="18"/>
    </row>
    <row r="79" spans="1:12" ht="13" x14ac:dyDescent="0.3">
      <c r="A79" s="43">
        <v>15</v>
      </c>
      <c r="B79" s="23">
        <v>10</v>
      </c>
      <c r="C79" s="10">
        <v>15</v>
      </c>
      <c r="D79" s="24" t="s">
        <v>81</v>
      </c>
      <c r="E79" s="10"/>
      <c r="F79" s="24"/>
      <c r="G79" s="24"/>
      <c r="H79" s="25">
        <f>SUM(H68:H75)-H68</f>
        <v>10124864.124558726</v>
      </c>
      <c r="I79" s="25">
        <f>SUM(I68:I75)+I66</f>
        <v>5970433.3237426765</v>
      </c>
      <c r="J79" s="25">
        <f t="shared" ref="J79" si="3">SUM(J68:J75)</f>
        <v>1296217.6998985952</v>
      </c>
      <c r="K79" s="21"/>
      <c r="L79" s="21"/>
    </row>
    <row r="80" spans="1:12" ht="13" x14ac:dyDescent="0.3">
      <c r="A80" s="43">
        <v>16</v>
      </c>
      <c r="B80" s="23">
        <v>10</v>
      </c>
      <c r="C80" s="10">
        <v>16</v>
      </c>
      <c r="D80" s="24" t="s">
        <v>82</v>
      </c>
      <c r="E80" s="10"/>
      <c r="F80" s="24"/>
      <c r="G80" s="24"/>
      <c r="H80" s="25">
        <f>SUM(H65:H67, H76:H78)+H68</f>
        <v>4747572.8795606159</v>
      </c>
      <c r="I80" s="25">
        <f>SUM(I65:I67, I76:I78)-I66</f>
        <v>959996.34654856403</v>
      </c>
      <c r="J80" s="25">
        <f t="shared" ref="J80" si="4">SUM(J65:J67, J76:J78)</f>
        <v>1431647.6315949589</v>
      </c>
      <c r="K80" s="21"/>
      <c r="L80" s="21"/>
    </row>
    <row r="81" spans="1:16" ht="13" x14ac:dyDescent="0.3">
      <c r="A81" s="43">
        <v>17</v>
      </c>
      <c r="B81" s="23">
        <v>10</v>
      </c>
      <c r="C81" s="10">
        <v>17</v>
      </c>
      <c r="D81" s="24" t="s">
        <v>83</v>
      </c>
      <c r="E81" s="10"/>
      <c r="F81" s="24"/>
      <c r="G81" s="24"/>
      <c r="H81" s="45">
        <f>1104848.51045553</f>
        <v>1104848.5104555299</v>
      </c>
      <c r="I81" s="25">
        <f>619664.35</f>
        <v>619664.35</v>
      </c>
      <c r="J81" s="25">
        <f>143335.93</f>
        <v>143335.93</v>
      </c>
    </row>
    <row r="82" spans="1:16" ht="13" x14ac:dyDescent="0.3">
      <c r="A82" s="43">
        <v>18</v>
      </c>
      <c r="B82" s="23">
        <v>10</v>
      </c>
      <c r="C82" s="10">
        <v>18</v>
      </c>
      <c r="D82" s="24" t="s">
        <v>84</v>
      </c>
      <c r="E82" s="10"/>
      <c r="F82" s="24"/>
      <c r="G82" s="24"/>
      <c r="H82" s="25">
        <f>605417.093826117</f>
        <v>605417.09382611699</v>
      </c>
      <c r="I82" s="25">
        <f>63937.9994243653+42429.595772</f>
        <v>106367.59519636529</v>
      </c>
      <c r="J82" s="25">
        <f>158626.557580721</f>
        <v>158626.55758072101</v>
      </c>
    </row>
    <row r="83" spans="1:16" x14ac:dyDescent="0.25">
      <c r="G83" s="26"/>
      <c r="H83" s="26"/>
      <c r="I83" s="26"/>
    </row>
    <row r="84" spans="1:16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x14ac:dyDescent="0.25">
      <c r="G85" s="26"/>
      <c r="H85" s="26"/>
      <c r="I85" s="26"/>
    </row>
    <row r="86" spans="1:16" x14ac:dyDescent="0.25">
      <c r="C86" s="1" t="s">
        <v>85</v>
      </c>
    </row>
    <row r="87" spans="1:16" x14ac:dyDescent="0.25">
      <c r="B87" s="19"/>
      <c r="C87" s="19"/>
      <c r="D87" s="19"/>
      <c r="E87" s="19"/>
      <c r="F87" s="19"/>
    </row>
    <row r="88" spans="1:16" ht="37.5" x14ac:dyDescent="0.3">
      <c r="A88" s="43" t="s">
        <v>6</v>
      </c>
      <c r="B88" s="3" t="s">
        <v>7</v>
      </c>
      <c r="C88" s="3" t="s">
        <v>8</v>
      </c>
      <c r="D88" s="3" t="s">
        <v>86</v>
      </c>
      <c r="E88" s="3" t="s">
        <v>87</v>
      </c>
      <c r="F88" s="3" t="s">
        <v>88</v>
      </c>
      <c r="G88" s="28"/>
      <c r="H88" s="29"/>
      <c r="I88" s="29"/>
    </row>
    <row r="89" spans="1:16" ht="13" x14ac:dyDescent="0.3">
      <c r="A89" s="43">
        <v>1</v>
      </c>
      <c r="B89" s="10" t="s">
        <v>89</v>
      </c>
      <c r="C89" s="10">
        <v>1</v>
      </c>
      <c r="D89" s="11" t="s">
        <v>90</v>
      </c>
      <c r="E89" s="10"/>
      <c r="F89" s="27">
        <f>I79+I81</f>
        <v>6590097.6737426762</v>
      </c>
      <c r="G89" s="30"/>
      <c r="H89" s="22"/>
      <c r="I89" s="22"/>
    </row>
    <row r="90" spans="1:16" ht="13" x14ac:dyDescent="0.3">
      <c r="A90" s="43">
        <v>2</v>
      </c>
      <c r="B90" s="10" t="s">
        <v>89</v>
      </c>
      <c r="C90" s="10">
        <v>2</v>
      </c>
      <c r="D90" s="11" t="s">
        <v>91</v>
      </c>
      <c r="E90" s="33">
        <v>3.1600000000000003E-2</v>
      </c>
      <c r="F90" s="8">
        <f>E90*$F$89/2</f>
        <v>104123.54324513429</v>
      </c>
      <c r="G90" s="30"/>
      <c r="H90" s="22"/>
      <c r="I90" s="22"/>
    </row>
    <row r="91" spans="1:16" ht="13" x14ac:dyDescent="0.3">
      <c r="A91" s="43">
        <v>3</v>
      </c>
      <c r="B91" s="10" t="s">
        <v>89</v>
      </c>
      <c r="C91" s="10">
        <v>3</v>
      </c>
      <c r="D91" s="11" t="s">
        <v>92</v>
      </c>
      <c r="E91" s="33">
        <v>3.1600000000000003E-2</v>
      </c>
      <c r="F91" s="8">
        <f t="shared" ref="F91:F96" si="5">E91*$F$89</f>
        <v>208247.08649026859</v>
      </c>
      <c r="G91" s="30"/>
      <c r="H91" s="22"/>
      <c r="I91" s="22"/>
    </row>
    <row r="92" spans="1:16" ht="13" x14ac:dyDescent="0.3">
      <c r="A92" s="43">
        <v>4</v>
      </c>
      <c r="B92" s="10" t="s">
        <v>89</v>
      </c>
      <c r="C92" s="10">
        <v>4</v>
      </c>
      <c r="D92" s="11" t="s">
        <v>93</v>
      </c>
      <c r="E92" s="33">
        <v>3.1600000000000003E-2</v>
      </c>
      <c r="F92" s="8">
        <f t="shared" si="5"/>
        <v>208247.08649026859</v>
      </c>
      <c r="G92" s="30"/>
      <c r="H92" s="22"/>
      <c r="I92" s="22"/>
    </row>
    <row r="93" spans="1:16" ht="13" x14ac:dyDescent="0.3">
      <c r="A93" s="43">
        <v>5</v>
      </c>
      <c r="B93" s="10" t="s">
        <v>89</v>
      </c>
      <c r="C93" s="10">
        <v>5</v>
      </c>
      <c r="D93" s="11" t="s">
        <v>94</v>
      </c>
      <c r="E93" s="33">
        <v>3.1600000000000003E-2</v>
      </c>
      <c r="F93" s="8">
        <f t="shared" si="5"/>
        <v>208247.08649026859</v>
      </c>
      <c r="G93" s="30"/>
      <c r="H93" s="22"/>
      <c r="I93" s="22"/>
    </row>
    <row r="94" spans="1:16" ht="13" x14ac:dyDescent="0.3">
      <c r="A94" s="43">
        <v>6</v>
      </c>
      <c r="B94" s="10" t="s">
        <v>89</v>
      </c>
      <c r="C94" s="10">
        <v>6</v>
      </c>
      <c r="D94" s="11" t="s">
        <v>95</v>
      </c>
      <c r="E94" s="33">
        <v>3.1600000000000003E-2</v>
      </c>
      <c r="F94" s="8">
        <f t="shared" si="5"/>
        <v>208247.08649026859</v>
      </c>
      <c r="G94" s="30"/>
      <c r="H94" s="22"/>
      <c r="I94" s="22"/>
    </row>
    <row r="95" spans="1:16" ht="13" x14ac:dyDescent="0.3">
      <c r="A95" s="43">
        <v>7</v>
      </c>
      <c r="B95" s="10" t="s">
        <v>89</v>
      </c>
      <c r="C95" s="10">
        <v>7</v>
      </c>
      <c r="D95" s="11" t="s">
        <v>96</v>
      </c>
      <c r="E95" s="33">
        <v>3.1600000000000003E-2</v>
      </c>
      <c r="F95" s="8">
        <f t="shared" si="5"/>
        <v>208247.08649026859</v>
      </c>
      <c r="G95" s="30"/>
      <c r="H95" s="22"/>
      <c r="I95" s="22"/>
    </row>
    <row r="96" spans="1:16" ht="13" x14ac:dyDescent="0.3">
      <c r="A96" s="43">
        <v>8</v>
      </c>
      <c r="B96" s="10" t="s">
        <v>89</v>
      </c>
      <c r="C96" s="10">
        <v>8</v>
      </c>
      <c r="D96" s="11" t="s">
        <v>97</v>
      </c>
      <c r="E96" s="33">
        <v>3.1600000000000003E-2</v>
      </c>
      <c r="F96" s="8">
        <f t="shared" si="5"/>
        <v>208247.08649026859</v>
      </c>
      <c r="G96" s="30"/>
      <c r="H96" s="22"/>
      <c r="I96" s="22"/>
    </row>
    <row r="97" spans="1:9" ht="13" x14ac:dyDescent="0.3">
      <c r="A97" s="43">
        <v>9</v>
      </c>
      <c r="B97" s="10" t="s">
        <v>89</v>
      </c>
      <c r="C97" s="10">
        <v>9</v>
      </c>
      <c r="D97" s="24" t="s">
        <v>98</v>
      </c>
      <c r="E97" s="24"/>
      <c r="F97" s="25">
        <f>SUM(F90:F96)</f>
        <v>1353606.0621867457</v>
      </c>
      <c r="G97" s="31"/>
      <c r="H97" s="32"/>
      <c r="I97" s="32"/>
    </row>
    <row r="98" spans="1:9" ht="13" x14ac:dyDescent="0.3">
      <c r="A98" s="43">
        <v>10</v>
      </c>
      <c r="B98" s="10" t="s">
        <v>89</v>
      </c>
      <c r="C98" s="10">
        <v>10</v>
      </c>
      <c r="D98" s="11" t="s">
        <v>99</v>
      </c>
      <c r="E98" s="10"/>
      <c r="F98" s="27">
        <f>F89-F97</f>
        <v>5236491.6115559302</v>
      </c>
      <c r="G98" s="28"/>
      <c r="H98" s="29"/>
      <c r="I98" s="29"/>
    </row>
    <row r="101" spans="1:9" x14ac:dyDescent="0.25">
      <c r="C101" s="1" t="s">
        <v>100</v>
      </c>
    </row>
    <row r="102" spans="1:9" x14ac:dyDescent="0.25">
      <c r="B102" s="19"/>
      <c r="C102" s="19"/>
      <c r="D102" s="19"/>
      <c r="E102" s="19"/>
      <c r="F102" s="19"/>
    </row>
    <row r="103" spans="1:9" ht="37.5" x14ac:dyDescent="0.3">
      <c r="A103" s="43" t="s">
        <v>6</v>
      </c>
      <c r="B103" s="3" t="s">
        <v>7</v>
      </c>
      <c r="C103" s="3" t="s">
        <v>8</v>
      </c>
      <c r="D103" s="3" t="s">
        <v>86</v>
      </c>
      <c r="E103" s="3" t="s">
        <v>87</v>
      </c>
      <c r="F103" s="3" t="s">
        <v>88</v>
      </c>
    </row>
    <row r="104" spans="1:9" ht="13" x14ac:dyDescent="0.3">
      <c r="A104" s="43">
        <v>1</v>
      </c>
      <c r="B104" s="10" t="s">
        <v>101</v>
      </c>
      <c r="C104" s="10">
        <v>1</v>
      </c>
      <c r="D104" s="11" t="s">
        <v>90</v>
      </c>
      <c r="E104" s="10"/>
      <c r="F104" s="27">
        <f>I80+I82</f>
        <v>1066363.9417449294</v>
      </c>
    </row>
    <row r="105" spans="1:9" ht="13" x14ac:dyDescent="0.3">
      <c r="A105" s="43">
        <v>2</v>
      </c>
      <c r="B105" s="10" t="s">
        <v>101</v>
      </c>
      <c r="C105" s="10">
        <v>2</v>
      </c>
      <c r="D105" s="11" t="s">
        <v>92</v>
      </c>
      <c r="E105" s="33">
        <v>3.1600000000000003E-2</v>
      </c>
      <c r="F105" s="8">
        <f>E105*$F$104/2</f>
        <v>16848.550279569885</v>
      </c>
    </row>
    <row r="106" spans="1:9" ht="13" x14ac:dyDescent="0.3">
      <c r="A106" s="43">
        <v>3</v>
      </c>
      <c r="B106" s="10" t="s">
        <v>101</v>
      </c>
      <c r="C106" s="10">
        <v>3</v>
      </c>
      <c r="D106" s="11" t="s">
        <v>93</v>
      </c>
      <c r="E106" s="33">
        <v>3.1600000000000003E-2</v>
      </c>
      <c r="F106" s="8">
        <f>E106*$F$104</f>
        <v>33697.10055913977</v>
      </c>
    </row>
    <row r="107" spans="1:9" ht="13" x14ac:dyDescent="0.3">
      <c r="A107" s="43">
        <v>4</v>
      </c>
      <c r="B107" s="10" t="s">
        <v>101</v>
      </c>
      <c r="C107" s="10">
        <v>4</v>
      </c>
      <c r="D107" s="11" t="s">
        <v>94</v>
      </c>
      <c r="E107" s="33">
        <v>3.1600000000000003E-2</v>
      </c>
      <c r="F107" s="8">
        <f t="shared" ref="F107:F110" si="6">E107*$F$104</f>
        <v>33697.10055913977</v>
      </c>
    </row>
    <row r="108" spans="1:9" ht="13" x14ac:dyDescent="0.3">
      <c r="A108" s="43">
        <v>5</v>
      </c>
      <c r="B108" s="10" t="s">
        <v>101</v>
      </c>
      <c r="C108" s="10">
        <v>5</v>
      </c>
      <c r="D108" s="11" t="s">
        <v>95</v>
      </c>
      <c r="E108" s="33">
        <v>3.1600000000000003E-2</v>
      </c>
      <c r="F108" s="8">
        <f t="shared" si="6"/>
        <v>33697.10055913977</v>
      </c>
    </row>
    <row r="109" spans="1:9" ht="13" x14ac:dyDescent="0.3">
      <c r="A109" s="43">
        <v>6</v>
      </c>
      <c r="B109" s="10" t="s">
        <v>101</v>
      </c>
      <c r="C109" s="10">
        <v>6</v>
      </c>
      <c r="D109" s="11" t="s">
        <v>96</v>
      </c>
      <c r="E109" s="33">
        <v>3.1600000000000003E-2</v>
      </c>
      <c r="F109" s="8">
        <f t="shared" si="6"/>
        <v>33697.10055913977</v>
      </c>
    </row>
    <row r="110" spans="1:9" ht="13" x14ac:dyDescent="0.3">
      <c r="A110" s="43">
        <v>7</v>
      </c>
      <c r="B110" s="10" t="s">
        <v>101</v>
      </c>
      <c r="C110" s="10">
        <v>7</v>
      </c>
      <c r="D110" s="11" t="s">
        <v>97</v>
      </c>
      <c r="E110" s="33">
        <v>3.1600000000000003E-2</v>
      </c>
      <c r="F110" s="8">
        <f t="shared" si="6"/>
        <v>33697.10055913977</v>
      </c>
    </row>
    <row r="111" spans="1:9" ht="13" x14ac:dyDescent="0.3">
      <c r="A111" s="43">
        <v>8</v>
      </c>
      <c r="B111" s="10" t="s">
        <v>101</v>
      </c>
      <c r="C111" s="10">
        <v>8</v>
      </c>
      <c r="D111" s="24" t="s">
        <v>98</v>
      </c>
      <c r="E111" s="24"/>
      <c r="F111" s="25">
        <f>SUM(F105:F110)</f>
        <v>185334.05307526872</v>
      </c>
    </row>
    <row r="112" spans="1:9" ht="13" x14ac:dyDescent="0.3">
      <c r="A112" s="43">
        <v>9</v>
      </c>
      <c r="B112" s="10" t="s">
        <v>101</v>
      </c>
      <c r="C112" s="10">
        <v>9</v>
      </c>
      <c r="D112" s="11" t="s">
        <v>99</v>
      </c>
      <c r="E112" s="10"/>
      <c r="F112" s="27">
        <f>F104-F111</f>
        <v>881029.88866966066</v>
      </c>
    </row>
    <row r="115" spans="1:16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7" spans="1:16" x14ac:dyDescent="0.25">
      <c r="C117" s="1" t="s">
        <v>102</v>
      </c>
    </row>
    <row r="118" spans="1:16" x14ac:dyDescent="0.25">
      <c r="B118" s="19"/>
      <c r="C118" s="19"/>
      <c r="D118" s="19"/>
      <c r="E118" s="19"/>
      <c r="F118" s="19"/>
    </row>
    <row r="119" spans="1:16" ht="37.5" x14ac:dyDescent="0.3">
      <c r="A119" s="43" t="s">
        <v>6</v>
      </c>
      <c r="B119" s="3" t="s">
        <v>7</v>
      </c>
      <c r="C119" s="3" t="s">
        <v>8</v>
      </c>
      <c r="D119" s="83" t="s">
        <v>147</v>
      </c>
      <c r="E119" s="83" t="s">
        <v>148</v>
      </c>
      <c r="F119" s="20"/>
      <c r="G119" s="21"/>
    </row>
    <row r="120" spans="1:16" ht="13" x14ac:dyDescent="0.3">
      <c r="A120" s="43">
        <v>1</v>
      </c>
      <c r="B120" s="10">
        <v>6</v>
      </c>
      <c r="C120" s="10">
        <v>1</v>
      </c>
      <c r="D120" s="82" t="s">
        <v>146</v>
      </c>
      <c r="E120" s="27">
        <f>(I79-F97)+(I80-F111)</f>
        <v>5391489.5550292255</v>
      </c>
      <c r="F120" s="35"/>
      <c r="G120" s="21"/>
    </row>
    <row r="121" spans="1:16" ht="13" x14ac:dyDescent="0.3">
      <c r="A121" s="43">
        <v>2</v>
      </c>
      <c r="B121" s="10">
        <v>6</v>
      </c>
      <c r="C121" s="10">
        <v>2</v>
      </c>
      <c r="D121" s="82" t="s">
        <v>143</v>
      </c>
      <c r="E121" s="34">
        <f>J79+J80</f>
        <v>2727865.3314935542</v>
      </c>
      <c r="F121" s="30"/>
    </row>
    <row r="122" spans="1:16" ht="13" x14ac:dyDescent="0.3">
      <c r="A122" s="43">
        <v>3</v>
      </c>
      <c r="B122" s="23">
        <v>6</v>
      </c>
      <c r="C122" s="23">
        <v>3</v>
      </c>
      <c r="D122" s="24" t="s">
        <v>103</v>
      </c>
      <c r="E122" s="36">
        <f>E120+E121</f>
        <v>8119354.8865227792</v>
      </c>
      <c r="G122" s="21"/>
    </row>
    <row r="125" spans="1:16" x14ac:dyDescent="0.25">
      <c r="B125" s="7"/>
      <c r="C125" s="7"/>
      <c r="D125" s="63" t="s">
        <v>118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7" spans="1:16" x14ac:dyDescent="0.25">
      <c r="C127" s="1" t="s">
        <v>119</v>
      </c>
      <c r="H127" s="21"/>
    </row>
    <row r="128" spans="1:16" x14ac:dyDescent="0.25">
      <c r="B128" s="89" t="s">
        <v>126</v>
      </c>
      <c r="C128" s="90" t="s">
        <v>127</v>
      </c>
      <c r="D128" s="90" t="s">
        <v>128</v>
      </c>
      <c r="E128" s="90" t="s">
        <v>129</v>
      </c>
      <c r="F128" s="90" t="s">
        <v>130</v>
      </c>
      <c r="G128" s="90" t="s">
        <v>131</v>
      </c>
      <c r="H128" s="91" t="s">
        <v>154</v>
      </c>
      <c r="I128" s="91" t="s">
        <v>155</v>
      </c>
      <c r="J128" s="91" t="s">
        <v>156</v>
      </c>
      <c r="K128" s="91" t="s">
        <v>157</v>
      </c>
      <c r="L128" s="91" t="s">
        <v>158</v>
      </c>
      <c r="M128" s="91" t="s">
        <v>159</v>
      </c>
    </row>
    <row r="129" spans="1:16" ht="37.5" x14ac:dyDescent="0.3">
      <c r="A129" s="43" t="s">
        <v>6</v>
      </c>
      <c r="B129" s="88" t="s">
        <v>7</v>
      </c>
      <c r="C129" s="88" t="s">
        <v>8</v>
      </c>
      <c r="D129" s="88" t="s">
        <v>104</v>
      </c>
      <c r="E129" s="88" t="s">
        <v>113</v>
      </c>
      <c r="F129" s="88" t="s">
        <v>114</v>
      </c>
      <c r="G129" s="88" t="s">
        <v>116</v>
      </c>
      <c r="H129" s="3" t="s">
        <v>117</v>
      </c>
      <c r="I129" s="3" t="s">
        <v>115</v>
      </c>
      <c r="J129" s="3" t="s">
        <v>105</v>
      </c>
      <c r="K129" s="3" t="s">
        <v>112</v>
      </c>
      <c r="L129" s="3" t="s">
        <v>106</v>
      </c>
      <c r="M129" s="85" t="s">
        <v>107</v>
      </c>
      <c r="N129" s="86"/>
    </row>
    <row r="130" spans="1:16" ht="13" x14ac:dyDescent="0.3">
      <c r="A130" s="43">
        <v>1</v>
      </c>
      <c r="B130" s="10">
        <v>7</v>
      </c>
      <c r="C130" s="10">
        <v>1</v>
      </c>
      <c r="D130" s="11" t="s">
        <v>108</v>
      </c>
      <c r="E130" s="27">
        <v>93008.830000000045</v>
      </c>
      <c r="F130" s="27">
        <v>451829.0400000001</v>
      </c>
      <c r="G130" s="27">
        <f>H75+H74+H73</f>
        <v>6827868.7693189792</v>
      </c>
      <c r="H130" s="27">
        <f>H81-H135</f>
        <v>739541.42509496585</v>
      </c>
      <c r="I130" s="27">
        <f>SUM(E130:H130)</f>
        <v>8112248.0644139452</v>
      </c>
      <c r="J130" s="27">
        <v>-4730203.1295943838</v>
      </c>
      <c r="K130" s="27"/>
      <c r="L130" s="27">
        <f>I130+J130</f>
        <v>3382044.9348195614</v>
      </c>
      <c r="M130" s="67"/>
      <c r="N130" s="87"/>
    </row>
    <row r="131" spans="1:16" ht="13" x14ac:dyDescent="0.3">
      <c r="A131" s="43">
        <v>2</v>
      </c>
      <c r="B131" s="10">
        <v>7</v>
      </c>
      <c r="C131" s="10">
        <v>2</v>
      </c>
      <c r="D131" s="11" t="s">
        <v>109</v>
      </c>
      <c r="E131" s="27"/>
      <c r="F131" s="27"/>
      <c r="G131" s="27">
        <f>J79</f>
        <v>1296217.6998985952</v>
      </c>
      <c r="H131" s="27">
        <f>J81</f>
        <v>143335.93</v>
      </c>
      <c r="I131" s="27">
        <f t="shared" ref="I131:I132" si="7">SUM(E131:H131)</f>
        <v>1439553.6298985952</v>
      </c>
      <c r="J131" s="27">
        <v>-1182550.7823985959</v>
      </c>
      <c r="K131" s="27"/>
      <c r="L131" s="27"/>
      <c r="M131" s="67">
        <f>J131</f>
        <v>-1182550.7823985959</v>
      </c>
      <c r="N131" s="87"/>
    </row>
    <row r="132" spans="1:16" ht="13" x14ac:dyDescent="0.3">
      <c r="A132" s="43">
        <v>3</v>
      </c>
      <c r="B132" s="10">
        <v>7</v>
      </c>
      <c r="C132" s="10">
        <v>3</v>
      </c>
      <c r="D132" s="11" t="s">
        <v>110</v>
      </c>
      <c r="E132" s="27"/>
      <c r="F132" s="27"/>
      <c r="G132" s="27">
        <f>I79</f>
        <v>5970433.3237426765</v>
      </c>
      <c r="H132" s="27">
        <f>I81</f>
        <v>619664.35</v>
      </c>
      <c r="I132" s="27">
        <f t="shared" si="7"/>
        <v>6590097.6737426762</v>
      </c>
      <c r="J132" s="27">
        <v>-3001901.0084672752</v>
      </c>
      <c r="K132" s="27">
        <f>F97-K136</f>
        <v>787798.72918674559</v>
      </c>
      <c r="L132" s="27"/>
      <c r="M132" s="67">
        <f>J132+K132</f>
        <v>-2214102.2792805294</v>
      </c>
      <c r="N132" s="87"/>
    </row>
    <row r="133" spans="1:16" ht="13" x14ac:dyDescent="0.3">
      <c r="A133" s="43">
        <v>4</v>
      </c>
      <c r="B133" s="10">
        <v>7</v>
      </c>
      <c r="C133" s="10">
        <v>4</v>
      </c>
      <c r="D133" s="11" t="s">
        <v>106</v>
      </c>
      <c r="E133" s="27"/>
      <c r="F133" s="27"/>
      <c r="G133" s="27"/>
      <c r="H133" s="27"/>
      <c r="I133" s="27">
        <f>-5757471.4+806000</f>
        <v>-4951471.4000000004</v>
      </c>
      <c r="J133" s="27"/>
      <c r="K133" s="27"/>
      <c r="L133" s="27">
        <f>L130</f>
        <v>3382044.9348195614</v>
      </c>
      <c r="M133" s="67">
        <f>I133+L133</f>
        <v>-1569426.4651804389</v>
      </c>
      <c r="N133" s="87"/>
    </row>
    <row r="134" spans="1:16" ht="13" x14ac:dyDescent="0.3">
      <c r="A134" s="43">
        <v>5</v>
      </c>
      <c r="B134" s="23">
        <v>7</v>
      </c>
      <c r="C134" s="10">
        <v>5</v>
      </c>
      <c r="D134" s="11" t="s">
        <v>111</v>
      </c>
      <c r="E134" s="27"/>
      <c r="F134" s="27"/>
      <c r="G134" s="27"/>
      <c r="H134" s="27"/>
      <c r="I134" s="27"/>
      <c r="J134" s="27"/>
      <c r="K134" s="27"/>
      <c r="L134" s="27"/>
      <c r="M134" s="67">
        <f>SUM(M130:M133)</f>
        <v>-4966079.5268595647</v>
      </c>
      <c r="N134" s="35"/>
    </row>
    <row r="135" spans="1:16" ht="13" x14ac:dyDescent="0.3">
      <c r="A135" s="43">
        <v>6</v>
      </c>
      <c r="B135" s="23">
        <v>7</v>
      </c>
      <c r="C135" s="10">
        <v>6</v>
      </c>
      <c r="D135" s="11" t="s">
        <v>120</v>
      </c>
      <c r="E135" s="27"/>
      <c r="F135" s="27"/>
      <c r="G135" s="27"/>
      <c r="H135" s="27">
        <f>0.1108*(H71+H72+H70)</f>
        <v>365307.085360564</v>
      </c>
      <c r="I135" s="27"/>
      <c r="J135" s="27"/>
      <c r="K135" s="27"/>
      <c r="L135" s="27"/>
      <c r="M135" s="67"/>
      <c r="N135" s="35"/>
    </row>
    <row r="136" spans="1:16" ht="13" x14ac:dyDescent="0.3">
      <c r="A136" s="43">
        <v>7</v>
      </c>
      <c r="B136" s="23">
        <v>7</v>
      </c>
      <c r="C136" s="10">
        <v>7</v>
      </c>
      <c r="D136" s="11" t="s">
        <v>121</v>
      </c>
      <c r="E136" s="27"/>
      <c r="F136" s="27"/>
      <c r="G136" s="27"/>
      <c r="H136" s="27"/>
      <c r="I136" s="27"/>
      <c r="J136" s="27"/>
      <c r="K136" s="27">
        <f>207101.727+358705.606</f>
        <v>565807.3330000001</v>
      </c>
      <c r="L136" s="27"/>
      <c r="M136" s="67"/>
      <c r="N136" s="35"/>
    </row>
    <row r="138" spans="1:16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40" spans="1:16" x14ac:dyDescent="0.25">
      <c r="C140" s="1" t="s">
        <v>152</v>
      </c>
    </row>
    <row r="142" spans="1:16" x14ac:dyDescent="0.25">
      <c r="C142" s="10"/>
      <c r="D142" s="10" t="s">
        <v>126</v>
      </c>
      <c r="E142" s="70" t="s">
        <v>127</v>
      </c>
      <c r="F142" s="70" t="s">
        <v>128</v>
      </c>
      <c r="G142" s="70" t="s">
        <v>129</v>
      </c>
      <c r="H142" s="70" t="s">
        <v>130</v>
      </c>
      <c r="I142" s="70" t="s">
        <v>131</v>
      </c>
      <c r="J142" s="65"/>
      <c r="K142" s="65"/>
    </row>
    <row r="143" spans="1:16" ht="77.400000000000006" customHeight="1" x14ac:dyDescent="0.3">
      <c r="A143" s="43" t="s">
        <v>6</v>
      </c>
      <c r="B143" s="3" t="s">
        <v>7</v>
      </c>
      <c r="C143" s="10"/>
      <c r="D143" s="24" t="s">
        <v>125</v>
      </c>
      <c r="E143" s="66" t="s">
        <v>134</v>
      </c>
      <c r="F143" s="66" t="s">
        <v>135</v>
      </c>
      <c r="G143" s="79" t="s">
        <v>124</v>
      </c>
      <c r="H143" s="79" t="s">
        <v>123</v>
      </c>
      <c r="I143" s="79" t="s">
        <v>122</v>
      </c>
      <c r="J143" s="69"/>
      <c r="K143" s="69"/>
    </row>
    <row r="144" spans="1:16" ht="13" x14ac:dyDescent="0.3">
      <c r="A144" s="43">
        <v>1</v>
      </c>
      <c r="B144" s="10">
        <v>8</v>
      </c>
      <c r="C144" s="10">
        <v>1</v>
      </c>
      <c r="D144" s="11"/>
      <c r="E144" s="27"/>
      <c r="F144" s="27"/>
      <c r="G144" s="27"/>
      <c r="H144" s="27"/>
      <c r="I144" s="27"/>
      <c r="J144" s="65"/>
      <c r="K144" s="65"/>
    </row>
    <row r="145" spans="1:56" ht="13" x14ac:dyDescent="0.3">
      <c r="A145" s="43">
        <v>2</v>
      </c>
      <c r="B145" s="10">
        <v>8</v>
      </c>
      <c r="C145" s="10">
        <v>2</v>
      </c>
      <c r="D145" s="11" t="s">
        <v>132</v>
      </c>
      <c r="E145" s="27">
        <v>2214102</v>
      </c>
      <c r="F145" s="27">
        <v>1182551</v>
      </c>
      <c r="G145" s="27">
        <v>2968532</v>
      </c>
      <c r="H145" s="27">
        <v>113667</v>
      </c>
      <c r="I145" s="27">
        <v>6478852</v>
      </c>
      <c r="J145" s="65"/>
      <c r="K145" s="65">
        <f>I145-5913045</f>
        <v>565807</v>
      </c>
      <c r="L145" s="21">
        <f>I145-K145</f>
        <v>5913045</v>
      </c>
    </row>
    <row r="146" spans="1:56" ht="13" x14ac:dyDescent="0.3">
      <c r="A146" s="43">
        <v>3</v>
      </c>
      <c r="B146" s="10">
        <v>8</v>
      </c>
      <c r="C146" s="10">
        <v>3</v>
      </c>
      <c r="D146" s="11" t="s">
        <v>133</v>
      </c>
      <c r="E146" s="27">
        <v>391724</v>
      </c>
      <c r="F146" s="27">
        <v>1431648</v>
      </c>
      <c r="G146" s="27">
        <v>382939</v>
      </c>
      <c r="H146" s="27">
        <v>0</v>
      </c>
      <c r="I146" s="27">
        <v>2206310</v>
      </c>
      <c r="J146" s="65"/>
      <c r="K146" s="65"/>
    </row>
    <row r="147" spans="1:56" ht="13" x14ac:dyDescent="0.3">
      <c r="A147" s="43">
        <v>4</v>
      </c>
      <c r="B147" s="10">
        <v>8</v>
      </c>
      <c r="C147" s="10">
        <v>4</v>
      </c>
      <c r="D147" s="11"/>
      <c r="E147" s="27"/>
      <c r="F147" s="27"/>
      <c r="G147" s="27"/>
      <c r="H147" s="27"/>
      <c r="I147" s="27"/>
      <c r="J147" s="65"/>
      <c r="K147" s="65"/>
    </row>
    <row r="148" spans="1:56" ht="13" x14ac:dyDescent="0.3">
      <c r="A148" s="43">
        <v>5</v>
      </c>
      <c r="B148" s="23">
        <v>8</v>
      </c>
      <c r="C148" s="10">
        <v>5</v>
      </c>
      <c r="D148" s="11" t="s">
        <v>136</v>
      </c>
      <c r="E148" s="27">
        <f>SUM(E144:E147)</f>
        <v>2605826</v>
      </c>
      <c r="F148" s="27">
        <f t="shared" ref="F148:I148" si="8">SUM(F144:F147)</f>
        <v>2614199</v>
      </c>
      <c r="G148" s="27">
        <f t="shared" si="8"/>
        <v>3351471</v>
      </c>
      <c r="H148" s="27">
        <f t="shared" si="8"/>
        <v>113667</v>
      </c>
      <c r="I148" s="27">
        <f t="shared" si="8"/>
        <v>8685162</v>
      </c>
      <c r="J148" s="65"/>
      <c r="K148" s="65"/>
      <c r="L148" s="21">
        <f>L145+I146</f>
        <v>8119355</v>
      </c>
    </row>
    <row r="149" spans="1:56" ht="13" x14ac:dyDescent="0.3">
      <c r="A149" s="43"/>
      <c r="B149" s="64"/>
    </row>
    <row r="150" spans="1:56" ht="13" x14ac:dyDescent="0.3">
      <c r="A150" s="43"/>
      <c r="B150" s="64"/>
    </row>
    <row r="152" spans="1:56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4" spans="1:56" x14ac:dyDescent="0.25">
      <c r="C154" s="1" t="s">
        <v>153</v>
      </c>
    </row>
    <row r="156" spans="1:56" ht="14.5" x14ac:dyDescent="0.25">
      <c r="C156" s="10"/>
      <c r="D156" s="10" t="s">
        <v>126</v>
      </c>
      <c r="E156" s="70" t="s">
        <v>127</v>
      </c>
      <c r="F156" s="70" t="s">
        <v>128</v>
      </c>
      <c r="G156" s="70" t="s">
        <v>129</v>
      </c>
      <c r="H156" s="70" t="s">
        <v>130</v>
      </c>
      <c r="I156" s="71" t="s">
        <v>131</v>
      </c>
      <c r="J156" s="75"/>
      <c r="K156" s="46"/>
      <c r="L156" s="46"/>
      <c r="M156" s="46"/>
      <c r="N156" s="46"/>
      <c r="O156" s="46"/>
      <c r="P156" s="46"/>
      <c r="Q156" s="46"/>
      <c r="R156" s="46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</row>
    <row r="157" spans="1:56" ht="75" x14ac:dyDescent="0.3">
      <c r="A157" s="43" t="s">
        <v>6</v>
      </c>
      <c r="B157" s="3" t="s">
        <v>7</v>
      </c>
      <c r="C157" s="10"/>
      <c r="D157" s="11" t="s">
        <v>137</v>
      </c>
      <c r="E157" s="66" t="s">
        <v>134</v>
      </c>
      <c r="F157" s="66" t="s">
        <v>135</v>
      </c>
      <c r="G157" s="66" t="s">
        <v>138</v>
      </c>
      <c r="H157" s="66" t="s">
        <v>139</v>
      </c>
      <c r="I157" s="68" t="s">
        <v>140</v>
      </c>
      <c r="J157" s="76"/>
      <c r="K157" s="72"/>
      <c r="L157" s="48"/>
      <c r="M157" s="48"/>
      <c r="N157" s="48"/>
      <c r="O157" s="48"/>
      <c r="P157" s="48"/>
      <c r="Q157" s="48"/>
      <c r="R157" s="48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50"/>
      <c r="AQ157" s="50"/>
      <c r="AR157" s="51"/>
      <c r="AS157" s="51"/>
      <c r="AT157" s="51"/>
      <c r="AU157" s="51"/>
      <c r="AV157" s="51"/>
      <c r="AW157" s="49"/>
      <c r="AX157" s="49"/>
      <c r="AY157" s="49"/>
      <c r="AZ157" s="49"/>
      <c r="BA157" s="51"/>
      <c r="BB157" s="51"/>
      <c r="BC157" s="51"/>
      <c r="BD157" s="51"/>
    </row>
    <row r="158" spans="1:56" ht="14.5" x14ac:dyDescent="0.3">
      <c r="A158" s="43">
        <v>1</v>
      </c>
      <c r="B158" s="10">
        <v>9</v>
      </c>
      <c r="C158" s="10">
        <v>1</v>
      </c>
      <c r="D158" s="11" t="s">
        <v>141</v>
      </c>
      <c r="E158" s="27"/>
      <c r="F158" s="27"/>
      <c r="G158" s="27"/>
      <c r="H158" s="27"/>
      <c r="I158" s="67"/>
      <c r="J158" s="77"/>
      <c r="K158" s="46"/>
      <c r="L158" s="52"/>
      <c r="M158" s="52"/>
      <c r="N158" s="52"/>
      <c r="O158" s="52"/>
      <c r="P158" s="52"/>
      <c r="Q158" s="52"/>
      <c r="R158" s="52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4"/>
      <c r="AX158" s="54"/>
      <c r="AY158" s="54"/>
      <c r="AZ158" s="54"/>
      <c r="BA158" s="55"/>
      <c r="BB158" s="55"/>
      <c r="BC158" s="55"/>
      <c r="BD158" s="55"/>
    </row>
    <row r="159" spans="1:56" ht="14.5" x14ac:dyDescent="0.3">
      <c r="A159" s="43">
        <v>2</v>
      </c>
      <c r="B159" s="10">
        <v>9</v>
      </c>
      <c r="C159" s="10">
        <v>2</v>
      </c>
      <c r="D159" s="11" t="s">
        <v>132</v>
      </c>
      <c r="E159" s="27">
        <f>I71-K132</f>
        <v>2214102.2792805294</v>
      </c>
      <c r="F159" s="27">
        <f>J75</f>
        <v>1182550.7823985952</v>
      </c>
      <c r="G159" s="27">
        <f>I69+I66+I70</f>
        <v>2968532.3152754018</v>
      </c>
      <c r="H159" s="27">
        <f>J74</f>
        <v>113666.91750000003</v>
      </c>
      <c r="I159" s="67">
        <f>SUM(E159:H159)</f>
        <v>6478852.2944545271</v>
      </c>
      <c r="J159" s="77"/>
      <c r="K159" s="73"/>
      <c r="L159" s="52"/>
      <c r="M159" s="52"/>
      <c r="N159" s="52"/>
      <c r="O159" s="52"/>
      <c r="P159" s="52"/>
      <c r="Q159" s="52"/>
      <c r="R159" s="52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4"/>
      <c r="AX159" s="54"/>
      <c r="AY159" s="54"/>
      <c r="AZ159" s="54"/>
      <c r="BA159" s="56"/>
      <c r="BB159" s="56"/>
      <c r="BC159" s="56"/>
      <c r="BD159" s="56"/>
    </row>
    <row r="160" spans="1:56" ht="14.5" x14ac:dyDescent="0.3">
      <c r="A160" s="43">
        <v>3</v>
      </c>
      <c r="B160" s="10">
        <v>9</v>
      </c>
      <c r="C160" s="10">
        <v>3</v>
      </c>
      <c r="D160" s="11" t="s">
        <v>133</v>
      </c>
      <c r="E160" s="27">
        <f>I78</f>
        <v>305835.94596032874</v>
      </c>
      <c r="F160" s="27">
        <f>J78+J67</f>
        <v>1431647.6315949589</v>
      </c>
      <c r="G160" s="27">
        <f>I77-207101.727-F111</f>
        <v>261724.62051296662</v>
      </c>
      <c r="H160" s="27">
        <v>0</v>
      </c>
      <c r="I160" s="67">
        <f>SUM(E160:H160)</f>
        <v>1999208.1980682542</v>
      </c>
      <c r="J160" s="77"/>
      <c r="K160" s="46"/>
      <c r="L160" s="52"/>
      <c r="M160" s="52"/>
      <c r="N160" s="52"/>
      <c r="O160" s="52"/>
      <c r="P160" s="52"/>
      <c r="Q160" s="52"/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7"/>
      <c r="AQ160" s="57"/>
      <c r="AR160" s="53"/>
      <c r="AS160" s="53"/>
      <c r="AT160" s="53"/>
      <c r="AU160" s="53"/>
      <c r="AV160" s="53"/>
      <c r="AW160" s="58"/>
      <c r="AX160" s="58"/>
      <c r="AY160" s="58"/>
      <c r="AZ160" s="58"/>
      <c r="BA160" s="55"/>
      <c r="BB160" s="55"/>
      <c r="BC160" s="55"/>
      <c r="BD160" s="55"/>
    </row>
    <row r="161" spans="1:56" ht="14.5" x14ac:dyDescent="0.3">
      <c r="A161" s="43">
        <v>4</v>
      </c>
      <c r="B161" s="10">
        <v>9</v>
      </c>
      <c r="C161" s="10">
        <v>4</v>
      </c>
      <c r="D161" s="11" t="s">
        <v>142</v>
      </c>
      <c r="E161" s="27"/>
      <c r="F161" s="27"/>
      <c r="G161" s="27"/>
      <c r="H161" s="27"/>
      <c r="I161" s="67"/>
      <c r="J161" s="75"/>
      <c r="K161" s="73"/>
      <c r="L161" s="52"/>
      <c r="M161" s="52"/>
      <c r="N161" s="52"/>
      <c r="O161" s="52"/>
      <c r="P161" s="52"/>
      <c r="Q161" s="52"/>
      <c r="R161" s="52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3"/>
      <c r="AS161" s="53"/>
      <c r="AT161" s="53"/>
      <c r="AU161" s="53"/>
      <c r="AV161" s="53"/>
      <c r="AW161" s="59"/>
      <c r="AX161" s="59"/>
      <c r="AY161" s="59"/>
      <c r="AZ161" s="59"/>
      <c r="BA161" s="56"/>
      <c r="BB161" s="56"/>
      <c r="BC161" s="56"/>
      <c r="BD161" s="56"/>
    </row>
    <row r="162" spans="1:56" ht="14.4" customHeight="1" x14ac:dyDescent="0.3">
      <c r="A162" s="43">
        <v>5</v>
      </c>
      <c r="B162" s="23">
        <v>9</v>
      </c>
      <c r="C162" s="10">
        <v>5</v>
      </c>
      <c r="D162" s="11" t="s">
        <v>136</v>
      </c>
      <c r="E162" s="27">
        <f>SUM(E158:E161)</f>
        <v>2519938.2252408583</v>
      </c>
      <c r="F162" s="27">
        <f t="shared" ref="F162:I162" si="9">SUM(F158:F161)</f>
        <v>2614198.4139935542</v>
      </c>
      <c r="G162" s="27">
        <f t="shared" si="9"/>
        <v>3230256.9357883683</v>
      </c>
      <c r="H162" s="27">
        <f t="shared" si="9"/>
        <v>113666.91750000003</v>
      </c>
      <c r="I162" s="67">
        <f t="shared" si="9"/>
        <v>8478060.4925227817</v>
      </c>
      <c r="J162" s="78"/>
      <c r="K162" s="74"/>
      <c r="L162" s="60"/>
      <c r="M162" s="60"/>
      <c r="N162" s="60"/>
      <c r="O162" s="60"/>
      <c r="P162" s="60"/>
      <c r="Q162" s="60"/>
      <c r="R162" s="60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2"/>
      <c r="AX162" s="62"/>
      <c r="AY162" s="62"/>
      <c r="AZ162" s="62"/>
      <c r="BA162" s="62"/>
      <c r="BB162" s="62"/>
      <c r="BC162" s="62"/>
      <c r="BD162" s="62"/>
    </row>
    <row r="163" spans="1:56" ht="31.25" customHeight="1" x14ac:dyDescent="0.3">
      <c r="A163" s="43">
        <v>6</v>
      </c>
      <c r="B163" s="23">
        <v>9</v>
      </c>
      <c r="C163" s="10">
        <v>6</v>
      </c>
      <c r="D163" s="5" t="s">
        <v>144</v>
      </c>
      <c r="E163" s="27"/>
      <c r="F163" s="27"/>
      <c r="G163" s="27">
        <f>358705.606</f>
        <v>358705.60600000003</v>
      </c>
      <c r="H163" s="27"/>
      <c r="I163" s="27">
        <f>I162-G163</f>
        <v>8119354.886522782</v>
      </c>
    </row>
    <row r="164" spans="1:56" ht="13" x14ac:dyDescent="0.3">
      <c r="C164" s="80"/>
      <c r="D164" s="80"/>
      <c r="E164" s="81"/>
      <c r="F164" s="81"/>
      <c r="G164" s="80"/>
      <c r="H164" s="80"/>
      <c r="I164" s="80"/>
    </row>
    <row r="165" spans="1:56" ht="13" x14ac:dyDescent="0.3">
      <c r="C165" s="80"/>
      <c r="D165" s="80"/>
      <c r="E165" s="81"/>
      <c r="F165" s="81"/>
      <c r="G165" s="80"/>
      <c r="H165" s="80"/>
      <c r="I165" s="80"/>
    </row>
    <row r="166" spans="1:56" ht="13" x14ac:dyDescent="0.3">
      <c r="C166" s="80"/>
      <c r="D166" s="80"/>
      <c r="E166" s="81"/>
      <c r="F166" s="81"/>
      <c r="G166" s="80"/>
      <c r="H166" s="80"/>
      <c r="I166" s="80"/>
    </row>
    <row r="167" spans="1:56" ht="13" x14ac:dyDescent="0.3">
      <c r="C167" s="80"/>
      <c r="D167" s="80"/>
      <c r="E167" s="80"/>
      <c r="F167" s="80"/>
      <c r="G167" s="80"/>
      <c r="H167" s="80"/>
      <c r="I167" s="80"/>
    </row>
  </sheetData>
  <phoneticPr fontId="9" type="noConversion"/>
  <pageMargins left="0.7" right="0.7" top="0.75" bottom="0.75" header="0.3" footer="0.3"/>
  <pageSetup orientation="portrait" r:id="rId1"/>
  <headerFooter>
    <oddHeader>&amp;R&amp;"Times New Roman,Regular"The Narragansett Electric Company
d/b/a Rhode Island Energy
Docket No. 25-45-GE
Attachment DIV 17-1-2
Page &amp;P of &amp;N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_ip_UnifiedCompliancePolicyProperties xmlns="http://schemas.microsoft.com/sharepoint/v3" xsi:nil="true"/>
    <lcf76f155ced4ddcb4097134ff3c332f xmlns="12207773-f8de-4d1c-9b23-15a1acc5427a">
      <Terms xmlns="http://schemas.microsoft.com/office/infopath/2007/PartnerControls"/>
    </lcf76f155ced4ddcb4097134ff3c332f>
    <TaxCatchAll xmlns="06a704af-1093-41df-910a-e362277c20fd" xsi:nil="true"/>
    <e81e820a66454e4dae05b8cd72e410dc xmlns="06a704af-1093-41df-910a-e362277c20fd">
      <Terms xmlns="http://schemas.microsoft.com/office/infopath/2007/PartnerControls"/>
    </e81e820a66454e4dae05b8cd72e410d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5fb71415-aff0-46ac-ad8a-1a0b343c080f" ContentTypeId="0x0101" PreviousValue="false"/>
</file>

<file path=customXml/itemProps1.xml><?xml version="1.0" encoding="utf-8"?>
<ds:datastoreItem xmlns:ds="http://schemas.openxmlformats.org/officeDocument/2006/customXml" ds:itemID="{428FE3EF-7E17-4B52-AEA0-F2B005E5F8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a704af-1093-41df-910a-e362277c20fd"/>
    <ds:schemaRef ds:uri="12207773-f8de-4d1c-9b23-15a1acc54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283D8A-491D-401B-A6E3-B59B00A7D8B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12207773-f8de-4d1c-9b23-15a1acc5427a"/>
    <ds:schemaRef ds:uri="http://purl.org/dc/dcmitype/"/>
    <ds:schemaRef ds:uri="http://schemas.microsoft.com/office/2006/documentManagement/types"/>
    <ds:schemaRef ds:uri="http://purl.org/dc/elements/1.1/"/>
    <ds:schemaRef ds:uri="06a704af-1093-41df-910a-e362277c20fd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982D8C4-6F48-40E2-A493-121B845605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F631A2-D38A-40E0-9BEE-F74357803AC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Case DIV 13-32_Combined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2026-04-01T14:30:24Z</dcterms:created>
  <dcterms:modified xsi:type="dcterms:W3CDTF">2026-05-21T20:07:43Z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MSIP_Label_e0c8e74a-db15-49f1-980d-3d74f2e3ff07_ActionId">
    <vt:lpwstr>b6943799-570c-47df-92d8-c3963c6c4ac4</vt:lpwstr>
  </property>
  <property fmtid="{D5CDD505-2E9C-101B-9397-08002B2CF9AE}" pid="4" name="ContentTypeId">
    <vt:lpwstr>0x010100506D7463B7963A458DEBC890CC57F453</vt:lpwstr>
  </property>
  <property fmtid="{D5CDD505-2E9C-101B-9397-08002B2CF9AE}" pid="5" name="MSIP_Label_e0c8e74a-db15-49f1-980d-3d74f2e3ff07_Method">
    <vt:lpwstr>Privileged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Tag">
    <vt:lpwstr>10, 0, 1, 1</vt:lpwstr>
  </property>
  <property fmtid="{D5CDD505-2E9C-101B-9397-08002B2CF9AE}" pid="8" name="MSIP_Label_e0c8e74a-db15-49f1-980d-3d74f2e3ff07_SetDate">
    <vt:lpwstr>2026-03-26T17:49:53Z</vt:lpwstr>
  </property>
  <property fmtid="{D5CDD505-2E9C-101B-9397-08002B2CF9AE}" pid="9" name="MSIP_Label_e0c8e74a-db15-49f1-980d-3d74f2e3ff07_Name">
    <vt:lpwstr>376d9127-3fad-41bb7-827b-657efc89d923</vt:lpwstr>
  </property>
  <property fmtid="{D5CDD505-2E9C-101B-9397-08002B2CF9AE}" pid="10" name="MSIP_Label_e0c8e74a-db15-49f1-980d-3d74f2e3ff07_Enabled">
    <vt:lpwstr>true</vt:lpwstr>
  </property>
  <property fmtid="{D5CDD505-2E9C-101B-9397-08002B2CF9AE}" pid="11" name="MSIP_Label_e0c8e74a-db15-49f1-980d-3d74f2e3ff07_ContentBits">
    <vt:lpwstr>2</vt:lpwstr>
  </property>
  <property fmtid="{D5CDD505-2E9C-101B-9397-08002B2CF9AE}" pid="12" name="SearchContentClass">
    <vt:lpwstr/>
  </property>
</Properties>
</file>