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E:\2026 Active Case Load\0-281 RI PU&amp;C Rhode Island Energy BRC Electric &amp; Gas\006 Testimony\Company Working Schedules\ADIT\"/>
    </mc:Choice>
  </mc:AlternateContent>
  <xr:revisionPtr revIDLastSave="0" documentId="13_ncr:1_{C8916FCF-07E3-4F05-AA07-475FECAE6934}" xr6:coauthVersionLast="47" xr6:coauthVersionMax="47" xr10:uidLastSave="{00000000-0000-0000-0000-000000000000}"/>
  <bookViews>
    <workbookView xWindow="14865" yWindow="105" windowWidth="14175" windowHeight="15060" tabRatio="796" activeTab="1" xr2:uid="{D263DD8A-9E97-4D3B-9DD2-9263F5D6B855}"/>
  </bookViews>
  <sheets>
    <sheet name="ADIT 1 Electric" sheetId="11" r:id="rId1"/>
    <sheet name="ADIT 2 Electric" sheetId="12" r:id="rId2"/>
    <sheet name="ADIT 3 Electric Historic" sheetId="59" r:id="rId3"/>
    <sheet name="Electric Proration Adj" sheetId="13" r:id="rId4"/>
    <sheet name="Elect Tax Depr Summary" sheetId="14" r:id="rId5"/>
    <sheet name="Elect Tax Depr Details-Vintaged" sheetId="48" r:id="rId6"/>
    <sheet name="Elect Tax Depr Details-3YR" sheetId="49" r:id="rId7"/>
    <sheet name="2026-07-31 Tax Depr-3YR" sheetId="50" r:id="rId8"/>
    <sheet name="2027-07-31 Tax Depr-3YR" sheetId="51" r:id="rId9"/>
    <sheet name="2028-07-31 Tax Depr-3YR" sheetId="52" r:id="rId10"/>
    <sheet name="2029-07-31 Tax Depr-3YR" sheetId="53" r:id="rId11"/>
    <sheet name="Elect Tax Depr Details-20YR" sheetId="15" r:id="rId12"/>
    <sheet name="2026-07-31 Tax Depr-20YR" sheetId="16" r:id="rId13"/>
    <sheet name="2027-07-31 Tax Depr-20YR" sheetId="17" r:id="rId14"/>
    <sheet name="2028-07-31 Tax Depr-20YR" sheetId="18" r:id="rId15"/>
    <sheet name="2029-07-31 Tax Depr-20YR" sheetId="19" r:id="rId16"/>
    <sheet name="2026-07-31 Tax Depr 39YR" sheetId="47" r:id="rId17"/>
    <sheet name="WP Support --&gt;" sheetId="32" r:id="rId18"/>
    <sheet name="Steph" sheetId="66" state="hidden" r:id="rId19"/>
    <sheet name="Notes for File" sheetId="67" state="hidden" r:id="rId20"/>
    <sheet name="1 Tax Depr-Test Yr" sheetId="33" r:id="rId21"/>
    <sheet name="2 Forecasted Tx Depr-Vint Assts" sheetId="60" r:id="rId22"/>
    <sheet name="3 Plant ADIT Balances by Mo" sheetId="68" r:id="rId23"/>
    <sheet name="4 Test Yr ADIT Support" sheetId="5" r:id="rId24"/>
    <sheet name="5 BS @ 8-31-25" sheetId="65" r:id="rId25"/>
    <sheet name="6 2024 BMI Query" sheetId="9" r:id="rId26"/>
    <sheet name="7 2025 BMI Query" sheetId="10" r:id="rId27"/>
    <sheet name="8 Facilities-PIS (sort by date)" sheetId="45" r:id="rId28"/>
    <sheet name="9 COR" sheetId="70" r:id="rId29"/>
    <sheet name="10 Electric Repairs Rate" sheetId="63" r:id="rId30"/>
  </sheets>
  <externalReferences>
    <externalReference r:id="rId31"/>
  </externalReferences>
  <definedNames>
    <definedName name="_xlnm._FilterDatabase" localSheetId="27" hidden="1">'8 Facilities-PIS (sort by date)'!$A$2:$Z$59</definedName>
    <definedName name="_xlnm._FilterDatabase" hidden="1">'[1]BIS LIST-NTH 18'!$A$1:$H$20</definedName>
    <definedName name="_xlnm.Print_Area" localSheetId="16">'2026-07-31 Tax Depr 39YR'!$A$1:$Y$59</definedName>
    <definedName name="_xlnm.Print_Area" localSheetId="12">'2026-07-31 Tax Depr-20YR'!$A$1:$L$35</definedName>
    <definedName name="_xlnm.Print_Area" localSheetId="0">'ADIT 1 Electric'!$A$1:$G$65</definedName>
    <definedName name="_xlnm.Print_Area" localSheetId="1">'ADIT 2 Electric'!$A$1:$G$57</definedName>
    <definedName name="_xlnm.Print_Area" localSheetId="11">'Elect Tax Depr Details-20YR'!$A$1:$O$50</definedName>
    <definedName name="_xlnm.Print_Area" localSheetId="6">'Elect Tax Depr Details-3YR'!$A$1:$O$50</definedName>
    <definedName name="_xlnm.Print_Area" localSheetId="5">'Elect Tax Depr Details-Vintaged'!$A$1:$K$28</definedName>
    <definedName name="_xlnm.Print_Area" localSheetId="4">'Elect Tax Depr Summary'!$A$1:$M$47</definedName>
    <definedName name="solver_adj" hidden="1">#REF!</definedName>
    <definedName name="solver_cvg" hidden="1">0.001</definedName>
    <definedName name="solver_drv" hidden="1">1</definedName>
    <definedName name="solver_est" hidden="1">1</definedName>
    <definedName name="solver_itr" hidden="1">100</definedName>
    <definedName name="solver_lin" hidden="1">0</definedName>
    <definedName name="solver_neg" hidden="1">2</definedName>
    <definedName name="solver_num" hidden="1">0</definedName>
    <definedName name="solver_nwt" hidden="1">1</definedName>
    <definedName name="solver_opt" hidden="1">#REF!</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3" i="12" l="1"/>
  <c r="E60" i="11" l="1"/>
  <c r="AD5" i="45"/>
  <c r="AD4" i="45"/>
  <c r="AD3" i="45"/>
  <c r="AD2" i="45"/>
  <c r="K5" i="63"/>
  <c r="K4" i="63"/>
  <c r="K3" i="63"/>
  <c r="K2" i="63"/>
  <c r="K5" i="70"/>
  <c r="K4" i="70"/>
  <c r="K3" i="70"/>
  <c r="K2" i="70"/>
  <c r="J5" i="10"/>
  <c r="J4" i="10"/>
  <c r="J3" i="10"/>
  <c r="J2" i="10"/>
  <c r="K5" i="9"/>
  <c r="K4" i="9"/>
  <c r="K3" i="9"/>
  <c r="K2" i="9"/>
  <c r="S161" i="65"/>
  <c r="S160" i="65"/>
  <c r="S159" i="65"/>
  <c r="S158" i="65"/>
  <c r="M5" i="60"/>
  <c r="M4" i="60"/>
  <c r="M3" i="60"/>
  <c r="M2" i="60"/>
  <c r="J5" i="33"/>
  <c r="J4" i="33"/>
  <c r="J3" i="33"/>
  <c r="J2" i="33"/>
  <c r="G16" i="63"/>
  <c r="F23" i="17" l="1"/>
  <c r="F23" i="16"/>
  <c r="F27" i="63"/>
  <c r="E27" i="63"/>
  <c r="G14" i="63"/>
  <c r="G12" i="63"/>
  <c r="F20" i="47"/>
  <c r="F37" i="47"/>
  <c r="F36" i="47"/>
  <c r="F35" i="47"/>
  <c r="F34" i="47"/>
  <c r="F33" i="47"/>
  <c r="F32" i="47"/>
  <c r="F31" i="47"/>
  <c r="F30" i="47"/>
  <c r="F29" i="47"/>
  <c r="F28" i="47"/>
  <c r="F27" i="47"/>
  <c r="F26" i="47"/>
  <c r="F25" i="47"/>
  <c r="F24" i="47"/>
  <c r="F23" i="47"/>
  <c r="F22" i="47"/>
  <c r="F21" i="47"/>
  <c r="M34" i="13"/>
  <c r="K34" i="13"/>
  <c r="I34" i="13"/>
  <c r="G34" i="13"/>
  <c r="Q43" i="5" l="1"/>
  <c r="P43" i="5"/>
  <c r="O43" i="5"/>
  <c r="N43" i="5"/>
  <c r="M43" i="5"/>
  <c r="L43" i="5"/>
  <c r="K43" i="5"/>
  <c r="J43" i="5"/>
  <c r="I43" i="5"/>
  <c r="H43" i="5"/>
  <c r="G43" i="5"/>
  <c r="F43" i="5"/>
  <c r="E43" i="5"/>
  <c r="D43" i="5"/>
  <c r="C43" i="5"/>
  <c r="R48" i="5" l="1"/>
  <c r="R43" i="5" s="1"/>
  <c r="N51" i="59"/>
  <c r="N50" i="59"/>
  <c r="N49" i="59"/>
  <c r="K48" i="5"/>
  <c r="K49" i="5" s="1"/>
  <c r="C48" i="5"/>
  <c r="D48" i="5" s="1"/>
  <c r="E48" i="5" s="1"/>
  <c r="F48" i="5" s="1"/>
  <c r="G48" i="5" s="1"/>
  <c r="H48" i="5" s="1"/>
  <c r="I48" i="5" s="1"/>
  <c r="J48" i="5" s="1"/>
  <c r="X49" i="5"/>
  <c r="W49" i="5"/>
  <c r="V49" i="5"/>
  <c r="U49" i="5"/>
  <c r="T49" i="5"/>
  <c r="S49" i="5"/>
  <c r="X26" i="5"/>
  <c r="W26" i="5"/>
  <c r="V26" i="5"/>
  <c r="U26" i="5"/>
  <c r="T26" i="5"/>
  <c r="S26" i="5"/>
  <c r="K25" i="5"/>
  <c r="L25" i="5" s="1"/>
  <c r="M25" i="5" s="1"/>
  <c r="N25" i="5" s="1"/>
  <c r="O25" i="5" s="1"/>
  <c r="P25" i="5" s="1"/>
  <c r="Q25" i="5" s="1"/>
  <c r="R25" i="5" s="1"/>
  <c r="C25" i="5"/>
  <c r="D25" i="5" s="1"/>
  <c r="E25" i="5" s="1"/>
  <c r="F25" i="5" s="1"/>
  <c r="G25" i="5" s="1"/>
  <c r="H25" i="5" s="1"/>
  <c r="I25" i="5" s="1"/>
  <c r="J25" i="5" s="1"/>
  <c r="L48" i="5" l="1"/>
  <c r="M48" i="5" s="1"/>
  <c r="N48" i="5" s="1"/>
  <c r="O48" i="5" s="1"/>
  <c r="P48" i="5" s="1"/>
  <c r="Q48" i="5" s="1"/>
  <c r="D49" i="5"/>
  <c r="C49" i="5"/>
  <c r="L49" i="5" l="1"/>
  <c r="E49" i="5"/>
  <c r="M49" i="5" l="1"/>
  <c r="F49" i="5"/>
  <c r="G49" i="5" l="1"/>
  <c r="N49" i="5"/>
  <c r="O49" i="5" l="1"/>
  <c r="H49" i="5"/>
  <c r="I49" i="5" l="1"/>
  <c r="J49" i="5"/>
  <c r="P49" i="5"/>
  <c r="R49" i="5" l="1"/>
  <c r="Q49" i="5"/>
  <c r="S11" i="68"/>
  <c r="R11" i="68"/>
  <c r="Q11" i="68"/>
  <c r="P11" i="68"/>
  <c r="O11" i="68"/>
  <c r="N11" i="68"/>
  <c r="M11" i="68"/>
  <c r="L11" i="68"/>
  <c r="K11" i="68"/>
  <c r="J11" i="68"/>
  <c r="I11" i="68"/>
  <c r="H11" i="68"/>
  <c r="G11" i="68"/>
  <c r="F11" i="68"/>
  <c r="E11" i="68"/>
  <c r="D42" i="68"/>
  <c r="D43" i="68" s="1"/>
  <c r="D12" i="68" s="1"/>
  <c r="D11" i="68"/>
  <c r="E40" i="68"/>
  <c r="F17" i="68"/>
  <c r="C47" i="14"/>
  <c r="C46" i="14"/>
  <c r="A46" i="14"/>
  <c r="A45" i="14"/>
  <c r="A18" i="59"/>
  <c r="A17" i="59"/>
  <c r="E37" i="47"/>
  <c r="E36" i="47"/>
  <c r="E35" i="47"/>
  <c r="E34" i="47"/>
  <c r="E33" i="47"/>
  <c r="E32" i="47"/>
  <c r="E31" i="47"/>
  <c r="E30" i="47"/>
  <c r="E29" i="47"/>
  <c r="E28" i="47"/>
  <c r="E27" i="47"/>
  <c r="E26" i="47"/>
  <c r="E25" i="47"/>
  <c r="E24" i="47"/>
  <c r="E23" i="47"/>
  <c r="E22" i="47"/>
  <c r="E21" i="47"/>
  <c r="E20" i="47"/>
  <c r="G37" i="12"/>
  <c r="A37" i="12"/>
  <c r="A38" i="12"/>
  <c r="A39" i="12"/>
  <c r="G19" i="12"/>
  <c r="A42" i="11"/>
  <c r="A43" i="1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G44" i="11"/>
  <c r="E51" i="13"/>
  <c r="E50" i="13"/>
  <c r="E49" i="13"/>
  <c r="E48" i="13"/>
  <c r="E47" i="13"/>
  <c r="E46" i="13"/>
  <c r="E45" i="13"/>
  <c r="E44" i="13"/>
  <c r="E43" i="13"/>
  <c r="E42" i="13"/>
  <c r="E41" i="13"/>
  <c r="E40" i="13"/>
  <c r="D44" i="68" l="1"/>
  <c r="D45" i="68" s="1"/>
  <c r="F40" i="68"/>
  <c r="E42" i="68"/>
  <c r="E43" i="68"/>
  <c r="G21" i="47"/>
  <c r="G22" i="47"/>
  <c r="G23" i="47"/>
  <c r="G24" i="47"/>
  <c r="G25" i="47"/>
  <c r="G26" i="47"/>
  <c r="G27" i="47"/>
  <c r="G28" i="47"/>
  <c r="P40" i="47" s="1"/>
  <c r="G29" i="47"/>
  <c r="G30" i="47"/>
  <c r="G31" i="47"/>
  <c r="G32" i="47"/>
  <c r="G33" i="47"/>
  <c r="G34" i="47"/>
  <c r="G35" i="47"/>
  <c r="G36" i="47"/>
  <c r="G37" i="47"/>
  <c r="E38" i="47"/>
  <c r="G36" i="12"/>
  <c r="T20" i="45"/>
  <c r="H141" i="5"/>
  <c r="H139" i="5"/>
  <c r="H140" i="5"/>
  <c r="G140" i="5"/>
  <c r="G141" i="5"/>
  <c r="G139" i="5"/>
  <c r="F139" i="5"/>
  <c r="F141" i="5"/>
  <c r="F140" i="5"/>
  <c r="E140" i="5"/>
  <c r="E141" i="5"/>
  <c r="E139" i="5"/>
  <c r="D141" i="5"/>
  <c r="D140" i="5"/>
  <c r="D139" i="5"/>
  <c r="K110" i="5"/>
  <c r="L110" i="5" s="1"/>
  <c r="M110" i="5" s="1"/>
  <c r="N110" i="5" s="1"/>
  <c r="O110" i="5" s="1"/>
  <c r="P110" i="5" s="1"/>
  <c r="Q110" i="5" s="1"/>
  <c r="R110" i="5" s="1"/>
  <c r="C110" i="5"/>
  <c r="D110" i="5" s="1"/>
  <c r="E110" i="5" s="1"/>
  <c r="F110" i="5" s="1"/>
  <c r="G110" i="5" s="1"/>
  <c r="H110" i="5" s="1"/>
  <c r="I110" i="5" s="1"/>
  <c r="J110" i="5" s="1"/>
  <c r="K111" i="5"/>
  <c r="L111" i="5" s="1"/>
  <c r="M111" i="5" s="1"/>
  <c r="N111" i="5" s="1"/>
  <c r="O111" i="5" s="1"/>
  <c r="P111" i="5" s="1"/>
  <c r="Q111" i="5" s="1"/>
  <c r="R111" i="5" s="1"/>
  <c r="C111" i="5"/>
  <c r="D111" i="5" s="1"/>
  <c r="E111" i="5" s="1"/>
  <c r="F111" i="5" s="1"/>
  <c r="G111" i="5" s="1"/>
  <c r="H111" i="5" s="1"/>
  <c r="I111" i="5" s="1"/>
  <c r="J111" i="5" s="1"/>
  <c r="I141" i="5"/>
  <c r="I139" i="5"/>
  <c r="I140" i="5"/>
  <c r="J140" i="5"/>
  <c r="J141" i="5"/>
  <c r="J139" i="5"/>
  <c r="K139" i="5"/>
  <c r="K140" i="5"/>
  <c r="K141" i="5"/>
  <c r="L141" i="5"/>
  <c r="L140" i="5"/>
  <c r="L139" i="5"/>
  <c r="M139" i="5"/>
  <c r="M141" i="5"/>
  <c r="M140" i="5"/>
  <c r="N140" i="5"/>
  <c r="N141" i="5"/>
  <c r="N139" i="5"/>
  <c r="O139" i="5"/>
  <c r="O141" i="5"/>
  <c r="O140" i="5"/>
  <c r="P140" i="5"/>
  <c r="P139" i="5"/>
  <c r="P141" i="5"/>
  <c r="Q141" i="5"/>
  <c r="Q139" i="5"/>
  <c r="Q140" i="5"/>
  <c r="C140" i="5"/>
  <c r="C141" i="5"/>
  <c r="C139" i="5"/>
  <c r="E44" i="68" l="1"/>
  <c r="E45" i="68" s="1"/>
  <c r="E12" i="68"/>
  <c r="G40" i="68"/>
  <c r="F42" i="68"/>
  <c r="F43" i="68" s="1"/>
  <c r="X40" i="47"/>
  <c r="W40" i="47"/>
  <c r="T40" i="47"/>
  <c r="S40" i="47"/>
  <c r="O40" i="47"/>
  <c r="Q40" i="47" s="1"/>
  <c r="I28" i="14" s="1"/>
  <c r="L40" i="47"/>
  <c r="F38" i="47"/>
  <c r="G20" i="47"/>
  <c r="K40" i="47" s="1"/>
  <c r="Y40" i="47"/>
  <c r="M28" i="14" s="1"/>
  <c r="K127" i="5"/>
  <c r="L127" i="5" s="1"/>
  <c r="M127" i="5" s="1"/>
  <c r="N127" i="5" s="1"/>
  <c r="O127" i="5" s="1"/>
  <c r="P127" i="5" s="1"/>
  <c r="Q127" i="5" s="1"/>
  <c r="C127" i="5"/>
  <c r="D127" i="5" s="1"/>
  <c r="E127" i="5" s="1"/>
  <c r="F127" i="5" s="1"/>
  <c r="G127" i="5" s="1"/>
  <c r="H127" i="5" s="1"/>
  <c r="I127" i="5" s="1"/>
  <c r="J127" i="5" s="1"/>
  <c r="K123" i="5"/>
  <c r="L123" i="5" s="1"/>
  <c r="M123" i="5" s="1"/>
  <c r="N123" i="5" s="1"/>
  <c r="O123" i="5" s="1"/>
  <c r="P123" i="5" s="1"/>
  <c r="Q123" i="5" s="1"/>
  <c r="R123" i="5" s="1"/>
  <c r="C123" i="5"/>
  <c r="D123" i="5" s="1"/>
  <c r="E123" i="5" s="1"/>
  <c r="F123" i="5" s="1"/>
  <c r="G123" i="5" s="1"/>
  <c r="H123" i="5" s="1"/>
  <c r="I123" i="5" s="1"/>
  <c r="J123" i="5" s="1"/>
  <c r="K122" i="5"/>
  <c r="L122" i="5" s="1"/>
  <c r="M122" i="5" s="1"/>
  <c r="N122" i="5" s="1"/>
  <c r="O122" i="5" s="1"/>
  <c r="P122" i="5" s="1"/>
  <c r="Q122" i="5" s="1"/>
  <c r="R122" i="5" s="1"/>
  <c r="C122" i="5"/>
  <c r="D122" i="5" s="1"/>
  <c r="E122" i="5" s="1"/>
  <c r="F122" i="5" s="1"/>
  <c r="G122" i="5" s="1"/>
  <c r="H122" i="5" s="1"/>
  <c r="I122" i="5" s="1"/>
  <c r="J122" i="5" s="1"/>
  <c r="K121" i="5"/>
  <c r="L121" i="5" s="1"/>
  <c r="M121" i="5" s="1"/>
  <c r="N121" i="5" s="1"/>
  <c r="O121" i="5" s="1"/>
  <c r="P121" i="5" s="1"/>
  <c r="Q121" i="5" s="1"/>
  <c r="R121" i="5" s="1"/>
  <c r="C121" i="5"/>
  <c r="D121" i="5" s="1"/>
  <c r="E121" i="5" s="1"/>
  <c r="F121" i="5" s="1"/>
  <c r="G121" i="5" s="1"/>
  <c r="H121" i="5" s="1"/>
  <c r="I121" i="5" s="1"/>
  <c r="J121" i="5" s="1"/>
  <c r="K120" i="5"/>
  <c r="L120" i="5" s="1"/>
  <c r="M120" i="5" s="1"/>
  <c r="N120" i="5" s="1"/>
  <c r="O120" i="5" s="1"/>
  <c r="P120" i="5" s="1"/>
  <c r="Q120" i="5" s="1"/>
  <c r="R120" i="5" s="1"/>
  <c r="C120" i="5"/>
  <c r="D120" i="5" s="1"/>
  <c r="E120" i="5" s="1"/>
  <c r="F120" i="5" s="1"/>
  <c r="G120" i="5" s="1"/>
  <c r="H120" i="5" s="1"/>
  <c r="I120" i="5" s="1"/>
  <c r="J120" i="5" s="1"/>
  <c r="K119" i="5"/>
  <c r="L119" i="5" s="1"/>
  <c r="M119" i="5" s="1"/>
  <c r="N119" i="5" s="1"/>
  <c r="O119" i="5" s="1"/>
  <c r="P119" i="5" s="1"/>
  <c r="Q119" i="5" s="1"/>
  <c r="R119" i="5" s="1"/>
  <c r="C119" i="5"/>
  <c r="D119" i="5" s="1"/>
  <c r="E119" i="5" s="1"/>
  <c r="F119" i="5" s="1"/>
  <c r="G119" i="5" s="1"/>
  <c r="H119" i="5" s="1"/>
  <c r="I119" i="5" s="1"/>
  <c r="J119" i="5" s="1"/>
  <c r="K118" i="5"/>
  <c r="L118" i="5" s="1"/>
  <c r="M118" i="5" s="1"/>
  <c r="N118" i="5" s="1"/>
  <c r="O118" i="5" s="1"/>
  <c r="P118" i="5" s="1"/>
  <c r="Q118" i="5" s="1"/>
  <c r="R118" i="5" s="1"/>
  <c r="C118" i="5"/>
  <c r="D118" i="5" s="1"/>
  <c r="E118" i="5" s="1"/>
  <c r="F118" i="5" s="1"/>
  <c r="G118" i="5" s="1"/>
  <c r="H118" i="5" s="1"/>
  <c r="I118" i="5" s="1"/>
  <c r="J118" i="5" s="1"/>
  <c r="K117" i="5"/>
  <c r="L117" i="5" s="1"/>
  <c r="M117" i="5" s="1"/>
  <c r="N117" i="5" s="1"/>
  <c r="O117" i="5" s="1"/>
  <c r="P117" i="5" s="1"/>
  <c r="Q117" i="5" s="1"/>
  <c r="R117" i="5" s="1"/>
  <c r="C117" i="5"/>
  <c r="D117" i="5" s="1"/>
  <c r="E117" i="5" s="1"/>
  <c r="F117" i="5" s="1"/>
  <c r="G117" i="5" s="1"/>
  <c r="H117" i="5" s="1"/>
  <c r="I117" i="5" s="1"/>
  <c r="J117" i="5" s="1"/>
  <c r="K114" i="5"/>
  <c r="L114" i="5" s="1"/>
  <c r="M114" i="5" s="1"/>
  <c r="N114" i="5" s="1"/>
  <c r="O114" i="5" s="1"/>
  <c r="P114" i="5" s="1"/>
  <c r="Q114" i="5" s="1"/>
  <c r="R114" i="5" s="1"/>
  <c r="C114" i="5"/>
  <c r="D114" i="5" s="1"/>
  <c r="E114" i="5" s="1"/>
  <c r="F114" i="5" s="1"/>
  <c r="G114" i="5" s="1"/>
  <c r="H114" i="5" s="1"/>
  <c r="I114" i="5" s="1"/>
  <c r="J114" i="5" s="1"/>
  <c r="K107" i="5"/>
  <c r="L107" i="5" s="1"/>
  <c r="M107" i="5" s="1"/>
  <c r="N107" i="5" s="1"/>
  <c r="O107" i="5" s="1"/>
  <c r="P107" i="5" s="1"/>
  <c r="Q107" i="5" s="1"/>
  <c r="R107" i="5" s="1"/>
  <c r="C107" i="5"/>
  <c r="D107" i="5" s="1"/>
  <c r="E107" i="5" s="1"/>
  <c r="F107" i="5" s="1"/>
  <c r="G107" i="5" s="1"/>
  <c r="H107" i="5" s="1"/>
  <c r="I107" i="5" s="1"/>
  <c r="J107" i="5" s="1"/>
  <c r="K103" i="5"/>
  <c r="L103" i="5" s="1"/>
  <c r="M103" i="5" s="1"/>
  <c r="N103" i="5" s="1"/>
  <c r="O103" i="5" s="1"/>
  <c r="P103" i="5" s="1"/>
  <c r="Q103" i="5" s="1"/>
  <c r="R103" i="5" s="1"/>
  <c r="C103" i="5"/>
  <c r="D103" i="5" s="1"/>
  <c r="E103" i="5" s="1"/>
  <c r="F103" i="5" s="1"/>
  <c r="G103" i="5" s="1"/>
  <c r="H103" i="5" s="1"/>
  <c r="I103" i="5" s="1"/>
  <c r="J103" i="5" s="1"/>
  <c r="K102" i="5"/>
  <c r="L102" i="5" s="1"/>
  <c r="M102" i="5" s="1"/>
  <c r="N102" i="5" s="1"/>
  <c r="O102" i="5" s="1"/>
  <c r="P102" i="5" s="1"/>
  <c r="Q102" i="5" s="1"/>
  <c r="R102" i="5" s="1"/>
  <c r="C102" i="5"/>
  <c r="D102" i="5" s="1"/>
  <c r="E102" i="5" s="1"/>
  <c r="F102" i="5" s="1"/>
  <c r="G102" i="5" s="1"/>
  <c r="H102" i="5" s="1"/>
  <c r="I102" i="5" s="1"/>
  <c r="J102" i="5" s="1"/>
  <c r="K101" i="5"/>
  <c r="L101" i="5" s="1"/>
  <c r="M101" i="5" s="1"/>
  <c r="N101" i="5" s="1"/>
  <c r="O101" i="5" s="1"/>
  <c r="P101" i="5" s="1"/>
  <c r="Q101" i="5" s="1"/>
  <c r="R101" i="5" s="1"/>
  <c r="C101" i="5"/>
  <c r="D101" i="5" s="1"/>
  <c r="E101" i="5" s="1"/>
  <c r="F101" i="5" s="1"/>
  <c r="G101" i="5" s="1"/>
  <c r="H101" i="5" s="1"/>
  <c r="I101" i="5" s="1"/>
  <c r="J101" i="5" s="1"/>
  <c r="K100" i="5"/>
  <c r="L100" i="5" s="1"/>
  <c r="M100" i="5" s="1"/>
  <c r="N100" i="5" s="1"/>
  <c r="O100" i="5" s="1"/>
  <c r="P100" i="5" s="1"/>
  <c r="Q100" i="5" s="1"/>
  <c r="R100" i="5" s="1"/>
  <c r="C100" i="5"/>
  <c r="D100" i="5" s="1"/>
  <c r="E100" i="5" s="1"/>
  <c r="F100" i="5" s="1"/>
  <c r="G100" i="5" s="1"/>
  <c r="H100" i="5" s="1"/>
  <c r="I100" i="5" s="1"/>
  <c r="J100" i="5" s="1"/>
  <c r="K99" i="5"/>
  <c r="L99" i="5" s="1"/>
  <c r="M99" i="5" s="1"/>
  <c r="N99" i="5" s="1"/>
  <c r="O99" i="5" s="1"/>
  <c r="P99" i="5" s="1"/>
  <c r="Q99" i="5" s="1"/>
  <c r="R99" i="5" s="1"/>
  <c r="C99" i="5"/>
  <c r="D99" i="5" s="1"/>
  <c r="E99" i="5" s="1"/>
  <c r="F99" i="5" s="1"/>
  <c r="G99" i="5" s="1"/>
  <c r="H99" i="5" s="1"/>
  <c r="I99" i="5" s="1"/>
  <c r="J99" i="5" s="1"/>
  <c r="K98" i="5"/>
  <c r="L98" i="5" s="1"/>
  <c r="M98" i="5" s="1"/>
  <c r="N98" i="5" s="1"/>
  <c r="O98" i="5" s="1"/>
  <c r="P98" i="5" s="1"/>
  <c r="Q98" i="5" s="1"/>
  <c r="R98" i="5" s="1"/>
  <c r="C98" i="5"/>
  <c r="D98" i="5" s="1"/>
  <c r="E98" i="5" s="1"/>
  <c r="F98" i="5" s="1"/>
  <c r="G98" i="5" s="1"/>
  <c r="H98" i="5" s="1"/>
  <c r="I98" i="5" s="1"/>
  <c r="J98" i="5" s="1"/>
  <c r="K97" i="5"/>
  <c r="L97" i="5" s="1"/>
  <c r="M97" i="5" s="1"/>
  <c r="N97" i="5" s="1"/>
  <c r="O97" i="5" s="1"/>
  <c r="P97" i="5" s="1"/>
  <c r="Q97" i="5" s="1"/>
  <c r="R97" i="5" s="1"/>
  <c r="C97" i="5"/>
  <c r="D97" i="5" s="1"/>
  <c r="E97" i="5" s="1"/>
  <c r="F97" i="5" s="1"/>
  <c r="G97" i="5" s="1"/>
  <c r="H97" i="5" s="1"/>
  <c r="I97" i="5" s="1"/>
  <c r="J97" i="5" s="1"/>
  <c r="K96" i="5"/>
  <c r="L96" i="5" s="1"/>
  <c r="M96" i="5" s="1"/>
  <c r="N96" i="5" s="1"/>
  <c r="O96" i="5" s="1"/>
  <c r="P96" i="5" s="1"/>
  <c r="Q96" i="5" s="1"/>
  <c r="R96" i="5" s="1"/>
  <c r="C96" i="5"/>
  <c r="D96" i="5" s="1"/>
  <c r="E96" i="5" s="1"/>
  <c r="F96" i="5" s="1"/>
  <c r="G96" i="5" s="1"/>
  <c r="H96" i="5" s="1"/>
  <c r="I96" i="5" s="1"/>
  <c r="J96" i="5" s="1"/>
  <c r="K95" i="5"/>
  <c r="L95" i="5" s="1"/>
  <c r="M95" i="5" s="1"/>
  <c r="N95" i="5" s="1"/>
  <c r="O95" i="5" s="1"/>
  <c r="P95" i="5" s="1"/>
  <c r="Q95" i="5" s="1"/>
  <c r="R95" i="5" s="1"/>
  <c r="C95" i="5"/>
  <c r="D95" i="5" s="1"/>
  <c r="E95" i="5" s="1"/>
  <c r="F95" i="5" s="1"/>
  <c r="G95" i="5" s="1"/>
  <c r="H95" i="5" s="1"/>
  <c r="I95" i="5" s="1"/>
  <c r="J95" i="5" s="1"/>
  <c r="K94" i="5"/>
  <c r="L94" i="5" s="1"/>
  <c r="M94" i="5" s="1"/>
  <c r="N94" i="5" s="1"/>
  <c r="O94" i="5" s="1"/>
  <c r="P94" i="5" s="1"/>
  <c r="Q94" i="5" s="1"/>
  <c r="R94" i="5" s="1"/>
  <c r="C94" i="5"/>
  <c r="D94" i="5" s="1"/>
  <c r="E94" i="5" s="1"/>
  <c r="F94" i="5" s="1"/>
  <c r="G94" i="5" s="1"/>
  <c r="H94" i="5" s="1"/>
  <c r="I94" i="5" s="1"/>
  <c r="J94" i="5" s="1"/>
  <c r="K93" i="5"/>
  <c r="L93" i="5" s="1"/>
  <c r="C93" i="5"/>
  <c r="K88" i="5"/>
  <c r="L88" i="5" s="1"/>
  <c r="M88" i="5" s="1"/>
  <c r="N88" i="5" s="1"/>
  <c r="O88" i="5" s="1"/>
  <c r="P88" i="5" s="1"/>
  <c r="Q88" i="5" s="1"/>
  <c r="R88" i="5" s="1"/>
  <c r="C88" i="5"/>
  <c r="D88" i="5" s="1"/>
  <c r="E88" i="5" s="1"/>
  <c r="F88" i="5" s="1"/>
  <c r="G88" i="5" s="1"/>
  <c r="H88" i="5" s="1"/>
  <c r="I88" i="5" s="1"/>
  <c r="J88" i="5" s="1"/>
  <c r="K84" i="5"/>
  <c r="L84" i="5" s="1"/>
  <c r="M84" i="5" s="1"/>
  <c r="N84" i="5" s="1"/>
  <c r="O84" i="5" s="1"/>
  <c r="P84" i="5" s="1"/>
  <c r="Q84" i="5" s="1"/>
  <c r="R84" i="5" s="1"/>
  <c r="C84" i="5"/>
  <c r="D84" i="5" s="1"/>
  <c r="E84" i="5" s="1"/>
  <c r="F84" i="5" s="1"/>
  <c r="G84" i="5" s="1"/>
  <c r="H84" i="5" s="1"/>
  <c r="I84" i="5" s="1"/>
  <c r="J84" i="5" s="1"/>
  <c r="K83" i="5"/>
  <c r="L83" i="5" s="1"/>
  <c r="M83" i="5" s="1"/>
  <c r="N83" i="5" s="1"/>
  <c r="O83" i="5" s="1"/>
  <c r="P83" i="5" s="1"/>
  <c r="Q83" i="5" s="1"/>
  <c r="R83" i="5" s="1"/>
  <c r="C83" i="5"/>
  <c r="D83" i="5" s="1"/>
  <c r="E83" i="5" s="1"/>
  <c r="F83" i="5" s="1"/>
  <c r="G83" i="5" s="1"/>
  <c r="H83" i="5" s="1"/>
  <c r="I83" i="5" s="1"/>
  <c r="J83" i="5" s="1"/>
  <c r="K82" i="5"/>
  <c r="L82" i="5" s="1"/>
  <c r="M82" i="5" s="1"/>
  <c r="N82" i="5" s="1"/>
  <c r="O82" i="5" s="1"/>
  <c r="P82" i="5" s="1"/>
  <c r="Q82" i="5" s="1"/>
  <c r="R82" i="5" s="1"/>
  <c r="C82" i="5"/>
  <c r="D82" i="5" s="1"/>
  <c r="E82" i="5" s="1"/>
  <c r="F82" i="5" s="1"/>
  <c r="G82" i="5" s="1"/>
  <c r="H82" i="5" s="1"/>
  <c r="I82" i="5" s="1"/>
  <c r="J82" i="5" s="1"/>
  <c r="K81" i="5"/>
  <c r="L81" i="5" s="1"/>
  <c r="M81" i="5" s="1"/>
  <c r="N81" i="5" s="1"/>
  <c r="O81" i="5" s="1"/>
  <c r="P81" i="5" s="1"/>
  <c r="Q81" i="5" s="1"/>
  <c r="R81" i="5" s="1"/>
  <c r="C81" i="5"/>
  <c r="D81" i="5" s="1"/>
  <c r="E81" i="5" s="1"/>
  <c r="F81" i="5" s="1"/>
  <c r="G81" i="5" s="1"/>
  <c r="H81" i="5" s="1"/>
  <c r="I81" i="5" s="1"/>
  <c r="J81" i="5" s="1"/>
  <c r="K80" i="5"/>
  <c r="L80" i="5" s="1"/>
  <c r="M80" i="5" s="1"/>
  <c r="N80" i="5" s="1"/>
  <c r="O80" i="5" s="1"/>
  <c r="P80" i="5" s="1"/>
  <c r="Q80" i="5" s="1"/>
  <c r="R80" i="5" s="1"/>
  <c r="C80" i="5"/>
  <c r="D80" i="5" s="1"/>
  <c r="E80" i="5" s="1"/>
  <c r="F80" i="5" s="1"/>
  <c r="G80" i="5" s="1"/>
  <c r="H80" i="5" s="1"/>
  <c r="I80" i="5" s="1"/>
  <c r="J80" i="5" s="1"/>
  <c r="K79" i="5"/>
  <c r="L79" i="5" s="1"/>
  <c r="M79" i="5" s="1"/>
  <c r="N79" i="5" s="1"/>
  <c r="O79" i="5" s="1"/>
  <c r="P79" i="5" s="1"/>
  <c r="Q79" i="5" s="1"/>
  <c r="R79" i="5" s="1"/>
  <c r="C79" i="5"/>
  <c r="D79" i="5" s="1"/>
  <c r="E79" i="5" s="1"/>
  <c r="F79" i="5" s="1"/>
  <c r="G79" i="5" s="1"/>
  <c r="H79" i="5" s="1"/>
  <c r="I79" i="5" s="1"/>
  <c r="J79" i="5" s="1"/>
  <c r="K78" i="5"/>
  <c r="L78" i="5" s="1"/>
  <c r="M78" i="5" s="1"/>
  <c r="C78" i="5"/>
  <c r="D78" i="5" s="1"/>
  <c r="E78" i="5" s="1"/>
  <c r="F78" i="5" s="1"/>
  <c r="G78" i="5" s="1"/>
  <c r="H78" i="5" s="1"/>
  <c r="I78" i="5" s="1"/>
  <c r="J78" i="5" s="1"/>
  <c r="K76" i="5"/>
  <c r="L76" i="5" s="1"/>
  <c r="M76" i="5" s="1"/>
  <c r="N76" i="5" s="1"/>
  <c r="O76" i="5" s="1"/>
  <c r="P76" i="5" s="1"/>
  <c r="Q76" i="5" s="1"/>
  <c r="R76" i="5" s="1"/>
  <c r="C76" i="5"/>
  <c r="D76" i="5" s="1"/>
  <c r="E76" i="5" s="1"/>
  <c r="F76" i="5" s="1"/>
  <c r="G76" i="5" s="1"/>
  <c r="H76" i="5" s="1"/>
  <c r="I76" i="5" s="1"/>
  <c r="J76" i="5" s="1"/>
  <c r="K73" i="5"/>
  <c r="L73" i="5" s="1"/>
  <c r="M73" i="5" s="1"/>
  <c r="N73" i="5" s="1"/>
  <c r="O73" i="5" s="1"/>
  <c r="P73" i="5" s="1"/>
  <c r="Q73" i="5" s="1"/>
  <c r="R73" i="5" s="1"/>
  <c r="K72" i="5"/>
  <c r="C40" i="5"/>
  <c r="D40" i="5" s="1"/>
  <c r="E40" i="5" s="1"/>
  <c r="K68" i="5"/>
  <c r="L68" i="5" s="1"/>
  <c r="M68" i="5" s="1"/>
  <c r="N68" i="5" s="1"/>
  <c r="O68" i="5" s="1"/>
  <c r="P68" i="5" s="1"/>
  <c r="Q68" i="5" s="1"/>
  <c r="R68" i="5" s="1"/>
  <c r="K63" i="5"/>
  <c r="K64" i="5"/>
  <c r="L64" i="5" s="1"/>
  <c r="M64" i="5" s="1"/>
  <c r="N64" i="5" s="1"/>
  <c r="O64" i="5" s="1"/>
  <c r="P64" i="5" s="1"/>
  <c r="K62" i="5"/>
  <c r="L62" i="5" s="1"/>
  <c r="M62" i="5" s="1"/>
  <c r="N62" i="5" s="1"/>
  <c r="O62" i="5" s="1"/>
  <c r="P62" i="5" s="1"/>
  <c r="Q62" i="5" s="1"/>
  <c r="R62" i="5" s="1"/>
  <c r="K61" i="5"/>
  <c r="L61" i="5" s="1"/>
  <c r="M61" i="5" s="1"/>
  <c r="N61" i="5" s="1"/>
  <c r="O61" i="5" s="1"/>
  <c r="P61" i="5" s="1"/>
  <c r="Q61" i="5" s="1"/>
  <c r="R61" i="5" s="1"/>
  <c r="K60" i="5"/>
  <c r="L60" i="5" s="1"/>
  <c r="M60" i="5" s="1"/>
  <c r="N60" i="5" s="1"/>
  <c r="O60" i="5" s="1"/>
  <c r="P60" i="5" s="1"/>
  <c r="Q60" i="5" s="1"/>
  <c r="R60" i="5" s="1"/>
  <c r="K59" i="5"/>
  <c r="L59" i="5" s="1"/>
  <c r="M59" i="5" s="1"/>
  <c r="N59" i="5" s="1"/>
  <c r="O59" i="5" s="1"/>
  <c r="P59" i="5" s="1"/>
  <c r="Q59" i="5" s="1"/>
  <c r="R59" i="5" s="1"/>
  <c r="K58" i="5"/>
  <c r="L58" i="5" s="1"/>
  <c r="M58" i="5" s="1"/>
  <c r="N58" i="5" s="1"/>
  <c r="O58" i="5" s="1"/>
  <c r="P58" i="5" s="1"/>
  <c r="Q58" i="5" s="1"/>
  <c r="R58" i="5" s="1"/>
  <c r="K57" i="5"/>
  <c r="L57" i="5" s="1"/>
  <c r="M57" i="5" s="1"/>
  <c r="N57" i="5" s="1"/>
  <c r="O57" i="5" s="1"/>
  <c r="P57" i="5" s="1"/>
  <c r="Q57" i="5" s="1"/>
  <c r="R57" i="5" s="1"/>
  <c r="K56" i="5"/>
  <c r="L56" i="5" s="1"/>
  <c r="M56" i="5" s="1"/>
  <c r="N56" i="5" s="1"/>
  <c r="O56" i="5" s="1"/>
  <c r="P56" i="5" s="1"/>
  <c r="Q56" i="5" s="1"/>
  <c r="R56" i="5" s="1"/>
  <c r="K55" i="5"/>
  <c r="L55" i="5" s="1"/>
  <c r="M55" i="5" s="1"/>
  <c r="N55" i="5" s="1"/>
  <c r="O55" i="5" s="1"/>
  <c r="P55" i="5" s="1"/>
  <c r="Q55" i="5" s="1"/>
  <c r="R55" i="5" s="1"/>
  <c r="K54" i="5"/>
  <c r="L54" i="5" s="1"/>
  <c r="M54" i="5" s="1"/>
  <c r="N54" i="5" s="1"/>
  <c r="O54" i="5" s="1"/>
  <c r="P54" i="5" s="1"/>
  <c r="Q54" i="5" s="1"/>
  <c r="R54" i="5" s="1"/>
  <c r="K47" i="5"/>
  <c r="L47" i="5" s="1"/>
  <c r="M47" i="5" s="1"/>
  <c r="N47" i="5" s="1"/>
  <c r="O47" i="5" s="1"/>
  <c r="P47" i="5" s="1"/>
  <c r="Q47" i="5" s="1"/>
  <c r="K39" i="5"/>
  <c r="L39" i="5" s="1"/>
  <c r="M39" i="5" s="1"/>
  <c r="N39" i="5" s="1"/>
  <c r="O39" i="5" s="1"/>
  <c r="P39" i="5" s="1"/>
  <c r="Q39" i="5" s="1"/>
  <c r="R39" i="5" s="1"/>
  <c r="C39" i="5"/>
  <c r="D39" i="5" s="1"/>
  <c r="E39" i="5" s="1"/>
  <c r="F39" i="5" s="1"/>
  <c r="G39" i="5" s="1"/>
  <c r="H39" i="5" s="1"/>
  <c r="I39" i="5" s="1"/>
  <c r="J39" i="5" s="1"/>
  <c r="K38" i="5"/>
  <c r="L38" i="5" s="1"/>
  <c r="M38" i="5" s="1"/>
  <c r="N38" i="5" s="1"/>
  <c r="O38" i="5" s="1"/>
  <c r="P38" i="5" s="1"/>
  <c r="Q38" i="5" s="1"/>
  <c r="R38" i="5" s="1"/>
  <c r="C38" i="5"/>
  <c r="D38" i="5" s="1"/>
  <c r="E38" i="5" s="1"/>
  <c r="F38" i="5" s="1"/>
  <c r="G38" i="5" s="1"/>
  <c r="H38" i="5" s="1"/>
  <c r="I38" i="5" s="1"/>
  <c r="J38" i="5" s="1"/>
  <c r="K37" i="5"/>
  <c r="L37" i="5" s="1"/>
  <c r="M37" i="5" s="1"/>
  <c r="N37" i="5" s="1"/>
  <c r="O37" i="5" s="1"/>
  <c r="P37" i="5" s="1"/>
  <c r="Q37" i="5" s="1"/>
  <c r="R37" i="5" s="1"/>
  <c r="C37" i="5"/>
  <c r="D37" i="5" s="1"/>
  <c r="E37" i="5" s="1"/>
  <c r="F37" i="5" s="1"/>
  <c r="G37" i="5" s="1"/>
  <c r="H37" i="5" s="1"/>
  <c r="I37" i="5" s="1"/>
  <c r="J37" i="5" s="1"/>
  <c r="K36" i="5"/>
  <c r="L36" i="5" s="1"/>
  <c r="M36" i="5" s="1"/>
  <c r="N36" i="5" s="1"/>
  <c r="O36" i="5" s="1"/>
  <c r="P36" i="5" s="1"/>
  <c r="Q36" i="5" s="1"/>
  <c r="R36" i="5" s="1"/>
  <c r="K42" i="5"/>
  <c r="L42" i="5" s="1"/>
  <c r="M42" i="5" s="1"/>
  <c r="N42" i="5" s="1"/>
  <c r="O42" i="5" s="1"/>
  <c r="P42" i="5" s="1"/>
  <c r="Q42" i="5" s="1"/>
  <c r="R42" i="5" s="1"/>
  <c r="C42" i="5"/>
  <c r="D42" i="5" s="1"/>
  <c r="E42" i="5" s="1"/>
  <c r="F42" i="5" s="1"/>
  <c r="G42" i="5" s="1"/>
  <c r="H42" i="5" s="1"/>
  <c r="I42" i="5" s="1"/>
  <c r="J42" i="5" s="1"/>
  <c r="K41" i="5"/>
  <c r="L41" i="5" s="1"/>
  <c r="M41" i="5" s="1"/>
  <c r="N41" i="5" s="1"/>
  <c r="O41" i="5" s="1"/>
  <c r="P41" i="5" s="1"/>
  <c r="Q41" i="5" s="1"/>
  <c r="R41" i="5" s="1"/>
  <c r="C41" i="5"/>
  <c r="D41" i="5" s="1"/>
  <c r="E41" i="5" s="1"/>
  <c r="F41" i="5" s="1"/>
  <c r="G41" i="5" s="1"/>
  <c r="H41" i="5" s="1"/>
  <c r="I41" i="5" s="1"/>
  <c r="J41" i="5" s="1"/>
  <c r="K40" i="5"/>
  <c r="L40" i="5" s="1"/>
  <c r="M40" i="5" s="1"/>
  <c r="N40" i="5" s="1"/>
  <c r="O40" i="5" s="1"/>
  <c r="P40" i="5" s="1"/>
  <c r="Q40" i="5" s="1"/>
  <c r="R40" i="5" s="1"/>
  <c r="K30" i="5"/>
  <c r="K34" i="5"/>
  <c r="L34" i="5" s="1"/>
  <c r="M34" i="5" s="1"/>
  <c r="N34" i="5" s="1"/>
  <c r="O34" i="5" s="1"/>
  <c r="P34" i="5" s="1"/>
  <c r="Q34" i="5" s="1"/>
  <c r="R34" i="5" s="1"/>
  <c r="K31" i="5"/>
  <c r="L31" i="5" s="1"/>
  <c r="M31" i="5" s="1"/>
  <c r="N31" i="5" s="1"/>
  <c r="O31" i="5" s="1"/>
  <c r="P31" i="5" s="1"/>
  <c r="Q31" i="5" s="1"/>
  <c r="R31" i="5" s="1"/>
  <c r="K24" i="5"/>
  <c r="K26" i="5" s="1"/>
  <c r="K20" i="5"/>
  <c r="L20" i="5" s="1"/>
  <c r="M20" i="5" s="1"/>
  <c r="N20" i="5" s="1"/>
  <c r="O20" i="5" s="1"/>
  <c r="P20" i="5" s="1"/>
  <c r="Q20" i="5" s="1"/>
  <c r="R20" i="5" s="1"/>
  <c r="K19" i="5"/>
  <c r="L19" i="5" s="1"/>
  <c r="M19" i="5" s="1"/>
  <c r="N19" i="5" s="1"/>
  <c r="O19" i="5" s="1"/>
  <c r="P19" i="5" s="1"/>
  <c r="Q19" i="5" s="1"/>
  <c r="R19" i="5" s="1"/>
  <c r="K18" i="5"/>
  <c r="L18" i="5" s="1"/>
  <c r="M18" i="5" s="1"/>
  <c r="N18" i="5" s="1"/>
  <c r="O18" i="5" s="1"/>
  <c r="P18" i="5" s="1"/>
  <c r="Q18" i="5" s="1"/>
  <c r="R18" i="5" s="1"/>
  <c r="K17" i="5"/>
  <c r="L17" i="5" s="1"/>
  <c r="M17" i="5" s="1"/>
  <c r="N17" i="5" s="1"/>
  <c r="O17" i="5" s="1"/>
  <c r="P17" i="5" s="1"/>
  <c r="Q17" i="5" s="1"/>
  <c r="R17" i="5" s="1"/>
  <c r="K16" i="5"/>
  <c r="L16" i="5" s="1"/>
  <c r="M16" i="5" s="1"/>
  <c r="N16" i="5" s="1"/>
  <c r="O16" i="5" s="1"/>
  <c r="P16" i="5" s="1"/>
  <c r="Q16" i="5" s="1"/>
  <c r="R16" i="5" s="1"/>
  <c r="K15" i="5"/>
  <c r="L15" i="5" s="1"/>
  <c r="M15" i="5" s="1"/>
  <c r="N15" i="5" s="1"/>
  <c r="O15" i="5" s="1"/>
  <c r="P15" i="5" s="1"/>
  <c r="Q15" i="5" s="1"/>
  <c r="R15" i="5" s="1"/>
  <c r="K14" i="5"/>
  <c r="L14" i="5" s="1"/>
  <c r="M14" i="5" s="1"/>
  <c r="N14" i="5" s="1"/>
  <c r="O14" i="5" s="1"/>
  <c r="P14" i="5" s="1"/>
  <c r="Q14" i="5" s="1"/>
  <c r="R14" i="5" s="1"/>
  <c r="K13" i="5"/>
  <c r="L13" i="5" s="1"/>
  <c r="M13" i="5" s="1"/>
  <c r="N13" i="5" s="1"/>
  <c r="O13" i="5" s="1"/>
  <c r="P13" i="5" s="1"/>
  <c r="Q13" i="5" s="1"/>
  <c r="R13" i="5" s="1"/>
  <c r="K12" i="5"/>
  <c r="K11" i="5"/>
  <c r="L11" i="5" s="1"/>
  <c r="M11" i="5" s="1"/>
  <c r="N11" i="5" s="1"/>
  <c r="O11" i="5" s="1"/>
  <c r="P11" i="5" s="1"/>
  <c r="Q11" i="5" s="1"/>
  <c r="R11" i="5" s="1"/>
  <c r="K10" i="5"/>
  <c r="A20" i="11"/>
  <c r="A21" i="11" s="1"/>
  <c r="A22" i="11" s="1"/>
  <c r="A23" i="11" s="1"/>
  <c r="A24" i="11" s="1"/>
  <c r="A25" i="11" s="1"/>
  <c r="A26" i="11" s="1"/>
  <c r="A27" i="11" s="1"/>
  <c r="A28" i="11" s="1"/>
  <c r="A29" i="11" s="1"/>
  <c r="A30" i="11" s="1"/>
  <c r="A31" i="11" s="1"/>
  <c r="U40" i="47" l="1"/>
  <c r="K28" i="14" s="1"/>
  <c r="F44" i="68"/>
  <c r="F45" i="68" s="1"/>
  <c r="F12" i="68"/>
  <c r="H40" i="68"/>
  <c r="G42" i="68"/>
  <c r="G43" i="68" s="1"/>
  <c r="M40" i="47"/>
  <c r="G28" i="14" s="1"/>
  <c r="K21" i="5"/>
  <c r="L10" i="5"/>
  <c r="L8" i="68"/>
  <c r="L30" i="5"/>
  <c r="L29" i="5" s="1"/>
  <c r="K143" i="5"/>
  <c r="K134" i="5"/>
  <c r="L12" i="5"/>
  <c r="K133" i="5"/>
  <c r="L124" i="5"/>
  <c r="L126" i="5" s="1"/>
  <c r="K124" i="5"/>
  <c r="K126" i="5" s="1"/>
  <c r="J85" i="5"/>
  <c r="I85" i="5"/>
  <c r="I87" i="5" s="1"/>
  <c r="H85" i="5"/>
  <c r="H87" i="5" s="1"/>
  <c r="K85" i="5"/>
  <c r="K87" i="5" s="1"/>
  <c r="L85" i="5"/>
  <c r="L87" i="5" s="1"/>
  <c r="M85" i="5"/>
  <c r="M87" i="5" s="1"/>
  <c r="G85" i="5"/>
  <c r="D85" i="5"/>
  <c r="D87" i="5" s="1"/>
  <c r="E85" i="5"/>
  <c r="E87" i="5" s="1"/>
  <c r="F85" i="5"/>
  <c r="F87" i="5" s="1"/>
  <c r="D109" i="5"/>
  <c r="D113" i="5" s="1"/>
  <c r="L109" i="5"/>
  <c r="L113" i="5" s="1"/>
  <c r="K109" i="5"/>
  <c r="K113" i="5" s="1"/>
  <c r="C109" i="5"/>
  <c r="C113" i="5" s="1"/>
  <c r="C104" i="5"/>
  <c r="L104" i="5"/>
  <c r="L106" i="5" s="1"/>
  <c r="M93" i="5"/>
  <c r="D93" i="5"/>
  <c r="K104" i="5"/>
  <c r="K106" i="5" s="1"/>
  <c r="N78" i="5"/>
  <c r="N85" i="5" s="1"/>
  <c r="C85" i="5"/>
  <c r="K71" i="5"/>
  <c r="K75" i="5" s="1"/>
  <c r="L72" i="5"/>
  <c r="F40" i="5"/>
  <c r="G40" i="5" s="1"/>
  <c r="H40" i="5" s="1"/>
  <c r="I40" i="5" s="1"/>
  <c r="J40" i="5" s="1"/>
  <c r="K65" i="5"/>
  <c r="K67" i="5" s="1"/>
  <c r="Q64" i="5"/>
  <c r="R64" i="5" s="1"/>
  <c r="L63" i="5"/>
  <c r="K46" i="5"/>
  <c r="L46" i="5"/>
  <c r="N46" i="5"/>
  <c r="O46" i="5"/>
  <c r="Q46" i="5"/>
  <c r="M46" i="5"/>
  <c r="K29" i="5"/>
  <c r="K23" i="5"/>
  <c r="L24" i="5"/>
  <c r="G44" i="68" l="1"/>
  <c r="G45" i="68" s="1"/>
  <c r="G12" i="68"/>
  <c r="I40" i="68"/>
  <c r="H42" i="68"/>
  <c r="H43" i="68" s="1"/>
  <c r="L21" i="5"/>
  <c r="L26" i="5"/>
  <c r="L33" i="5"/>
  <c r="M9" i="68"/>
  <c r="K33" i="5"/>
  <c r="L9" i="68"/>
  <c r="L10" i="68"/>
  <c r="M10" i="5"/>
  <c r="M8" i="68"/>
  <c r="M10" i="68" s="1"/>
  <c r="K129" i="5"/>
  <c r="L129" i="5"/>
  <c r="M12" i="5"/>
  <c r="L133" i="5"/>
  <c r="M30" i="5"/>
  <c r="L134" i="5"/>
  <c r="L143" i="5"/>
  <c r="E124" i="5"/>
  <c r="E126" i="5" s="1"/>
  <c r="K90" i="5"/>
  <c r="M109" i="5"/>
  <c r="M113" i="5" s="1"/>
  <c r="E109" i="5"/>
  <c r="E113" i="5" s="1"/>
  <c r="D104" i="5"/>
  <c r="D106" i="5" s="1"/>
  <c r="E93" i="5"/>
  <c r="M104" i="5"/>
  <c r="M106" i="5" s="1"/>
  <c r="N93" i="5"/>
  <c r="K51" i="5"/>
  <c r="O78" i="5"/>
  <c r="O85" i="5" s="1"/>
  <c r="N87" i="5"/>
  <c r="J87" i="5"/>
  <c r="G87" i="5"/>
  <c r="L71" i="5"/>
  <c r="L75" i="5" s="1"/>
  <c r="M72" i="5"/>
  <c r="M63" i="5"/>
  <c r="L65" i="5"/>
  <c r="L67" i="5" s="1"/>
  <c r="L23" i="5"/>
  <c r="L51" i="5" s="1"/>
  <c r="M24" i="5"/>
  <c r="M26" i="5" s="1"/>
  <c r="H44" i="68" l="1"/>
  <c r="H45" i="68" s="1"/>
  <c r="H12" i="68"/>
  <c r="J40" i="68"/>
  <c r="I42" i="68"/>
  <c r="I43" i="68" s="1"/>
  <c r="N24" i="5"/>
  <c r="M21" i="5"/>
  <c r="N10" i="5"/>
  <c r="N8" i="68"/>
  <c r="L90" i="5"/>
  <c r="N30" i="5"/>
  <c r="M134" i="5"/>
  <c r="M143" i="5"/>
  <c r="M29" i="5"/>
  <c r="L131" i="5"/>
  <c r="N12" i="5"/>
  <c r="M133" i="5"/>
  <c r="K131" i="5"/>
  <c r="F124" i="5"/>
  <c r="F126" i="5" s="1"/>
  <c r="N124" i="5"/>
  <c r="N126" i="5" s="1"/>
  <c r="F109" i="5"/>
  <c r="F113" i="5" s="1"/>
  <c r="N109" i="5"/>
  <c r="N113" i="5" s="1"/>
  <c r="N104" i="5"/>
  <c r="N106" i="5" s="1"/>
  <c r="O93" i="5"/>
  <c r="F93" i="5"/>
  <c r="E104" i="5"/>
  <c r="E106" i="5" s="1"/>
  <c r="E129" i="5" s="1"/>
  <c r="M71" i="5"/>
  <c r="M75" i="5" s="1"/>
  <c r="N72" i="5"/>
  <c r="P78" i="5"/>
  <c r="P85" i="5" s="1"/>
  <c r="O87" i="5"/>
  <c r="N63" i="5"/>
  <c r="M65" i="5"/>
  <c r="M67" i="5" s="1"/>
  <c r="I44" i="68" l="1"/>
  <c r="I45" i="68" s="1"/>
  <c r="I12" i="68"/>
  <c r="K40" i="68"/>
  <c r="J42" i="68"/>
  <c r="J43" i="68" s="1"/>
  <c r="N21" i="5"/>
  <c r="N26" i="5"/>
  <c r="O24" i="5"/>
  <c r="O26" i="5" s="1"/>
  <c r="M33" i="5"/>
  <c r="N9" i="68"/>
  <c r="N10" i="68" s="1"/>
  <c r="O10" i="5"/>
  <c r="O8" i="68"/>
  <c r="L135" i="5"/>
  <c r="L138" i="5"/>
  <c r="L142" i="5" s="1"/>
  <c r="L144" i="5" s="1"/>
  <c r="O12" i="5"/>
  <c r="N133" i="5"/>
  <c r="K138" i="5"/>
  <c r="K142" i="5" s="1"/>
  <c r="K144" i="5" s="1"/>
  <c r="K135" i="5"/>
  <c r="N129" i="5"/>
  <c r="N23" i="5"/>
  <c r="O30" i="5"/>
  <c r="N134" i="5"/>
  <c r="N143" i="5"/>
  <c r="N29" i="5"/>
  <c r="M90" i="5"/>
  <c r="O124" i="5"/>
  <c r="O126" i="5" s="1"/>
  <c r="O109" i="5"/>
  <c r="O113" i="5" s="1"/>
  <c r="G109" i="5"/>
  <c r="G113" i="5" s="1"/>
  <c r="F104" i="5"/>
  <c r="F106" i="5" s="1"/>
  <c r="F129" i="5" s="1"/>
  <c r="G93" i="5"/>
  <c r="O104" i="5"/>
  <c r="O106" i="5" s="1"/>
  <c r="P93" i="5"/>
  <c r="O72" i="5"/>
  <c r="N71" i="5"/>
  <c r="N75" i="5" s="1"/>
  <c r="Q78" i="5"/>
  <c r="Q85" i="5" s="1"/>
  <c r="P87" i="5"/>
  <c r="O63" i="5"/>
  <c r="N65" i="5"/>
  <c r="N67" i="5" s="1"/>
  <c r="J44" i="68" l="1"/>
  <c r="J45" i="68" s="1"/>
  <c r="J12" i="68"/>
  <c r="L40" i="68"/>
  <c r="K42" i="68"/>
  <c r="K43" i="68" s="1"/>
  <c r="P24" i="5"/>
  <c r="P26" i="5" s="1"/>
  <c r="O21" i="5"/>
  <c r="O23" i="5" s="1"/>
  <c r="P10" i="5"/>
  <c r="P21" i="5" s="1"/>
  <c r="P8" i="68"/>
  <c r="N33" i="5"/>
  <c r="O9" i="68"/>
  <c r="O10" i="68" s="1"/>
  <c r="N51" i="5"/>
  <c r="O129" i="5"/>
  <c r="K145" i="5"/>
  <c r="P30" i="5"/>
  <c r="O134" i="5"/>
  <c r="O143" i="5"/>
  <c r="O29" i="5"/>
  <c r="P12" i="5"/>
  <c r="O133" i="5"/>
  <c r="L145" i="5"/>
  <c r="N90" i="5"/>
  <c r="H124" i="5"/>
  <c r="H126" i="5" s="1"/>
  <c r="H109" i="5"/>
  <c r="H113" i="5" s="1"/>
  <c r="P109" i="5"/>
  <c r="P113" i="5" s="1"/>
  <c r="P104" i="5"/>
  <c r="P106" i="5" s="1"/>
  <c r="Q93" i="5"/>
  <c r="H93" i="5"/>
  <c r="G104" i="5"/>
  <c r="G106" i="5" s="1"/>
  <c r="R78" i="5"/>
  <c r="R85" i="5" s="1"/>
  <c r="Q87" i="5"/>
  <c r="P72" i="5"/>
  <c r="Q72" i="5" s="1"/>
  <c r="O71" i="5"/>
  <c r="O75" i="5" s="1"/>
  <c r="P63" i="5"/>
  <c r="O65" i="5"/>
  <c r="O67" i="5" s="1"/>
  <c r="K44" i="68" l="1"/>
  <c r="K45" i="68" s="1"/>
  <c r="K12" i="68"/>
  <c r="M40" i="68"/>
  <c r="L42" i="68"/>
  <c r="L43" i="68" s="1"/>
  <c r="Q24" i="5"/>
  <c r="Q26" i="5" s="1"/>
  <c r="Q10" i="5"/>
  <c r="Q8" i="68"/>
  <c r="O33" i="5"/>
  <c r="O51" i="5" s="1"/>
  <c r="P9" i="68"/>
  <c r="P10" i="68" s="1"/>
  <c r="N131" i="5"/>
  <c r="O90" i="5"/>
  <c r="N135" i="5"/>
  <c r="N138" i="5"/>
  <c r="N142" i="5" s="1"/>
  <c r="N144" i="5" s="1"/>
  <c r="N145" i="5" s="1"/>
  <c r="Q30" i="5"/>
  <c r="P134" i="5"/>
  <c r="P143" i="5"/>
  <c r="Q12" i="5"/>
  <c r="P133" i="5"/>
  <c r="Q124" i="5"/>
  <c r="Q126" i="5" s="1"/>
  <c r="I124" i="5"/>
  <c r="I126" i="5" s="1"/>
  <c r="J109" i="5"/>
  <c r="J113" i="5" s="1"/>
  <c r="I109" i="5"/>
  <c r="I113" i="5" s="1"/>
  <c r="R109" i="5"/>
  <c r="R113" i="5" s="1"/>
  <c r="Q109" i="5"/>
  <c r="Q113" i="5" s="1"/>
  <c r="I93" i="5"/>
  <c r="H104" i="5"/>
  <c r="H106" i="5" s="1"/>
  <c r="H129" i="5" s="1"/>
  <c r="Q104" i="5"/>
  <c r="Q106" i="5" s="1"/>
  <c r="R93" i="5"/>
  <c r="R104" i="5" s="1"/>
  <c r="R106" i="5" s="1"/>
  <c r="R72" i="5"/>
  <c r="Q71" i="5"/>
  <c r="Q75" i="5" s="1"/>
  <c r="Q63" i="5"/>
  <c r="L44" i="68" l="1"/>
  <c r="L45" i="68" s="1"/>
  <c r="L12" i="68"/>
  <c r="L13" i="68" s="1"/>
  <c r="E24" i="11" s="1"/>
  <c r="N40" i="68"/>
  <c r="M42" i="68"/>
  <c r="M43" i="68" s="1"/>
  <c r="Q21" i="5"/>
  <c r="R24" i="5"/>
  <c r="R26" i="5" s="1"/>
  <c r="O131" i="5"/>
  <c r="R10" i="5"/>
  <c r="S8" i="68" s="1"/>
  <c r="R8" i="68"/>
  <c r="O138" i="5"/>
  <c r="O142" i="5" s="1"/>
  <c r="O144" i="5" s="1"/>
  <c r="O135" i="5"/>
  <c r="O145" i="5" s="1"/>
  <c r="R12" i="5"/>
  <c r="Q133" i="5"/>
  <c r="Q23" i="5"/>
  <c r="R30" i="5"/>
  <c r="R29" i="5" s="1"/>
  <c r="Q143" i="5"/>
  <c r="Q134" i="5"/>
  <c r="Q29" i="5"/>
  <c r="Q129" i="5"/>
  <c r="J93" i="5"/>
  <c r="J104" i="5" s="1"/>
  <c r="J106" i="5" s="1"/>
  <c r="I104" i="5"/>
  <c r="I106" i="5" s="1"/>
  <c r="I129" i="5" s="1"/>
  <c r="R63" i="5"/>
  <c r="Q65" i="5"/>
  <c r="Q67" i="5" s="1"/>
  <c r="Q90" i="5" s="1"/>
  <c r="M44" i="68" l="1"/>
  <c r="M45" i="68" s="1"/>
  <c r="M12" i="68"/>
  <c r="M13" i="68" s="1"/>
  <c r="E25" i="11" s="1"/>
  <c r="O40" i="68"/>
  <c r="N42" i="68"/>
  <c r="N43" i="68" s="1"/>
  <c r="R21" i="5"/>
  <c r="R33" i="5"/>
  <c r="S9" i="68"/>
  <c r="Q33" i="5"/>
  <c r="R9" i="68"/>
  <c r="R10" i="68" s="1"/>
  <c r="S10" i="68"/>
  <c r="Q51" i="5"/>
  <c r="Q131" i="5"/>
  <c r="N44" i="68" l="1"/>
  <c r="N45" i="68" s="1"/>
  <c r="N12" i="68"/>
  <c r="N13" i="68" s="1"/>
  <c r="E26" i="11" s="1"/>
  <c r="P40" i="68"/>
  <c r="O42" i="68"/>
  <c r="O43" i="68" s="1"/>
  <c r="Q138" i="5"/>
  <c r="Q142" i="5" s="1"/>
  <c r="Q144" i="5" s="1"/>
  <c r="Q135" i="5"/>
  <c r="O44" i="68" l="1"/>
  <c r="O45" i="68" s="1"/>
  <c r="O12" i="68"/>
  <c r="O13" i="68" s="1"/>
  <c r="E27" i="11" s="1"/>
  <c r="Q40" i="68"/>
  <c r="P42" i="68"/>
  <c r="P43" i="68" s="1"/>
  <c r="Q145" i="5"/>
  <c r="D61" i="13"/>
  <c r="D60" i="13"/>
  <c r="D59" i="13"/>
  <c r="D58" i="13"/>
  <c r="O36" i="13"/>
  <c r="A35" i="13"/>
  <c r="A36" i="13"/>
  <c r="A37" i="13" s="1"/>
  <c r="A34" i="13"/>
  <c r="C19" i="12"/>
  <c r="P44" i="68" l="1"/>
  <c r="P45" i="68" s="1"/>
  <c r="P12" i="68"/>
  <c r="P13" i="68" s="1"/>
  <c r="E28" i="11" s="1"/>
  <c r="R40" i="68"/>
  <c r="Q42" i="68"/>
  <c r="Q43" i="68" s="1"/>
  <c r="E35" i="66"/>
  <c r="E34" i="66"/>
  <c r="B34" i="66"/>
  <c r="B35" i="66" s="1"/>
  <c r="E33" i="66"/>
  <c r="B33" i="66"/>
  <c r="B28" i="66"/>
  <c r="E27" i="66"/>
  <c r="C27" i="66"/>
  <c r="B27" i="66"/>
  <c r="E26" i="66"/>
  <c r="C26" i="66"/>
  <c r="B26" i="66"/>
  <c r="E25" i="66"/>
  <c r="C25" i="66"/>
  <c r="E24" i="66"/>
  <c r="C24" i="66"/>
  <c r="B24" i="66"/>
  <c r="B25" i="66" s="1"/>
  <c r="E23" i="66"/>
  <c r="C23" i="66"/>
  <c r="E22" i="66"/>
  <c r="C22" i="66"/>
  <c r="B22" i="66"/>
  <c r="B23" i="66" s="1"/>
  <c r="E21" i="66"/>
  <c r="C21" i="66"/>
  <c r="E20" i="66"/>
  <c r="C20" i="66"/>
  <c r="B20" i="66"/>
  <c r="B21" i="66" s="1"/>
  <c r="E19" i="66"/>
  <c r="C19" i="66"/>
  <c r="E18" i="66"/>
  <c r="C18" i="66"/>
  <c r="B18" i="66"/>
  <c r="B19" i="66" s="1"/>
  <c r="E17" i="66"/>
  <c r="C17" i="66"/>
  <c r="E16" i="66"/>
  <c r="C16" i="66"/>
  <c r="B16" i="66"/>
  <c r="B17" i="66" s="1"/>
  <c r="E15" i="66"/>
  <c r="C15" i="66"/>
  <c r="E14" i="66"/>
  <c r="C14" i="66"/>
  <c r="B14" i="66"/>
  <c r="B15" i="66" s="1"/>
  <c r="E13" i="66"/>
  <c r="C13" i="66"/>
  <c r="E12" i="66"/>
  <c r="C12" i="66"/>
  <c r="B12" i="66"/>
  <c r="B13" i="66" s="1"/>
  <c r="E11" i="66"/>
  <c r="E10" i="66"/>
  <c r="E9" i="66"/>
  <c r="B9" i="66"/>
  <c r="B10" i="66" s="1"/>
  <c r="B11" i="66" s="1"/>
  <c r="E8" i="66"/>
  <c r="E7" i="66"/>
  <c r="B7" i="66"/>
  <c r="B8" i="66" s="1"/>
  <c r="E6" i="66"/>
  <c r="E5" i="66"/>
  <c r="B5" i="66"/>
  <c r="B6" i="66" s="1"/>
  <c r="Q44" i="68" l="1"/>
  <c r="Q45" i="68" s="1"/>
  <c r="Q12" i="68"/>
  <c r="S40" i="68"/>
  <c r="S42" i="68" s="1"/>
  <c r="S43" i="68" s="1"/>
  <c r="R42" i="68"/>
  <c r="R43" i="68" s="1"/>
  <c r="Y5" i="47"/>
  <c r="Y3" i="47"/>
  <c r="Y4" i="47"/>
  <c r="F16" i="19"/>
  <c r="F16" i="18"/>
  <c r="F16" i="17"/>
  <c r="F16" i="53"/>
  <c r="F16" i="52"/>
  <c r="F16" i="51"/>
  <c r="R44" i="68" l="1"/>
  <c r="R45" i="68" s="1"/>
  <c r="R12" i="68"/>
  <c r="R13" i="68" s="1"/>
  <c r="E30" i="11" s="1"/>
  <c r="S44" i="68"/>
  <c r="S45" i="68" s="1"/>
  <c r="S12" i="68"/>
  <c r="S13" i="68" s="1"/>
  <c r="A8" i="59"/>
  <c r="Y60" i="45"/>
  <c r="X60" i="45"/>
  <c r="W60" i="45"/>
  <c r="V60" i="45"/>
  <c r="U60" i="45"/>
  <c r="M60" i="45"/>
  <c r="R58" i="45" a="1"/>
  <c r="R58" i="45" s="1"/>
  <c r="Q58" i="45"/>
  <c r="P58" i="45"/>
  <c r="N58" i="45"/>
  <c r="H58" i="45"/>
  <c r="C58" i="45"/>
  <c r="T57" i="45"/>
  <c r="R57" i="45" a="1"/>
  <c r="R57" i="45" s="1"/>
  <c r="Z57" i="45" s="1"/>
  <c r="N57" i="45"/>
  <c r="H57" i="45"/>
  <c r="C57" i="45"/>
  <c r="S56" i="45"/>
  <c r="R56" i="45" a="1"/>
  <c r="R56" i="45" s="1"/>
  <c r="Q56" i="45"/>
  <c r="Z56" i="45" s="1"/>
  <c r="P56" i="45"/>
  <c r="N56" i="45"/>
  <c r="H56" i="45"/>
  <c r="C56" i="45"/>
  <c r="S55" i="45"/>
  <c r="R55" i="45" a="1"/>
  <c r="R55" i="45" s="1"/>
  <c r="Q55" i="45"/>
  <c r="P55" i="45"/>
  <c r="N55" i="45"/>
  <c r="Z55" i="45" s="1"/>
  <c r="H55" i="45"/>
  <c r="C55" i="45"/>
  <c r="R54" i="45" a="1"/>
  <c r="R54" i="45" s="1"/>
  <c r="Q54" i="45"/>
  <c r="P54" i="45"/>
  <c r="N54" i="45"/>
  <c r="T54" i="45" s="1"/>
  <c r="H54" i="45"/>
  <c r="C54" i="45"/>
  <c r="S53" i="45"/>
  <c r="R53" i="45" a="1"/>
  <c r="R53" i="45" s="1"/>
  <c r="Q53" i="45"/>
  <c r="P53" i="45"/>
  <c r="Z53" i="45" s="1"/>
  <c r="N53" i="45"/>
  <c r="H53" i="45"/>
  <c r="C53" i="45"/>
  <c r="R52" i="45"/>
  <c r="R52" i="45" a="1"/>
  <c r="Q52" i="45"/>
  <c r="P52" i="45"/>
  <c r="N52" i="45"/>
  <c r="H52" i="45"/>
  <c r="C52" i="45"/>
  <c r="R51" i="45" a="1"/>
  <c r="R51" i="45" s="1"/>
  <c r="Q51" i="45"/>
  <c r="P51" i="45"/>
  <c r="L51" i="45"/>
  <c r="L60" i="45" s="1"/>
  <c r="H51" i="45"/>
  <c r="C51" i="45"/>
  <c r="S50" i="45"/>
  <c r="R50" i="45" a="1"/>
  <c r="R50" i="45" s="1"/>
  <c r="Q50" i="45"/>
  <c r="P50" i="45"/>
  <c r="Z50" i="45" s="1"/>
  <c r="N50" i="45"/>
  <c r="H50" i="45"/>
  <c r="C50" i="45"/>
  <c r="R49" i="45"/>
  <c r="R49" i="45" a="1"/>
  <c r="Q49" i="45"/>
  <c r="P49" i="45"/>
  <c r="N49" i="45"/>
  <c r="H49" i="45"/>
  <c r="C49" i="45"/>
  <c r="S48" i="45"/>
  <c r="R48" i="45" a="1"/>
  <c r="R48" i="45" s="1"/>
  <c r="Z48" i="45" s="1"/>
  <c r="Q48" i="45"/>
  <c r="P48" i="45"/>
  <c r="N48" i="45"/>
  <c r="H48" i="45"/>
  <c r="C48" i="45"/>
  <c r="R47" i="45" a="1"/>
  <c r="R47" i="45" s="1"/>
  <c r="Q47" i="45"/>
  <c r="P47" i="45"/>
  <c r="N47" i="45"/>
  <c r="H47" i="45"/>
  <c r="C47" i="45"/>
  <c r="R46" i="45" a="1"/>
  <c r="R46" i="45" s="1"/>
  <c r="Q46" i="45"/>
  <c r="P46" i="45"/>
  <c r="N46" i="45"/>
  <c r="H46" i="45"/>
  <c r="C46" i="45"/>
  <c r="S45" i="45"/>
  <c r="R45" i="45"/>
  <c r="Z45" i="45" s="1"/>
  <c r="R45" i="45" a="1"/>
  <c r="Q45" i="45"/>
  <c r="P45" i="45"/>
  <c r="N45" i="45"/>
  <c r="H45" i="45"/>
  <c r="C45" i="45"/>
  <c r="R44" i="45" a="1"/>
  <c r="R44" i="45" s="1"/>
  <c r="Q44" i="45"/>
  <c r="P44" i="45"/>
  <c r="N44" i="45"/>
  <c r="H44" i="45"/>
  <c r="C44" i="45"/>
  <c r="S43" i="45"/>
  <c r="R43" i="45" a="1"/>
  <c r="R43" i="45" s="1"/>
  <c r="Q43" i="45"/>
  <c r="P43" i="45"/>
  <c r="N43" i="45"/>
  <c r="H43" i="45"/>
  <c r="C43" i="45"/>
  <c r="R42" i="45" a="1"/>
  <c r="R42" i="45" s="1"/>
  <c r="Q42" i="45"/>
  <c r="P42" i="45"/>
  <c r="H42" i="45"/>
  <c r="K42" i="45" s="1"/>
  <c r="C42" i="45"/>
  <c r="R41" i="45" a="1"/>
  <c r="R41" i="45" s="1"/>
  <c r="Q41" i="45"/>
  <c r="P41" i="45"/>
  <c r="N41" i="45"/>
  <c r="H41" i="45"/>
  <c r="C41" i="45"/>
  <c r="S40" i="45"/>
  <c r="R40" i="45" a="1"/>
  <c r="R40" i="45" s="1"/>
  <c r="Q40" i="45"/>
  <c r="P40" i="45"/>
  <c r="N40" i="45"/>
  <c r="Z40" i="45" s="1"/>
  <c r="H40" i="45"/>
  <c r="C40" i="45"/>
  <c r="S39" i="45"/>
  <c r="R39" i="45" a="1"/>
  <c r="R39" i="45" s="1"/>
  <c r="Z39" i="45" s="1"/>
  <c r="Q39" i="45"/>
  <c r="P39" i="45"/>
  <c r="N39" i="45"/>
  <c r="H39" i="45"/>
  <c r="C39" i="45"/>
  <c r="R38" i="45" a="1"/>
  <c r="R38" i="45" s="1"/>
  <c r="Q38" i="45"/>
  <c r="P38" i="45"/>
  <c r="N38" i="45"/>
  <c r="H38" i="45"/>
  <c r="C38" i="45"/>
  <c r="T37" i="45"/>
  <c r="R37" i="45"/>
  <c r="R37" i="45" a="1"/>
  <c r="Q37" i="45"/>
  <c r="P37" i="45"/>
  <c r="N37" i="45"/>
  <c r="Z37" i="45" s="1"/>
  <c r="H37" i="45"/>
  <c r="C37" i="45"/>
  <c r="S36" i="45"/>
  <c r="R36" i="45" a="1"/>
  <c r="R36" i="45" s="1"/>
  <c r="Q36" i="45"/>
  <c r="Z36" i="45" s="1"/>
  <c r="P36" i="45"/>
  <c r="N36" i="45"/>
  <c r="H36" i="45"/>
  <c r="C36" i="45"/>
  <c r="R35" i="45" a="1"/>
  <c r="R35" i="45" s="1"/>
  <c r="Q35" i="45"/>
  <c r="P35" i="45"/>
  <c r="N35" i="45"/>
  <c r="S35" i="45" s="1"/>
  <c r="H35" i="45"/>
  <c r="C35" i="45"/>
  <c r="R34" i="45" a="1"/>
  <c r="R34" i="45" s="1"/>
  <c r="Q34" i="45"/>
  <c r="P34" i="45"/>
  <c r="I34" i="45"/>
  <c r="N34" i="45" s="1"/>
  <c r="S34" i="45" s="1"/>
  <c r="C34" i="45"/>
  <c r="R33" i="45" a="1"/>
  <c r="R33" i="45" s="1"/>
  <c r="Q33" i="45"/>
  <c r="P33" i="45"/>
  <c r="N33" i="45"/>
  <c r="H33" i="45"/>
  <c r="C33" i="45"/>
  <c r="R32" i="45" a="1"/>
  <c r="R32" i="45" s="1"/>
  <c r="Q32" i="45"/>
  <c r="P32" i="45"/>
  <c r="N32" i="45"/>
  <c r="H32" i="45"/>
  <c r="C32" i="45"/>
  <c r="S31" i="45"/>
  <c r="R31" i="45"/>
  <c r="Z31" i="45" s="1"/>
  <c r="R31" i="45" a="1"/>
  <c r="Q31" i="45"/>
  <c r="P31" i="45"/>
  <c r="N31" i="45"/>
  <c r="H31" i="45"/>
  <c r="C31" i="45"/>
  <c r="R30" i="45" a="1"/>
  <c r="R30" i="45" s="1"/>
  <c r="Q30" i="45"/>
  <c r="P30" i="45"/>
  <c r="N30" i="45"/>
  <c r="H30" i="45"/>
  <c r="C30" i="45"/>
  <c r="R29" i="45" a="1"/>
  <c r="R29" i="45" s="1"/>
  <c r="Q29" i="45"/>
  <c r="P29" i="45"/>
  <c r="N29" i="45"/>
  <c r="S29" i="45" s="1"/>
  <c r="H29" i="45"/>
  <c r="C29" i="45"/>
  <c r="S28" i="45"/>
  <c r="R28" i="45" a="1"/>
  <c r="R28" i="45" s="1"/>
  <c r="Z28" i="45" s="1"/>
  <c r="Q28" i="45"/>
  <c r="P28" i="45"/>
  <c r="N28" i="45"/>
  <c r="J28" i="45"/>
  <c r="C28" i="45"/>
  <c r="R27" i="45" a="1"/>
  <c r="R27" i="45" s="1"/>
  <c r="Q27" i="45"/>
  <c r="P27" i="45"/>
  <c r="N27" i="45"/>
  <c r="H27" i="45"/>
  <c r="C27" i="45"/>
  <c r="S26" i="45"/>
  <c r="R26" i="45"/>
  <c r="R26" i="45" a="1"/>
  <c r="Q26" i="45"/>
  <c r="P26" i="45"/>
  <c r="N26" i="45"/>
  <c r="Z26" i="45" s="1"/>
  <c r="H26" i="45"/>
  <c r="C26" i="45"/>
  <c r="S25" i="45"/>
  <c r="R25" i="45" a="1"/>
  <c r="R25" i="45" s="1"/>
  <c r="Q25" i="45"/>
  <c r="P25" i="45"/>
  <c r="N25" i="45"/>
  <c r="H25" i="45"/>
  <c r="C25" i="45"/>
  <c r="R24" i="45" a="1"/>
  <c r="R24" i="45" s="1"/>
  <c r="Q24" i="45"/>
  <c r="P24" i="45"/>
  <c r="N24" i="45"/>
  <c r="S24" i="45" s="1"/>
  <c r="H24" i="45"/>
  <c r="C24" i="45"/>
  <c r="R23" i="45" a="1"/>
  <c r="R23" i="45" s="1"/>
  <c r="Q23" i="45"/>
  <c r="P23" i="45"/>
  <c r="N23" i="45"/>
  <c r="T23" i="45" s="1"/>
  <c r="H23" i="45"/>
  <c r="C23" i="45"/>
  <c r="T22" i="45"/>
  <c r="R22" i="45" a="1"/>
  <c r="R22" i="45" s="1"/>
  <c r="Q22" i="45"/>
  <c r="P22" i="45"/>
  <c r="Z22" i="45" s="1"/>
  <c r="N22" i="45"/>
  <c r="H22" i="45"/>
  <c r="C22" i="45"/>
  <c r="R21" i="45"/>
  <c r="R21" i="45" a="1"/>
  <c r="Q21" i="45"/>
  <c r="P21" i="45"/>
  <c r="N21" i="45"/>
  <c r="H21" i="45"/>
  <c r="C21" i="45"/>
  <c r="R20" i="45" a="1"/>
  <c r="R20" i="45" s="1"/>
  <c r="Z20" i="45" s="1"/>
  <c r="Q20" i="45"/>
  <c r="P20" i="45"/>
  <c r="N20" i="45"/>
  <c r="H20" i="45"/>
  <c r="C20" i="45"/>
  <c r="R19" i="45" a="1"/>
  <c r="R19" i="45" s="1"/>
  <c r="Q19" i="45"/>
  <c r="P19" i="45"/>
  <c r="N19" i="45"/>
  <c r="T19" i="45" s="1"/>
  <c r="H19" i="45"/>
  <c r="C19" i="45"/>
  <c r="R18" i="45" a="1"/>
  <c r="R18" i="45" s="1"/>
  <c r="Q18" i="45"/>
  <c r="P18" i="45"/>
  <c r="N18" i="45"/>
  <c r="H18" i="45"/>
  <c r="C18" i="45"/>
  <c r="S17" i="45"/>
  <c r="Q17" i="45"/>
  <c r="Z17" i="45" s="1"/>
  <c r="P17" i="45"/>
  <c r="N17" i="45"/>
  <c r="H17" i="45"/>
  <c r="C17" i="45"/>
  <c r="Q16" i="45"/>
  <c r="P16" i="45"/>
  <c r="J16" i="45"/>
  <c r="N16" i="45" s="1"/>
  <c r="S15" i="45"/>
  <c r="Q15" i="45"/>
  <c r="P15" i="45"/>
  <c r="Z15" i="45" s="1"/>
  <c r="N15" i="45"/>
  <c r="H15" i="45"/>
  <c r="C15" i="45"/>
  <c r="Q14" i="45"/>
  <c r="P14" i="45"/>
  <c r="N14" i="45"/>
  <c r="H14" i="45"/>
  <c r="C14" i="45"/>
  <c r="S13" i="45"/>
  <c r="Q13" i="45"/>
  <c r="P13" i="45"/>
  <c r="Z13" i="45" s="1"/>
  <c r="N13" i="45"/>
  <c r="H13" i="45"/>
  <c r="C13" i="45"/>
  <c r="Q12" i="45"/>
  <c r="P12" i="45"/>
  <c r="N12" i="45"/>
  <c r="H12" i="45"/>
  <c r="C12" i="45"/>
  <c r="S11" i="45"/>
  <c r="Q11" i="45"/>
  <c r="P11" i="45"/>
  <c r="Z11" i="45" s="1"/>
  <c r="N11" i="45"/>
  <c r="H11" i="45"/>
  <c r="C11" i="45"/>
  <c r="Q10" i="45"/>
  <c r="P10" i="45"/>
  <c r="N10" i="45"/>
  <c r="H10" i="45"/>
  <c r="C10" i="45"/>
  <c r="S9" i="45"/>
  <c r="Q9" i="45"/>
  <c r="P9" i="45"/>
  <c r="Z9" i="45" s="1"/>
  <c r="N9" i="45"/>
  <c r="H9" i="45"/>
  <c r="C9" i="45"/>
  <c r="Q8" i="45"/>
  <c r="P8" i="45"/>
  <c r="N8" i="45"/>
  <c r="H8" i="45"/>
  <c r="Q7" i="45"/>
  <c r="P7" i="45"/>
  <c r="N7" i="45"/>
  <c r="S7" i="45" s="1"/>
  <c r="J7" i="45"/>
  <c r="J60" i="45" s="1"/>
  <c r="I7" i="45"/>
  <c r="Q6" i="45"/>
  <c r="P6" i="45"/>
  <c r="Z6" i="45" s="1"/>
  <c r="N6" i="45"/>
  <c r="S6" i="45" s="1"/>
  <c r="H6" i="45"/>
  <c r="Q5" i="45"/>
  <c r="P5" i="45"/>
  <c r="N5" i="45"/>
  <c r="H5" i="45"/>
  <c r="C5" i="45"/>
  <c r="Q4" i="45"/>
  <c r="P4" i="45"/>
  <c r="N4" i="45"/>
  <c r="H4" i="45"/>
  <c r="Q3" i="45"/>
  <c r="P3" i="45"/>
  <c r="H3" i="45"/>
  <c r="I3" i="45" s="1"/>
  <c r="C3" i="45"/>
  <c r="Q2" i="45"/>
  <c r="P2" i="45"/>
  <c r="N2" i="45"/>
  <c r="H2" i="45"/>
  <c r="Z54" i="45" l="1"/>
  <c r="N42" i="45"/>
  <c r="K60" i="45"/>
  <c r="Z30" i="45"/>
  <c r="Z58" i="45"/>
  <c r="Z18" i="45"/>
  <c r="Z44" i="45"/>
  <c r="S63" i="45"/>
  <c r="T65" i="45"/>
  <c r="T64" i="45"/>
  <c r="T66" i="45"/>
  <c r="S66" i="45"/>
  <c r="I60" i="45"/>
  <c r="N3" i="45"/>
  <c r="Z41" i="45"/>
  <c r="Z8" i="45"/>
  <c r="S16" i="45"/>
  <c r="Z16" i="45"/>
  <c r="Z5" i="45"/>
  <c r="Z25" i="45"/>
  <c r="Z29" i="45"/>
  <c r="Z49" i="45"/>
  <c r="Z47" i="45"/>
  <c r="Z23" i="45"/>
  <c r="Z43" i="45"/>
  <c r="Z7" i="45"/>
  <c r="S33" i="45"/>
  <c r="Z33" i="45" s="1"/>
  <c r="S47" i="45"/>
  <c r="S58" i="45"/>
  <c r="S5" i="45"/>
  <c r="Z19" i="45"/>
  <c r="S30" i="45"/>
  <c r="S41" i="45"/>
  <c r="S44" i="45"/>
  <c r="S27" i="45"/>
  <c r="S38" i="45"/>
  <c r="Z38" i="45" s="1"/>
  <c r="T8" i="45"/>
  <c r="S10" i="45"/>
  <c r="Z10" i="45" s="1"/>
  <c r="S12" i="45"/>
  <c r="Z12" i="45" s="1"/>
  <c r="S14" i="45"/>
  <c r="Z14" i="45" s="1"/>
  <c r="T21" i="45"/>
  <c r="T63" i="45" s="1"/>
  <c r="Z24" i="45"/>
  <c r="Z35" i="45"/>
  <c r="S49" i="45"/>
  <c r="N51" i="45"/>
  <c r="S52" i="45"/>
  <c r="Z52" i="45" s="1"/>
  <c r="S18" i="45"/>
  <c r="S32" i="45"/>
  <c r="Z32" i="45" s="1"/>
  <c r="S46" i="45"/>
  <c r="Z46" i="45" s="1"/>
  <c r="T2" i="45"/>
  <c r="S4" i="45"/>
  <c r="Z4" i="45" s="1"/>
  <c r="T62" i="45" l="1"/>
  <c r="T60" i="45"/>
  <c r="Z27" i="45"/>
  <c r="AA66" i="45"/>
  <c r="U66" i="45"/>
  <c r="S42" i="45"/>
  <c r="S64" i="45" s="1"/>
  <c r="Z42" i="45"/>
  <c r="S51" i="45"/>
  <c r="S65" i="45" s="1"/>
  <c r="Z21" i="45"/>
  <c r="Z2" i="45"/>
  <c r="AA63" i="45"/>
  <c r="AC63" i="45" s="1"/>
  <c r="U63" i="45"/>
  <c r="N60" i="45"/>
  <c r="Z3" i="45"/>
  <c r="S3" i="45"/>
  <c r="U65" i="45" l="1"/>
  <c r="AA65" i="45"/>
  <c r="AC65" i="45" s="1"/>
  <c r="AA64" i="45"/>
  <c r="AC64" i="45" s="1"/>
  <c r="U64" i="45"/>
  <c r="Z51" i="45"/>
  <c r="S60" i="45"/>
  <c r="S62" i="45"/>
  <c r="T71" i="45"/>
  <c r="T67" i="45"/>
  <c r="T68" i="45" s="1"/>
  <c r="Z60" i="45"/>
  <c r="S71" i="45" l="1"/>
  <c r="AA62" i="45"/>
  <c r="AC62" i="45" s="1"/>
  <c r="U62" i="45"/>
  <c r="S67" i="45"/>
  <c r="U67" i="45" s="1"/>
  <c r="S68" i="45" l="1"/>
  <c r="R152" i="5"/>
  <c r="R151" i="5"/>
  <c r="R150" i="5"/>
  <c r="R153" i="5" l="1"/>
  <c r="F23" i="19" l="1"/>
  <c r="F23" i="18" l="1"/>
  <c r="K23" i="48"/>
  <c r="K22" i="48"/>
  <c r="I22" i="48"/>
  <c r="H27" i="60" l="1"/>
  <c r="H28" i="60" s="1"/>
  <c r="G27" i="60"/>
  <c r="I27" i="60" s="1"/>
  <c r="G26" i="60"/>
  <c r="G28" i="60" s="1"/>
  <c r="F26" i="60"/>
  <c r="G17" i="60"/>
  <c r="H16" i="60"/>
  <c r="H17" i="60" s="1"/>
  <c r="G16" i="60"/>
  <c r="I16" i="60" s="1"/>
  <c r="G15" i="60"/>
  <c r="H9" i="60"/>
  <c r="G9" i="60"/>
  <c r="F25" i="60"/>
  <c r="F28" i="60" s="1"/>
  <c r="E24" i="60"/>
  <c r="D30" i="60"/>
  <c r="D32" i="60" s="1"/>
  <c r="D24" i="60" s="1"/>
  <c r="F14" i="60"/>
  <c r="G21" i="48" s="1"/>
  <c r="E14" i="60"/>
  <c r="G20" i="48" s="1"/>
  <c r="D9" i="60"/>
  <c r="F9" i="60"/>
  <c r="E9" i="60"/>
  <c r="E4" i="60"/>
  <c r="F4" i="60" s="1"/>
  <c r="G4" i="60" s="1"/>
  <c r="H4" i="60" s="1"/>
  <c r="I26" i="60" l="1"/>
  <c r="I24" i="60"/>
  <c r="D28" i="60"/>
  <c r="I14" i="60"/>
  <c r="D19" i="60"/>
  <c r="D21" i="60" s="1"/>
  <c r="D13" i="60" s="1"/>
  <c r="E19" i="48" s="1"/>
  <c r="F15" i="60"/>
  <c r="I5" i="60"/>
  <c r="E13" i="60"/>
  <c r="I6" i="60"/>
  <c r="E25" i="60"/>
  <c r="I7" i="60"/>
  <c r="I25" i="60" l="1"/>
  <c r="I15" i="60"/>
  <c r="I21" i="48"/>
  <c r="I9" i="60"/>
  <c r="E17" i="60"/>
  <c r="E20" i="48"/>
  <c r="I13" i="60"/>
  <c r="I17" i="60" s="1"/>
  <c r="D17" i="60"/>
  <c r="E28" i="60"/>
  <c r="I28" i="60"/>
  <c r="F17" i="60"/>
  <c r="P5" i="59"/>
  <c r="P4" i="59"/>
  <c r="P3" i="59"/>
  <c r="P2" i="59"/>
  <c r="A16" i="59"/>
  <c r="L28" i="59"/>
  <c r="H28" i="59"/>
  <c r="C58" i="5"/>
  <c r="D58" i="5" s="1"/>
  <c r="E58" i="5" s="1"/>
  <c r="F58" i="5" s="1"/>
  <c r="G58" i="5" s="1"/>
  <c r="H58" i="5" s="1"/>
  <c r="I58" i="5" s="1"/>
  <c r="J58" i="5" s="1"/>
  <c r="F28" i="59"/>
  <c r="C14" i="5"/>
  <c r="D14" i="5" s="1"/>
  <c r="A22" i="59" l="1"/>
  <c r="A23" i="59" s="1"/>
  <c r="A24" i="59" s="1"/>
  <c r="A25" i="59" s="1"/>
  <c r="A26" i="59" s="1"/>
  <c r="A27" i="59" s="1"/>
  <c r="A28" i="59" s="1"/>
  <c r="A29" i="59" s="1"/>
  <c r="A30" i="59" s="1"/>
  <c r="A31" i="59" s="1"/>
  <c r="A34" i="59" s="1"/>
  <c r="A35" i="59" s="1"/>
  <c r="A36" i="59" s="1"/>
  <c r="A37" i="59" s="1"/>
  <c r="A40" i="59" s="1"/>
  <c r="A41" i="59" s="1"/>
  <c r="A42" i="59" s="1"/>
  <c r="A43" i="59" s="1"/>
  <c r="A44" i="59" s="1"/>
  <c r="A45" i="59" s="1"/>
  <c r="A46" i="59" s="1"/>
  <c r="A49" i="59" s="1"/>
  <c r="G31" i="11"/>
  <c r="E14" i="5"/>
  <c r="F14" i="5" s="1"/>
  <c r="G14" i="5" s="1"/>
  <c r="H14" i="5" s="1"/>
  <c r="I14" i="5" s="1"/>
  <c r="J14" i="5" s="1"/>
  <c r="J28" i="59"/>
  <c r="N28" i="59" s="1"/>
  <c r="F43" i="59"/>
  <c r="H43" i="59"/>
  <c r="L43" i="59"/>
  <c r="A50" i="59" l="1"/>
  <c r="C9" i="66"/>
  <c r="J43" i="59"/>
  <c r="N43" i="59" s="1"/>
  <c r="A51" i="59" l="1"/>
  <c r="C11" i="66" s="1"/>
  <c r="C10" i="66"/>
  <c r="R125" i="5"/>
  <c r="R127" i="5" s="1"/>
  <c r="R124" i="5" s="1"/>
  <c r="R44" i="5" l="1"/>
  <c r="R47" i="5" s="1"/>
  <c r="Y2" i="47" l="1"/>
  <c r="F2" i="19"/>
  <c r="H2" i="18"/>
  <c r="J2" i="17"/>
  <c r="L2" i="16"/>
  <c r="O2" i="15"/>
  <c r="F2" i="53"/>
  <c r="H2" i="52"/>
  <c r="J2" i="51"/>
  <c r="L2" i="50"/>
  <c r="O2" i="49"/>
  <c r="K2" i="48"/>
  <c r="M2" i="14"/>
  <c r="O2" i="13"/>
  <c r="G2" i="12"/>
  <c r="L25" i="59" l="1"/>
  <c r="L24" i="59"/>
  <c r="L27" i="59"/>
  <c r="L40" i="59"/>
  <c r="F42" i="59"/>
  <c r="H42" i="59"/>
  <c r="J42" i="59" l="1"/>
  <c r="H27" i="59"/>
  <c r="C64" i="5"/>
  <c r="D64" i="5" s="1"/>
  <c r="E64" i="5" s="1"/>
  <c r="F64" i="5" s="1"/>
  <c r="G64" i="5" s="1"/>
  <c r="H64" i="5" s="1"/>
  <c r="I64" i="5" s="1"/>
  <c r="J64" i="5" s="1"/>
  <c r="C63" i="5"/>
  <c r="D63" i="5" s="1"/>
  <c r="E63" i="5" s="1"/>
  <c r="F63" i="5" s="1"/>
  <c r="G63" i="5" s="1"/>
  <c r="H63" i="5" s="1"/>
  <c r="I63" i="5" s="1"/>
  <c r="J63" i="5" s="1"/>
  <c r="C62" i="5"/>
  <c r="D62" i="5" s="1"/>
  <c r="E62" i="5" s="1"/>
  <c r="F62" i="5" s="1"/>
  <c r="G62" i="5" s="1"/>
  <c r="H62" i="5" s="1"/>
  <c r="I62" i="5" s="1"/>
  <c r="J62" i="5" s="1"/>
  <c r="H24" i="59"/>
  <c r="C61" i="5"/>
  <c r="D61" i="5" s="1"/>
  <c r="E61" i="5" s="1"/>
  <c r="F61" i="5" s="1"/>
  <c r="G61" i="5" s="1"/>
  <c r="H61" i="5" s="1"/>
  <c r="I61" i="5" s="1"/>
  <c r="J61" i="5" s="1"/>
  <c r="F40" i="59"/>
  <c r="F24" i="59"/>
  <c r="C17" i="5"/>
  <c r="D17" i="5" s="1"/>
  <c r="C19" i="5"/>
  <c r="D19" i="5" s="1"/>
  <c r="C18" i="5"/>
  <c r="D18" i="5" s="1"/>
  <c r="F27" i="59"/>
  <c r="C20" i="5"/>
  <c r="D20" i="5" s="1"/>
  <c r="L44" i="59"/>
  <c r="L26" i="59"/>
  <c r="L22" i="59"/>
  <c r="J27" i="59" l="1"/>
  <c r="N27" i="59" s="1"/>
  <c r="E20" i="5"/>
  <c r="F20" i="5" s="1"/>
  <c r="G20" i="5" s="1"/>
  <c r="H20" i="5" s="1"/>
  <c r="I20" i="5" s="1"/>
  <c r="J20" i="5" s="1"/>
  <c r="E19" i="5"/>
  <c r="F19" i="5" s="1"/>
  <c r="G19" i="5" s="1"/>
  <c r="H19" i="5" s="1"/>
  <c r="I19" i="5" s="1"/>
  <c r="J19" i="5" s="1"/>
  <c r="E17" i="5"/>
  <c r="E18" i="5"/>
  <c r="F18" i="5" s="1"/>
  <c r="G18" i="5" s="1"/>
  <c r="H18" i="5" s="1"/>
  <c r="I18" i="5" s="1"/>
  <c r="J18" i="5" s="1"/>
  <c r="F25" i="59"/>
  <c r="J24" i="59"/>
  <c r="N24" i="59" s="1"/>
  <c r="L29" i="59"/>
  <c r="H40" i="59"/>
  <c r="J40" i="59" s="1"/>
  <c r="H25" i="59"/>
  <c r="L41" i="59"/>
  <c r="L36" i="59"/>
  <c r="L23" i="59"/>
  <c r="C72" i="5"/>
  <c r="D72" i="5" s="1"/>
  <c r="H44" i="59"/>
  <c r="H36" i="59"/>
  <c r="C73" i="5"/>
  <c r="D73" i="5" s="1"/>
  <c r="E73" i="5" s="1"/>
  <c r="F73" i="5" s="1"/>
  <c r="G73" i="5" s="1"/>
  <c r="H73" i="5" s="1"/>
  <c r="I73" i="5" s="1"/>
  <c r="J73" i="5" s="1"/>
  <c r="X67" i="5"/>
  <c r="W67" i="5"/>
  <c r="V67" i="5"/>
  <c r="U67" i="5"/>
  <c r="T67" i="5"/>
  <c r="S67" i="5"/>
  <c r="H22" i="59"/>
  <c r="C55" i="5"/>
  <c r="D55" i="5" s="1"/>
  <c r="E55" i="5" s="1"/>
  <c r="F55" i="5" s="1"/>
  <c r="G55" i="5" s="1"/>
  <c r="H55" i="5" s="1"/>
  <c r="I55" i="5" s="1"/>
  <c r="J55" i="5" s="1"/>
  <c r="H23" i="59"/>
  <c r="H15" i="59" s="1"/>
  <c r="C54" i="5"/>
  <c r="D54" i="5" s="1"/>
  <c r="E54" i="5" s="1"/>
  <c r="F54" i="5" s="1"/>
  <c r="G54" i="5" s="1"/>
  <c r="H54" i="5" s="1"/>
  <c r="I54" i="5" s="1"/>
  <c r="J54" i="5" s="1"/>
  <c r="C60" i="5"/>
  <c r="D60" i="5" s="1"/>
  <c r="E60" i="5" s="1"/>
  <c r="F60" i="5" s="1"/>
  <c r="G60" i="5" s="1"/>
  <c r="H60" i="5" s="1"/>
  <c r="I60" i="5" s="1"/>
  <c r="J60" i="5" s="1"/>
  <c r="C59" i="5"/>
  <c r="D59" i="5" s="1"/>
  <c r="E59" i="5" s="1"/>
  <c r="F59" i="5" s="1"/>
  <c r="G59" i="5" s="1"/>
  <c r="H59" i="5" s="1"/>
  <c r="I59" i="5" s="1"/>
  <c r="J59" i="5" s="1"/>
  <c r="C57" i="5"/>
  <c r="D57" i="5" s="1"/>
  <c r="E57" i="5" s="1"/>
  <c r="F57" i="5" s="1"/>
  <c r="G57" i="5" s="1"/>
  <c r="H57" i="5" s="1"/>
  <c r="I57" i="5" s="1"/>
  <c r="J57" i="5" s="1"/>
  <c r="C56" i="5"/>
  <c r="D56" i="5" s="1"/>
  <c r="E56" i="5" s="1"/>
  <c r="F56" i="5" s="1"/>
  <c r="G56" i="5" s="1"/>
  <c r="H56" i="5" s="1"/>
  <c r="I56" i="5" s="1"/>
  <c r="J56" i="5" s="1"/>
  <c r="C47" i="5"/>
  <c r="F44" i="59"/>
  <c r="C36" i="5"/>
  <c r="C31" i="5"/>
  <c r="C30" i="5"/>
  <c r="C24" i="5"/>
  <c r="C26" i="5" s="1"/>
  <c r="C34" i="5"/>
  <c r="X23" i="5"/>
  <c r="W23" i="5"/>
  <c r="V23" i="5"/>
  <c r="U23" i="5"/>
  <c r="T23" i="5"/>
  <c r="S23" i="5"/>
  <c r="C10" i="5"/>
  <c r="D8" i="68" s="1"/>
  <c r="C11" i="5"/>
  <c r="D24" i="5" l="1"/>
  <c r="C134" i="5"/>
  <c r="C143" i="5"/>
  <c r="E72" i="5"/>
  <c r="P71" i="5"/>
  <c r="P75" i="5" s="1"/>
  <c r="F17" i="5"/>
  <c r="G17" i="5" s="1"/>
  <c r="H17" i="5" s="1"/>
  <c r="I17" i="5" s="1"/>
  <c r="J17" i="5" s="1"/>
  <c r="J25" i="59"/>
  <c r="N25" i="59" s="1"/>
  <c r="J44" i="59"/>
  <c r="N44" i="59" s="1"/>
  <c r="H29" i="59"/>
  <c r="H26" i="59"/>
  <c r="L15" i="59"/>
  <c r="N40" i="59"/>
  <c r="H41" i="59"/>
  <c r="D36" i="5"/>
  <c r="E36" i="5" s="1"/>
  <c r="F36" i="5" s="1"/>
  <c r="G36" i="5" s="1"/>
  <c r="H36" i="5" s="1"/>
  <c r="I36" i="5" s="1"/>
  <c r="J36" i="5" s="1"/>
  <c r="C46" i="5"/>
  <c r="D47" i="5"/>
  <c r="P46" i="5"/>
  <c r="D34" i="5"/>
  <c r="E34" i="5" s="1"/>
  <c r="D31" i="5"/>
  <c r="E31" i="5" s="1"/>
  <c r="F31" i="5" s="1"/>
  <c r="G31" i="5" s="1"/>
  <c r="H31" i="5" s="1"/>
  <c r="I31" i="5" s="1"/>
  <c r="J31" i="5" s="1"/>
  <c r="D11" i="5"/>
  <c r="E11" i="5" s="1"/>
  <c r="F11" i="5" s="1"/>
  <c r="G11" i="5" s="1"/>
  <c r="D10" i="5"/>
  <c r="C71" i="5"/>
  <c r="D71" i="5"/>
  <c r="C29" i="5"/>
  <c r="D9" i="68" s="1"/>
  <c r="D10" i="68" s="1"/>
  <c r="D13" i="68" s="1"/>
  <c r="D30" i="5"/>
  <c r="E24" i="5" l="1"/>
  <c r="E26" i="5" s="1"/>
  <c r="D26" i="5"/>
  <c r="E10" i="5"/>
  <c r="E8" i="68"/>
  <c r="E30" i="5"/>
  <c r="E29" i="5" s="1"/>
  <c r="D143" i="5"/>
  <c r="D134" i="5"/>
  <c r="F34" i="5"/>
  <c r="D46" i="5"/>
  <c r="E47" i="5"/>
  <c r="F72" i="5"/>
  <c r="E71" i="5"/>
  <c r="E75" i="5" s="1"/>
  <c r="H35" i="59"/>
  <c r="R71" i="5"/>
  <c r="P29" i="5"/>
  <c r="F41" i="59"/>
  <c r="F23" i="59"/>
  <c r="F22" i="59"/>
  <c r="H11" i="5"/>
  <c r="I11" i="5" s="1"/>
  <c r="J11" i="5" s="1"/>
  <c r="F35" i="59"/>
  <c r="D29" i="5"/>
  <c r="E9" i="68" s="1"/>
  <c r="F24" i="5" l="1"/>
  <c r="F26" i="5" s="1"/>
  <c r="E33" i="5"/>
  <c r="F9" i="68"/>
  <c r="E10" i="68"/>
  <c r="E13" i="68" s="1"/>
  <c r="P33" i="5"/>
  <c r="Q9" i="68"/>
  <c r="Q10" i="68" s="1"/>
  <c r="Q13" i="68" s="1"/>
  <c r="E29" i="11" s="1"/>
  <c r="F10" i="5"/>
  <c r="F8" i="68"/>
  <c r="F10" i="68" s="1"/>
  <c r="F13" i="68" s="1"/>
  <c r="F30" i="5"/>
  <c r="F29" i="5" s="1"/>
  <c r="E143" i="5"/>
  <c r="E134" i="5"/>
  <c r="J35" i="59"/>
  <c r="G72" i="5"/>
  <c r="F71" i="5"/>
  <c r="F75" i="5" s="1"/>
  <c r="F47" i="5"/>
  <c r="E46" i="5"/>
  <c r="G34" i="5"/>
  <c r="H34" i="59"/>
  <c r="R75" i="5"/>
  <c r="R46" i="5"/>
  <c r="F36" i="59"/>
  <c r="J36" i="59" s="1"/>
  <c r="N36" i="59" s="1"/>
  <c r="F34" i="59"/>
  <c r="J41" i="59"/>
  <c r="F15" i="59"/>
  <c r="J23" i="59"/>
  <c r="N23" i="59" s="1"/>
  <c r="J22" i="59"/>
  <c r="G24" i="5" l="1"/>
  <c r="G26" i="5" s="1"/>
  <c r="F33" i="5"/>
  <c r="G9" i="68"/>
  <c r="G10" i="5"/>
  <c r="G8" i="68"/>
  <c r="G10" i="68" s="1"/>
  <c r="G13" i="68" s="1"/>
  <c r="E19" i="11" s="1"/>
  <c r="G30" i="5"/>
  <c r="G29" i="5" s="1"/>
  <c r="F134" i="5"/>
  <c r="F143" i="5"/>
  <c r="H34" i="5"/>
  <c r="G47" i="5"/>
  <c r="F46" i="5"/>
  <c r="G71" i="5"/>
  <c r="G75" i="5" s="1"/>
  <c r="H72" i="5"/>
  <c r="H16" i="59"/>
  <c r="H37" i="59"/>
  <c r="F45" i="59"/>
  <c r="F46" i="59" s="1"/>
  <c r="F16" i="59"/>
  <c r="F37" i="59"/>
  <c r="J34" i="59"/>
  <c r="N22" i="59"/>
  <c r="J15" i="59"/>
  <c r="N41" i="59"/>
  <c r="H24" i="5" l="1"/>
  <c r="H26" i="5" s="1"/>
  <c r="H8" i="68"/>
  <c r="H10" i="5"/>
  <c r="G33" i="5"/>
  <c r="H9" i="68"/>
  <c r="F17" i="59"/>
  <c r="H30" i="5"/>
  <c r="H29" i="5" s="1"/>
  <c r="G134" i="5"/>
  <c r="G143" i="5"/>
  <c r="H47" i="5"/>
  <c r="G46" i="5"/>
  <c r="J16" i="59"/>
  <c r="I72" i="5"/>
  <c r="H71" i="5"/>
  <c r="H75" i="5" s="1"/>
  <c r="I34" i="5"/>
  <c r="J37" i="59"/>
  <c r="N15" i="59"/>
  <c r="I24" i="5" l="1"/>
  <c r="I26" i="5" s="1"/>
  <c r="H33" i="5"/>
  <c r="I9" i="68"/>
  <c r="H17" i="59"/>
  <c r="H18" i="59" s="1"/>
  <c r="J17" i="59"/>
  <c r="N17" i="59" s="1"/>
  <c r="I8" i="68"/>
  <c r="I10" i="68" s="1"/>
  <c r="I13" i="68" s="1"/>
  <c r="E21" i="11" s="1"/>
  <c r="I10" i="5"/>
  <c r="H10" i="68"/>
  <c r="H13" i="68" s="1"/>
  <c r="E20" i="11" s="1"/>
  <c r="F18" i="59"/>
  <c r="E31" i="11" s="1"/>
  <c r="I30" i="5"/>
  <c r="I29" i="5" s="1"/>
  <c r="H134" i="5"/>
  <c r="H143" i="5"/>
  <c r="J34" i="5"/>
  <c r="I71" i="5"/>
  <c r="I75" i="5" s="1"/>
  <c r="J72" i="5"/>
  <c r="J71" i="5" s="1"/>
  <c r="J75" i="5" s="1"/>
  <c r="I47" i="5"/>
  <c r="H46" i="5"/>
  <c r="C16" i="5"/>
  <c r="D16" i="5" s="1"/>
  <c r="C15" i="5"/>
  <c r="D15" i="5" s="1"/>
  <c r="C13" i="5"/>
  <c r="D13" i="5" s="1"/>
  <c r="C12" i="5"/>
  <c r="J24" i="5" l="1"/>
  <c r="J26" i="5" s="1"/>
  <c r="C21" i="5"/>
  <c r="J8" i="68"/>
  <c r="J10" i="5"/>
  <c r="K8" i="68" s="1"/>
  <c r="I33" i="5"/>
  <c r="J9" i="68"/>
  <c r="J18" i="59"/>
  <c r="C133" i="5"/>
  <c r="J30" i="5"/>
  <c r="I143" i="5"/>
  <c r="I134" i="5"/>
  <c r="J47" i="5"/>
  <c r="J46" i="5" s="1"/>
  <c r="I46" i="5"/>
  <c r="F26" i="59"/>
  <c r="J26" i="59" s="1"/>
  <c r="E13" i="5"/>
  <c r="F13" i="5" s="1"/>
  <c r="G13" i="5" s="1"/>
  <c r="H13" i="5" s="1"/>
  <c r="I13" i="5" s="1"/>
  <c r="J13" i="5" s="1"/>
  <c r="E15" i="5"/>
  <c r="F15" i="5" s="1"/>
  <c r="G15" i="5" s="1"/>
  <c r="H15" i="5" s="1"/>
  <c r="I15" i="5" s="1"/>
  <c r="J15" i="5" s="1"/>
  <c r="E16" i="5"/>
  <c r="F16" i="5" s="1"/>
  <c r="G16" i="5" s="1"/>
  <c r="H16" i="5" s="1"/>
  <c r="I16" i="5" s="1"/>
  <c r="J16" i="5" s="1"/>
  <c r="D12" i="5"/>
  <c r="D133" i="5" l="1"/>
  <c r="D21" i="5"/>
  <c r="J10" i="68"/>
  <c r="J13" i="68" s="1"/>
  <c r="E22" i="11" s="1"/>
  <c r="J134" i="5"/>
  <c r="J143" i="5"/>
  <c r="J29" i="5"/>
  <c r="E12" i="5"/>
  <c r="N26" i="59"/>
  <c r="M23" i="5"/>
  <c r="M51" i="5" s="1"/>
  <c r="C23" i="5"/>
  <c r="F29" i="59"/>
  <c r="C45" i="14"/>
  <c r="C44" i="14"/>
  <c r="C40" i="14"/>
  <c r="C39" i="14"/>
  <c r="C41" i="14"/>
  <c r="A11" i="53"/>
  <c r="A11" i="52"/>
  <c r="A11" i="51"/>
  <c r="A11" i="19"/>
  <c r="A11" i="18"/>
  <c r="A11" i="17"/>
  <c r="D30" i="53"/>
  <c r="D30" i="52"/>
  <c r="D30" i="51"/>
  <c r="D30" i="50"/>
  <c r="A10" i="47"/>
  <c r="A10" i="53"/>
  <c r="A10" i="52"/>
  <c r="A10" i="51"/>
  <c r="A10" i="50"/>
  <c r="A10" i="49"/>
  <c r="A10" i="19"/>
  <c r="A10" i="18"/>
  <c r="A10" i="17"/>
  <c r="A10" i="16"/>
  <c r="A10" i="15"/>
  <c r="A10" i="48"/>
  <c r="K33" i="14"/>
  <c r="L30" i="50" s="1"/>
  <c r="E33" i="14"/>
  <c r="I33" i="14"/>
  <c r="J30" i="51" s="1"/>
  <c r="G33" i="14"/>
  <c r="H30" i="51" s="1"/>
  <c r="A10" i="14"/>
  <c r="A8" i="13"/>
  <c r="A10" i="12"/>
  <c r="F27" i="53"/>
  <c r="F22" i="53"/>
  <c r="F24" i="53" s="1"/>
  <c r="A21" i="53"/>
  <c r="A22" i="53" s="1"/>
  <c r="A23" i="53" s="1"/>
  <c r="A24" i="53" s="1"/>
  <c r="F5" i="53"/>
  <c r="F4" i="53"/>
  <c r="F3" i="53"/>
  <c r="F27" i="52"/>
  <c r="F22" i="52"/>
  <c r="F24" i="52" s="1"/>
  <c r="A21" i="52"/>
  <c r="A22" i="52" s="1"/>
  <c r="A23" i="52" s="1"/>
  <c r="A24" i="52" s="1"/>
  <c r="H5" i="52"/>
  <c r="H4" i="52"/>
  <c r="H3" i="52"/>
  <c r="F27" i="51"/>
  <c r="F22" i="51"/>
  <c r="F24" i="51" s="1"/>
  <c r="A21" i="51"/>
  <c r="A22" i="51" s="1"/>
  <c r="A23" i="51" s="1"/>
  <c r="A24" i="51" s="1"/>
  <c r="J5" i="51"/>
  <c r="J4" i="51"/>
  <c r="J3" i="51"/>
  <c r="F27" i="50"/>
  <c r="F22" i="50"/>
  <c r="F24" i="50" s="1"/>
  <c r="A20" i="50"/>
  <c r="A21" i="50" s="1"/>
  <c r="A22" i="50" s="1"/>
  <c r="A23" i="50" s="1"/>
  <c r="A24" i="50" s="1"/>
  <c r="H16" i="50"/>
  <c r="J16" i="50" s="1"/>
  <c r="L16" i="50" s="1"/>
  <c r="L5" i="50"/>
  <c r="L4" i="50"/>
  <c r="L3" i="50"/>
  <c r="E46" i="49"/>
  <c r="B46" i="49"/>
  <c r="A45" i="49"/>
  <c r="A44" i="49"/>
  <c r="B43" i="49"/>
  <c r="A43" i="49"/>
  <c r="A42" i="49"/>
  <c r="E41" i="49"/>
  <c r="A41" i="49"/>
  <c r="I36" i="49"/>
  <c r="O30" i="49"/>
  <c r="O36" i="49" s="1"/>
  <c r="E28" i="49"/>
  <c r="M27" i="49"/>
  <c r="M36" i="49" s="1"/>
  <c r="E25" i="49"/>
  <c r="K24" i="49"/>
  <c r="K36" i="49" s="1"/>
  <c r="E22" i="49"/>
  <c r="I21" i="49"/>
  <c r="A21" i="49"/>
  <c r="A20" i="49"/>
  <c r="E19" i="49"/>
  <c r="K17" i="49"/>
  <c r="M17" i="49" s="1"/>
  <c r="O17" i="49" s="1"/>
  <c r="O5" i="49"/>
  <c r="O4" i="49"/>
  <c r="O3" i="49"/>
  <c r="K42" i="15"/>
  <c r="K41" i="15"/>
  <c r="K24" i="48"/>
  <c r="M20" i="14" s="1"/>
  <c r="I24" i="48"/>
  <c r="K20" i="14" s="1"/>
  <c r="G24" i="48"/>
  <c r="I20" i="14" s="1"/>
  <c r="E24" i="48"/>
  <c r="G20" i="14" s="1"/>
  <c r="A20" i="48"/>
  <c r="A21" i="48" s="1"/>
  <c r="A22" i="48" s="1"/>
  <c r="A23" i="48" s="1"/>
  <c r="A24" i="48" s="1"/>
  <c r="G17" i="48"/>
  <c r="I17" i="48" s="1"/>
  <c r="K17" i="48" s="1"/>
  <c r="K5" i="48"/>
  <c r="K4" i="48"/>
  <c r="K3" i="48"/>
  <c r="A21" i="14"/>
  <c r="A22" i="14" s="1"/>
  <c r="A23" i="14" s="1"/>
  <c r="K35" i="14"/>
  <c r="I35" i="14"/>
  <c r="G35" i="14"/>
  <c r="A21" i="47"/>
  <c r="A22" i="47" s="1"/>
  <c r="A50" i="47" s="1"/>
  <c r="O16" i="47"/>
  <c r="S16" i="47" s="1"/>
  <c r="W16" i="47" s="1"/>
  <c r="E133" i="5" l="1"/>
  <c r="E21" i="5"/>
  <c r="E23" i="5" s="1"/>
  <c r="E51" i="5" s="1"/>
  <c r="J33" i="5"/>
  <c r="K9" i="68"/>
  <c r="K10" i="68" s="1"/>
  <c r="K13" i="68" s="1"/>
  <c r="E23" i="11" s="1"/>
  <c r="E31" i="49"/>
  <c r="A24" i="14"/>
  <c r="C43" i="14"/>
  <c r="F30" i="50"/>
  <c r="F30" i="53"/>
  <c r="F30" i="52"/>
  <c r="F30" i="51"/>
  <c r="F28" i="50"/>
  <c r="F29" i="50" s="1"/>
  <c r="G19" i="49"/>
  <c r="I19" i="49" s="1"/>
  <c r="I35" i="49" s="1"/>
  <c r="F12" i="5"/>
  <c r="J29" i="59"/>
  <c r="R133" i="5"/>
  <c r="D23" i="5"/>
  <c r="P23" i="5"/>
  <c r="P51" i="5" s="1"/>
  <c r="H30" i="52"/>
  <c r="A40" i="14"/>
  <c r="J30" i="50"/>
  <c r="A41" i="14"/>
  <c r="H30" i="50"/>
  <c r="A42" i="14"/>
  <c r="E42" i="49"/>
  <c r="A25" i="52"/>
  <c r="A26" i="52" s="1"/>
  <c r="A27" i="52" s="1"/>
  <c r="A28" i="52" s="1"/>
  <c r="A29" i="52" s="1"/>
  <c r="A30" i="52" s="1"/>
  <c r="A31" i="52" s="1"/>
  <c r="F28" i="52"/>
  <c r="F29" i="52" s="1"/>
  <c r="G25" i="49"/>
  <c r="M25" i="49" s="1"/>
  <c r="M35" i="49" s="1"/>
  <c r="B47" i="49"/>
  <c r="A25" i="51"/>
  <c r="A26" i="51" s="1"/>
  <c r="A27" i="51" s="1"/>
  <c r="A28" i="51" s="1"/>
  <c r="A29" i="51" s="1"/>
  <c r="A30" i="51" s="1"/>
  <c r="A31" i="51" s="1"/>
  <c r="E47" i="49"/>
  <c r="A25" i="53"/>
  <c r="A26" i="53" s="1"/>
  <c r="A27" i="53" s="1"/>
  <c r="A28" i="53" s="1"/>
  <c r="A29" i="53" s="1"/>
  <c r="A30" i="53" s="1"/>
  <c r="A31" i="53" s="1"/>
  <c r="F28" i="51"/>
  <c r="F29" i="51" s="1"/>
  <c r="G22" i="49"/>
  <c r="K22" i="49" s="1"/>
  <c r="K35" i="49" s="1"/>
  <c r="G28" i="49"/>
  <c r="O28" i="49" s="1"/>
  <c r="O35" i="49" s="1"/>
  <c r="F28" i="53"/>
  <c r="F29" i="53" s="1"/>
  <c r="F31" i="53" s="1"/>
  <c r="A25" i="50"/>
  <c r="A26" i="50" s="1"/>
  <c r="A27" i="50" s="1"/>
  <c r="A28" i="50" s="1"/>
  <c r="A29" i="50" s="1"/>
  <c r="A30" i="50" s="1"/>
  <c r="A31" i="50" s="1"/>
  <c r="B42" i="49"/>
  <c r="B41" i="49"/>
  <c r="A22" i="49"/>
  <c r="A23" i="47"/>
  <c r="F133" i="5" l="1"/>
  <c r="F21" i="5"/>
  <c r="A26" i="14"/>
  <c r="A43" i="14"/>
  <c r="F31" i="50"/>
  <c r="I20" i="49" s="1"/>
  <c r="H29" i="50"/>
  <c r="H31" i="50" s="1"/>
  <c r="G12" i="5"/>
  <c r="F23" i="5"/>
  <c r="F51" i="5" s="1"/>
  <c r="N29" i="59"/>
  <c r="R23" i="5"/>
  <c r="R51" i="5" s="1"/>
  <c r="G31" i="49"/>
  <c r="H29" i="51"/>
  <c r="F31" i="51"/>
  <c r="F31" i="52"/>
  <c r="H29" i="52"/>
  <c r="H31" i="52" s="1"/>
  <c r="B48" i="49"/>
  <c r="A47" i="49"/>
  <c r="A23" i="49"/>
  <c r="A46" i="49"/>
  <c r="A48" i="49"/>
  <c r="A32" i="53"/>
  <c r="A33" i="53" s="1"/>
  <c r="E49" i="49"/>
  <c r="F35" i="53"/>
  <c r="O29" i="49"/>
  <c r="A32" i="51"/>
  <c r="A33" i="51" s="1"/>
  <c r="B49" i="49"/>
  <c r="B44" i="49"/>
  <c r="A32" i="50"/>
  <c r="A33" i="50" s="1"/>
  <c r="E44" i="49"/>
  <c r="A32" i="52"/>
  <c r="A33" i="52" s="1"/>
  <c r="A24" i="47"/>
  <c r="A25" i="47" s="1"/>
  <c r="A26" i="47" s="1"/>
  <c r="G133" i="5" l="1"/>
  <c r="G21" i="5"/>
  <c r="A27" i="14"/>
  <c r="A28" i="14" s="1"/>
  <c r="A29" i="14" s="1"/>
  <c r="A44" i="14"/>
  <c r="F35" i="50"/>
  <c r="J29" i="50"/>
  <c r="L29" i="50" s="1"/>
  <c r="L31" i="50" s="1"/>
  <c r="H12" i="5"/>
  <c r="G23" i="5"/>
  <c r="G51" i="5" s="1"/>
  <c r="F30" i="59"/>
  <c r="F31" i="59" s="1"/>
  <c r="K20" i="49"/>
  <c r="H35" i="50"/>
  <c r="A34" i="52"/>
  <c r="A35" i="52" s="1"/>
  <c r="E45" i="49"/>
  <c r="B45" i="49"/>
  <c r="A34" i="50"/>
  <c r="A35" i="50" s="1"/>
  <c r="A24" i="49"/>
  <c r="A49" i="49"/>
  <c r="A34" i="51"/>
  <c r="A35" i="51" s="1"/>
  <c r="B50" i="49"/>
  <c r="O26" i="49"/>
  <c r="H35" i="52"/>
  <c r="M26" i="49"/>
  <c r="F35" i="52"/>
  <c r="F35" i="51"/>
  <c r="K23" i="49"/>
  <c r="I34" i="49"/>
  <c r="I31" i="49"/>
  <c r="E50" i="49"/>
  <c r="A34" i="53"/>
  <c r="A35" i="53" s="1"/>
  <c r="J29" i="51"/>
  <c r="J31" i="51" s="1"/>
  <c r="H31" i="51"/>
  <c r="A27" i="47"/>
  <c r="A28" i="47" s="1"/>
  <c r="A29" i="47" s="1"/>
  <c r="A30" i="47" s="1"/>
  <c r="A31" i="47" s="1"/>
  <c r="A32" i="47" s="1"/>
  <c r="A33" i="47" s="1"/>
  <c r="A34" i="47" s="1"/>
  <c r="A35" i="47" s="1"/>
  <c r="A36" i="47" s="1"/>
  <c r="A37" i="47" s="1"/>
  <c r="A38" i="47" s="1"/>
  <c r="C42" i="14" s="1"/>
  <c r="H133" i="5" l="1"/>
  <c r="H21" i="5"/>
  <c r="J31" i="50"/>
  <c r="H23" i="5"/>
  <c r="H51" i="5" s="1"/>
  <c r="I12" i="5"/>
  <c r="I37" i="49"/>
  <c r="G21" i="14"/>
  <c r="M23" i="49"/>
  <c r="H35" i="51"/>
  <c r="J35" i="51"/>
  <c r="O23" i="49"/>
  <c r="M20" i="49"/>
  <c r="J35" i="50"/>
  <c r="O20" i="49"/>
  <c r="L35" i="50"/>
  <c r="A50" i="49"/>
  <c r="A25" i="49"/>
  <c r="K31" i="49"/>
  <c r="K34" i="49"/>
  <c r="A58" i="47"/>
  <c r="A54" i="47"/>
  <c r="I133" i="5" l="1"/>
  <c r="I21" i="5"/>
  <c r="O23" i="13"/>
  <c r="G59" i="11"/>
  <c r="G49" i="11"/>
  <c r="J12" i="5"/>
  <c r="J21" i="5" s="1"/>
  <c r="I23" i="5"/>
  <c r="I51" i="5" s="1"/>
  <c r="K37" i="49"/>
  <c r="I21" i="14"/>
  <c r="O31" i="49"/>
  <c r="O34" i="49"/>
  <c r="M34" i="49"/>
  <c r="M31" i="49"/>
  <c r="D42" i="49"/>
  <c r="D41" i="49"/>
  <c r="A26" i="49"/>
  <c r="E43" i="49"/>
  <c r="D43" i="49"/>
  <c r="J23" i="5" l="1"/>
  <c r="J51" i="5" s="1"/>
  <c r="J133" i="5"/>
  <c r="M37" i="49"/>
  <c r="K21" i="14"/>
  <c r="O37" i="49"/>
  <c r="M21" i="14"/>
  <c r="D44" i="49"/>
  <c r="A27" i="49"/>
  <c r="A28" i="49" l="1"/>
  <c r="D45" i="49"/>
  <c r="D47" i="49" l="1"/>
  <c r="D46" i="49"/>
  <c r="D48" i="49"/>
  <c r="A29" i="49"/>
  <c r="E48" i="49"/>
  <c r="K43" i="49"/>
  <c r="A30" i="49" l="1"/>
  <c r="D49" i="49"/>
  <c r="K42" i="49"/>
  <c r="D50" i="49" l="1"/>
  <c r="K41" i="49"/>
  <c r="A31" i="49"/>
  <c r="K44" i="49"/>
  <c r="A34" i="49" l="1"/>
  <c r="J41" i="49"/>
  <c r="A35" i="49" l="1"/>
  <c r="J42" i="49"/>
  <c r="A36" i="49" l="1"/>
  <c r="J43" i="49"/>
  <c r="A37" i="49" l="1"/>
  <c r="J45" i="49" s="1"/>
  <c r="J44" i="49"/>
  <c r="K45" i="49"/>
  <c r="I37" i="47" l="1"/>
  <c r="X37" i="47" s="1"/>
  <c r="Y37" i="47" s="1"/>
  <c r="I31" i="47"/>
  <c r="I26" i="47"/>
  <c r="I24" i="47"/>
  <c r="O24" i="47" l="1"/>
  <c r="L24" i="47"/>
  <c r="M24" i="47" s="1"/>
  <c r="P24" i="47"/>
  <c r="X24" i="47"/>
  <c r="T24" i="47"/>
  <c r="W24" i="47"/>
  <c r="S24" i="47"/>
  <c r="X26" i="47"/>
  <c r="W26" i="47"/>
  <c r="S26" i="47"/>
  <c r="P26" i="47"/>
  <c r="T26" i="47"/>
  <c r="O26" i="47"/>
  <c r="Q26" i="47" s="1"/>
  <c r="I27" i="47"/>
  <c r="S31" i="47"/>
  <c r="T31" i="47"/>
  <c r="X31" i="47"/>
  <c r="W31" i="47"/>
  <c r="I23" i="47"/>
  <c r="U31" i="47" l="1"/>
  <c r="Y31" i="47"/>
  <c r="U24" i="47"/>
  <c r="Y24" i="47"/>
  <c r="U26" i="47"/>
  <c r="I21" i="47"/>
  <c r="Y26" i="47"/>
  <c r="P27" i="47"/>
  <c r="O27" i="47"/>
  <c r="T27" i="47"/>
  <c r="W27" i="47"/>
  <c r="S27" i="47"/>
  <c r="X27" i="47"/>
  <c r="I29" i="47"/>
  <c r="I30" i="47"/>
  <c r="I36" i="47"/>
  <c r="X36" i="47" s="1"/>
  <c r="Y36" i="47" s="1"/>
  <c r="I22" i="47"/>
  <c r="I25" i="47"/>
  <c r="S23" i="47"/>
  <c r="L23" i="47"/>
  <c r="M23" i="47" s="1"/>
  <c r="X23" i="47"/>
  <c r="W23" i="47"/>
  <c r="P23" i="47"/>
  <c r="O23" i="47"/>
  <c r="T23" i="47"/>
  <c r="Q24" i="47"/>
  <c r="Q27" i="47" l="1"/>
  <c r="U27" i="47"/>
  <c r="Y23" i="47"/>
  <c r="U23" i="47"/>
  <c r="S29" i="47"/>
  <c r="X29" i="47"/>
  <c r="T29" i="47"/>
  <c r="W29" i="47"/>
  <c r="T25" i="47"/>
  <c r="S25" i="47"/>
  <c r="P25" i="47"/>
  <c r="W25" i="47"/>
  <c r="O25" i="47"/>
  <c r="X25" i="47"/>
  <c r="L25" i="47"/>
  <c r="M25" i="47" s="1"/>
  <c r="L21" i="47"/>
  <c r="P21" i="47"/>
  <c r="T21" i="47"/>
  <c r="K21" i="47"/>
  <c r="S21" i="47"/>
  <c r="W21" i="47"/>
  <c r="O21" i="47"/>
  <c r="X21" i="47"/>
  <c r="P28" i="47"/>
  <c r="Q28" i="47" s="1"/>
  <c r="I28" i="47"/>
  <c r="W35" i="47"/>
  <c r="I35" i="47"/>
  <c r="X35" i="47" s="1"/>
  <c r="X30" i="47"/>
  <c r="W30" i="47"/>
  <c r="T30" i="47"/>
  <c r="S30" i="47"/>
  <c r="U30" i="47" s="1"/>
  <c r="W33" i="47"/>
  <c r="I33" i="47"/>
  <c r="X33" i="47" s="1"/>
  <c r="I32" i="47"/>
  <c r="O22" i="47"/>
  <c r="P22" i="47"/>
  <c r="S22" i="47"/>
  <c r="K22" i="47"/>
  <c r="W22" i="47"/>
  <c r="L22" i="47"/>
  <c r="T22" i="47"/>
  <c r="X22" i="47"/>
  <c r="Y27" i="47"/>
  <c r="I20" i="47"/>
  <c r="Q23" i="47"/>
  <c r="M21" i="47" l="1"/>
  <c r="Y29" i="47"/>
  <c r="Y30" i="47"/>
  <c r="Q21" i="47"/>
  <c r="U22" i="47"/>
  <c r="Q25" i="47"/>
  <c r="U21" i="47"/>
  <c r="Q22" i="47"/>
  <c r="Y25" i="47"/>
  <c r="U25" i="47"/>
  <c r="M22" i="47"/>
  <c r="I34" i="47"/>
  <c r="X34" i="47" s="1"/>
  <c r="W34" i="47"/>
  <c r="S28" i="47"/>
  <c r="T28" i="47"/>
  <c r="W28" i="47"/>
  <c r="X28" i="47"/>
  <c r="Y33" i="47"/>
  <c r="Y35" i="47"/>
  <c r="S20" i="47"/>
  <c r="W20" i="47"/>
  <c r="O20" i="47"/>
  <c r="X20" i="47"/>
  <c r="P20" i="47"/>
  <c r="P38" i="47" s="1"/>
  <c r="P41" i="47" s="1"/>
  <c r="L20" i="47"/>
  <c r="L38" i="47" s="1"/>
  <c r="L41" i="47" s="1"/>
  <c r="K20" i="47"/>
  <c r="T20" i="47"/>
  <c r="T32" i="47"/>
  <c r="U32" i="47" s="1"/>
  <c r="X32" i="47"/>
  <c r="W32" i="47"/>
  <c r="Y32" i="47" s="1"/>
  <c r="Y21" i="47"/>
  <c r="U29" i="47"/>
  <c r="G38" i="47"/>
  <c r="G40" i="47" s="1"/>
  <c r="Y22" i="47"/>
  <c r="G41" i="47" l="1"/>
  <c r="Y28" i="47"/>
  <c r="U28" i="47"/>
  <c r="Q20" i="47"/>
  <c r="Q38" i="47" s="1"/>
  <c r="O38" i="47"/>
  <c r="O41" i="47" s="1"/>
  <c r="Y20" i="47"/>
  <c r="W38" i="47"/>
  <c r="W41" i="47" s="1"/>
  <c r="U20" i="47"/>
  <c r="U38" i="47" s="1"/>
  <c r="S38" i="47"/>
  <c r="S41" i="47" s="1"/>
  <c r="T38" i="47"/>
  <c r="T41" i="47" s="1"/>
  <c r="K38" i="47"/>
  <c r="K41" i="47" s="1"/>
  <c r="M20" i="47"/>
  <c r="M38" i="47" s="1"/>
  <c r="X38" i="47"/>
  <c r="X41" i="47" s="1"/>
  <c r="Y34" i="47"/>
  <c r="F5" i="19"/>
  <c r="F4" i="19"/>
  <c r="F3" i="19"/>
  <c r="H5" i="18"/>
  <c r="H4" i="18"/>
  <c r="H3" i="18"/>
  <c r="J5" i="17"/>
  <c r="J4" i="17"/>
  <c r="J3" i="17"/>
  <c r="L5" i="16"/>
  <c r="L4" i="16"/>
  <c r="L3" i="16"/>
  <c r="O5" i="15"/>
  <c r="O4" i="15"/>
  <c r="O3" i="15"/>
  <c r="M5" i="14"/>
  <c r="M4" i="14"/>
  <c r="M3" i="14"/>
  <c r="O5" i="13"/>
  <c r="O4" i="13"/>
  <c r="O3" i="13"/>
  <c r="G5" i="12"/>
  <c r="G4" i="12"/>
  <c r="G3" i="12"/>
  <c r="E8" i="33"/>
  <c r="G23" i="14" l="1"/>
  <c r="M41" i="47"/>
  <c r="K23" i="14"/>
  <c r="U41" i="47"/>
  <c r="I23" i="14"/>
  <c r="Q41" i="47"/>
  <c r="Y38" i="47"/>
  <c r="E7" i="33"/>
  <c r="M23" i="14" l="1"/>
  <c r="Y41" i="47"/>
  <c r="F10" i="33"/>
  <c r="F12" i="33" s="1"/>
  <c r="D10" i="33"/>
  <c r="C10" i="33"/>
  <c r="C12" i="33" s="1"/>
  <c r="E20" i="14" s="1"/>
  <c r="E24" i="14" s="1"/>
  <c r="E29" i="14" s="1"/>
  <c r="E9" i="33"/>
  <c r="E10" i="33" s="1"/>
  <c r="X126" i="5" l="1"/>
  <c r="W126" i="5"/>
  <c r="V126" i="5"/>
  <c r="U126" i="5"/>
  <c r="T126" i="5"/>
  <c r="S126" i="5"/>
  <c r="X113" i="5"/>
  <c r="W113" i="5"/>
  <c r="V113" i="5"/>
  <c r="U113" i="5"/>
  <c r="T113" i="5"/>
  <c r="S113" i="5"/>
  <c r="X106" i="5"/>
  <c r="W106" i="5"/>
  <c r="V106" i="5"/>
  <c r="U106" i="5"/>
  <c r="T106" i="5"/>
  <c r="S106" i="5"/>
  <c r="X75" i="5"/>
  <c r="W75" i="5"/>
  <c r="V75" i="5"/>
  <c r="U75" i="5"/>
  <c r="T75" i="5"/>
  <c r="S75" i="5"/>
  <c r="X87" i="5"/>
  <c r="W87" i="5"/>
  <c r="V87" i="5"/>
  <c r="U87" i="5"/>
  <c r="T87" i="5"/>
  <c r="S87" i="5"/>
  <c r="C68" i="5"/>
  <c r="C65" i="5" s="1"/>
  <c r="X46" i="5"/>
  <c r="W46" i="5"/>
  <c r="V46" i="5"/>
  <c r="U46" i="5"/>
  <c r="T46" i="5"/>
  <c r="S46" i="5"/>
  <c r="X33" i="5"/>
  <c r="W33" i="5"/>
  <c r="V33" i="5"/>
  <c r="U33" i="5"/>
  <c r="T33" i="5"/>
  <c r="S33" i="5"/>
  <c r="P65" i="5" l="1"/>
  <c r="P67" i="5" s="1"/>
  <c r="P90" i="5" s="1"/>
  <c r="U129" i="5"/>
  <c r="V129" i="5"/>
  <c r="W129" i="5"/>
  <c r="X129" i="5"/>
  <c r="T129" i="5"/>
  <c r="S129" i="5"/>
  <c r="S90" i="5"/>
  <c r="T90" i="5"/>
  <c r="U90" i="5"/>
  <c r="V90" i="5"/>
  <c r="X90" i="5"/>
  <c r="W90" i="5"/>
  <c r="C87" i="5"/>
  <c r="D68" i="5"/>
  <c r="D65" i="5" l="1"/>
  <c r="E68" i="5"/>
  <c r="C67" i="5"/>
  <c r="R65" i="5"/>
  <c r="R67" i="5" s="1"/>
  <c r="E65" i="5" l="1"/>
  <c r="E67" i="5" s="1"/>
  <c r="E90" i="5" s="1"/>
  <c r="E131" i="5" s="1"/>
  <c r="F68" i="5"/>
  <c r="D67" i="5"/>
  <c r="E138" i="5" l="1"/>
  <c r="E142" i="5" s="1"/>
  <c r="E144" i="5" s="1"/>
  <c r="E135" i="5"/>
  <c r="G68" i="5"/>
  <c r="F65" i="5"/>
  <c r="F67" i="5" s="1"/>
  <c r="F90" i="5" s="1"/>
  <c r="F131" i="5" s="1"/>
  <c r="H30" i="59"/>
  <c r="H31" i="59" s="1"/>
  <c r="M30" i="13"/>
  <c r="K30" i="13"/>
  <c r="I30" i="13"/>
  <c r="G30" i="13"/>
  <c r="E49" i="15"/>
  <c r="E44" i="15"/>
  <c r="B49" i="15"/>
  <c r="B44" i="15"/>
  <c r="H16" i="16"/>
  <c r="J16" i="16" s="1"/>
  <c r="L16" i="16" s="1"/>
  <c r="K17" i="15"/>
  <c r="M17" i="15" s="1"/>
  <c r="O17" i="15" s="1"/>
  <c r="A39" i="14"/>
  <c r="I17" i="14"/>
  <c r="K17" i="14" s="1"/>
  <c r="M17" i="14" s="1"/>
  <c r="I13" i="13"/>
  <c r="K13" i="13" s="1"/>
  <c r="M13" i="13" s="1"/>
  <c r="E145" i="5" l="1"/>
  <c r="F135" i="5"/>
  <c r="F138" i="5"/>
  <c r="F142" i="5" s="1"/>
  <c r="F144" i="5" s="1"/>
  <c r="H68" i="5"/>
  <c r="G65" i="5"/>
  <c r="G67" i="5" s="1"/>
  <c r="G90" i="5" s="1"/>
  <c r="J30" i="59"/>
  <c r="J31" i="59" s="1"/>
  <c r="F145" i="5" l="1"/>
  <c r="I68" i="5"/>
  <c r="H65" i="5"/>
  <c r="H67" i="5" s="1"/>
  <c r="H90" i="5" s="1"/>
  <c r="H131" i="5" s="1"/>
  <c r="H16" i="51"/>
  <c r="J16" i="51" s="1"/>
  <c r="H16" i="17"/>
  <c r="J16" i="17" s="1"/>
  <c r="H138" i="5" l="1"/>
  <c r="H142" i="5" s="1"/>
  <c r="H144" i="5" s="1"/>
  <c r="H135" i="5"/>
  <c r="J68" i="5"/>
  <c r="J65" i="5" s="1"/>
  <c r="J67" i="5" s="1"/>
  <c r="J90" i="5" s="1"/>
  <c r="I65" i="5"/>
  <c r="I67" i="5" s="1"/>
  <c r="I90" i="5" s="1"/>
  <c r="I131" i="5" s="1"/>
  <c r="G15" i="13"/>
  <c r="A20" i="12"/>
  <c r="A21" i="12" s="1"/>
  <c r="A22" i="12" s="1"/>
  <c r="A23" i="12" l="1"/>
  <c r="H145" i="5"/>
  <c r="I135" i="5"/>
  <c r="I138" i="5"/>
  <c r="I142" i="5" s="1"/>
  <c r="I144" i="5" s="1"/>
  <c r="G24" i="12" l="1"/>
  <c r="A24" i="12"/>
  <c r="E60" i="13"/>
  <c r="I145" i="5"/>
  <c r="A25" i="12" l="1"/>
  <c r="A26" i="12" s="1"/>
  <c r="G26" i="12"/>
  <c r="A27" i="12" l="1"/>
  <c r="A28" i="12" s="1"/>
  <c r="A29" i="12" s="1"/>
  <c r="A30" i="12" s="1"/>
  <c r="A31" i="12" s="1"/>
  <c r="G28" i="12"/>
  <c r="C34" i="66"/>
  <c r="A32" i="12" l="1"/>
  <c r="G33" i="12" l="1"/>
  <c r="A33" i="12"/>
  <c r="E61" i="13"/>
  <c r="A34" i="12" l="1"/>
  <c r="A35" i="12" s="1"/>
  <c r="A36" i="12" s="1"/>
  <c r="G35" i="12"/>
  <c r="A40" i="12" l="1"/>
  <c r="A41" i="12" s="1"/>
  <c r="A42" i="12" s="1"/>
  <c r="C35" i="66"/>
  <c r="A32" i="11"/>
  <c r="A33" i="11" s="1"/>
  <c r="A34" i="11" s="1"/>
  <c r="A35" i="11" s="1"/>
  <c r="A43" i="12" l="1"/>
  <c r="G44" i="12" s="1"/>
  <c r="G42" i="12"/>
  <c r="G51" i="12"/>
  <c r="A47" i="14"/>
  <c r="G35" i="11"/>
  <c r="A36" i="11"/>
  <c r="A37" i="11" s="1"/>
  <c r="A44" i="12" l="1"/>
  <c r="C7" i="66"/>
  <c r="A38" i="11"/>
  <c r="A45" i="12" l="1"/>
  <c r="A46" i="12" s="1"/>
  <c r="A47" i="12" s="1"/>
  <c r="A39" i="11"/>
  <c r="G46" i="12" l="1"/>
  <c r="G48" i="12"/>
  <c r="C60" i="13"/>
  <c r="A48" i="12"/>
  <c r="E59" i="13"/>
  <c r="A40" i="11"/>
  <c r="G40" i="11"/>
  <c r="A49" i="12" l="1"/>
  <c r="A50" i="12" s="1"/>
  <c r="A51" i="12" s="1"/>
  <c r="G22" i="12"/>
  <c r="A41" i="11"/>
  <c r="G42" i="11"/>
  <c r="C33" i="66"/>
  <c r="G32" i="13"/>
  <c r="I32" i="13"/>
  <c r="E46" i="15"/>
  <c r="E42" i="15"/>
  <c r="E41" i="15"/>
  <c r="B46" i="15"/>
  <c r="A21" i="19"/>
  <c r="A22" i="19" s="1"/>
  <c r="A23" i="19" s="1"/>
  <c r="A24" i="19" s="1"/>
  <c r="A21" i="18"/>
  <c r="A22" i="18" s="1"/>
  <c r="A23" i="18" s="1"/>
  <c r="A24" i="18" s="1"/>
  <c r="A25" i="18" s="1"/>
  <c r="A26" i="18" s="1"/>
  <c r="A27" i="18" s="1"/>
  <c r="A28" i="18" s="1"/>
  <c r="A21" i="17"/>
  <c r="A22" i="17" s="1"/>
  <c r="A23" i="17" s="1"/>
  <c r="A24" i="17" s="1"/>
  <c r="A52" i="12" l="1"/>
  <c r="G53" i="12" s="1"/>
  <c r="A20" i="15"/>
  <c r="A25" i="19"/>
  <c r="A26" i="19" s="1"/>
  <c r="A27" i="19" s="1"/>
  <c r="A28" i="19" s="1"/>
  <c r="A29" i="19" s="1"/>
  <c r="A30" i="19" s="1"/>
  <c r="A31" i="19" s="1"/>
  <c r="E47" i="15"/>
  <c r="A29" i="18"/>
  <c r="A30" i="18" s="1"/>
  <c r="A31" i="18" s="1"/>
  <c r="A25" i="17"/>
  <c r="A26" i="17" s="1"/>
  <c r="A27" i="17" s="1"/>
  <c r="A28" i="17" s="1"/>
  <c r="A29" i="17" s="1"/>
  <c r="A30" i="17" s="1"/>
  <c r="A31" i="17" s="1"/>
  <c r="B47" i="15"/>
  <c r="B43" i="15"/>
  <c r="A41" i="15"/>
  <c r="A43" i="15"/>
  <c r="A42" i="15"/>
  <c r="A53" i="12" l="1"/>
  <c r="C8" i="66"/>
  <c r="C5" i="66"/>
  <c r="G51" i="11"/>
  <c r="A44" i="15"/>
  <c r="A32" i="19"/>
  <c r="A33" i="19" s="1"/>
  <c r="A32" i="18"/>
  <c r="A33" i="18" s="1"/>
  <c r="A32" i="17"/>
  <c r="A33" i="17" s="1"/>
  <c r="A54" i="12" l="1"/>
  <c r="A55" i="12" s="1"/>
  <c r="A56" i="12" s="1"/>
  <c r="G55" i="12"/>
  <c r="A34" i="19"/>
  <c r="A35" i="19" s="1"/>
  <c r="E50" i="15"/>
  <c r="A34" i="18"/>
  <c r="A35" i="18" s="1"/>
  <c r="E45" i="15"/>
  <c r="A34" i="17"/>
  <c r="A35" i="17" s="1"/>
  <c r="B50" i="15"/>
  <c r="A21" i="15"/>
  <c r="G57" i="12" l="1"/>
  <c r="A57" i="12"/>
  <c r="G31" i="12" s="1"/>
  <c r="C61" i="13"/>
  <c r="G53" i="11"/>
  <c r="H16" i="52"/>
  <c r="H16" i="18"/>
  <c r="A22" i="15"/>
  <c r="A45" i="15"/>
  <c r="E58" i="13" l="1"/>
  <c r="G56" i="11"/>
  <c r="C58" i="13"/>
  <c r="A23" i="15"/>
  <c r="A47" i="15"/>
  <c r="A46" i="15"/>
  <c r="B48" i="15"/>
  <c r="A48" i="15"/>
  <c r="A49" i="15" l="1"/>
  <c r="A24" i="15"/>
  <c r="G61" i="11" l="1"/>
  <c r="G38" i="11"/>
  <c r="G33" i="11"/>
  <c r="A50" i="15"/>
  <c r="A25" i="15"/>
  <c r="G65" i="11" l="1"/>
  <c r="D41" i="15"/>
  <c r="E43" i="15"/>
  <c r="D43" i="15"/>
  <c r="D42" i="15"/>
  <c r="A26" i="15"/>
  <c r="C6" i="66" l="1"/>
  <c r="O22" i="13"/>
  <c r="D44" i="15"/>
  <c r="A27" i="15"/>
  <c r="G63" i="11" l="1"/>
  <c r="D45" i="15"/>
  <c r="A28" i="15"/>
  <c r="K43" i="15" s="1"/>
  <c r="C59" i="13" l="1"/>
  <c r="D47" i="15"/>
  <c r="A29" i="15"/>
  <c r="E48" i="15"/>
  <c r="D48" i="15"/>
  <c r="D46" i="15"/>
  <c r="D49" i="15" l="1"/>
  <c r="A30" i="15"/>
  <c r="A31" i="15" l="1"/>
  <c r="K44" i="15"/>
  <c r="D50" i="15"/>
  <c r="J41" i="15" l="1"/>
  <c r="A34" i="15"/>
  <c r="O30" i="15"/>
  <c r="M27" i="15"/>
  <c r="F27" i="18"/>
  <c r="F22" i="18"/>
  <c r="F24" i="18" s="1"/>
  <c r="K24" i="15"/>
  <c r="F22" i="17"/>
  <c r="F24" i="17" s="1"/>
  <c r="I21" i="15"/>
  <c r="F27" i="16"/>
  <c r="A20" i="16"/>
  <c r="E25" i="15"/>
  <c r="K32" i="13"/>
  <c r="M32" i="13"/>
  <c r="A16" i="13"/>
  <c r="K22" i="13"/>
  <c r="I22" i="13"/>
  <c r="G22" i="13"/>
  <c r="A21" i="16" l="1"/>
  <c r="A22" i="16" s="1"/>
  <c r="A23" i="16" s="1"/>
  <c r="A24" i="16" s="1"/>
  <c r="B41" i="15"/>
  <c r="M36" i="15"/>
  <c r="K27" i="14" s="1"/>
  <c r="K36" i="15"/>
  <c r="I27" i="14" s="1"/>
  <c r="O36" i="15"/>
  <c r="M27" i="14" s="1"/>
  <c r="I36" i="15"/>
  <c r="G27" i="14" s="1"/>
  <c r="A35" i="15"/>
  <c r="J42" i="15"/>
  <c r="A17" i="13"/>
  <c r="O17" i="13"/>
  <c r="G17" i="13"/>
  <c r="F28" i="17"/>
  <c r="G22" i="15"/>
  <c r="F27" i="17"/>
  <c r="E22" i="15"/>
  <c r="G25" i="15"/>
  <c r="F28" i="18"/>
  <c r="E19" i="15"/>
  <c r="F22" i="16"/>
  <c r="F24" i="16" s="1"/>
  <c r="E28" i="15"/>
  <c r="F22" i="19"/>
  <c r="F24" i="19" s="1"/>
  <c r="F27" i="19"/>
  <c r="G27" i="12" l="1"/>
  <c r="G43" i="11"/>
  <c r="F29" i="17"/>
  <c r="F31" i="17" s="1"/>
  <c r="F35" i="17" s="1"/>
  <c r="A18" i="13"/>
  <c r="A19" i="13" s="1"/>
  <c r="A20" i="13" s="1"/>
  <c r="A21" i="13" s="1"/>
  <c r="A22" i="13" s="1"/>
  <c r="E31" i="15"/>
  <c r="A25" i="16"/>
  <c r="A26" i="16" s="1"/>
  <c r="A27" i="16" s="1"/>
  <c r="A28" i="16" s="1"/>
  <c r="A29" i="16" s="1"/>
  <c r="A30" i="16" s="1"/>
  <c r="A31" i="16" s="1"/>
  <c r="B42" i="15"/>
  <c r="A36" i="15"/>
  <c r="J43" i="15"/>
  <c r="F29" i="18"/>
  <c r="M25" i="15"/>
  <c r="K22" i="15"/>
  <c r="G19" i="15"/>
  <c r="F28" i="16"/>
  <c r="G28" i="15"/>
  <c r="F28" i="19"/>
  <c r="H29" i="17" l="1"/>
  <c r="G31" i="15"/>
  <c r="L35" i="59"/>
  <c r="N35" i="59" s="1"/>
  <c r="K45" i="15"/>
  <c r="A32" i="16"/>
  <c r="A33" i="16" s="1"/>
  <c r="K35" i="15"/>
  <c r="I26" i="14" s="1"/>
  <c r="M35" i="15"/>
  <c r="K26" i="14" s="1"/>
  <c r="A37" i="15"/>
  <c r="J45" i="15" s="1"/>
  <c r="J44" i="15"/>
  <c r="A23" i="13"/>
  <c r="A24" i="13" s="1"/>
  <c r="A25" i="13" s="1"/>
  <c r="O26" i="13" s="1"/>
  <c r="F29" i="16"/>
  <c r="J29" i="17"/>
  <c r="H31" i="17"/>
  <c r="H35" i="17" s="1"/>
  <c r="I19" i="15"/>
  <c r="K23" i="15"/>
  <c r="F29" i="19"/>
  <c r="F31" i="18"/>
  <c r="F35" i="18" s="1"/>
  <c r="H29" i="18"/>
  <c r="L30" i="59" l="1"/>
  <c r="L31" i="59" s="1"/>
  <c r="S150" i="5"/>
  <c r="R134" i="5"/>
  <c r="R143" i="5"/>
  <c r="L34" i="59"/>
  <c r="O24" i="13"/>
  <c r="A34" i="16"/>
  <c r="A35" i="16" s="1"/>
  <c r="B45" i="15"/>
  <c r="I35" i="15"/>
  <c r="G26" i="14" s="1"/>
  <c r="A26" i="13"/>
  <c r="O28" i="15"/>
  <c r="F31" i="16"/>
  <c r="F35" i="16" s="1"/>
  <c r="H29" i="16"/>
  <c r="M23" i="15"/>
  <c r="M26" i="15"/>
  <c r="J31" i="17"/>
  <c r="J35" i="17" s="1"/>
  <c r="F31" i="19"/>
  <c r="F35" i="19" s="1"/>
  <c r="H31" i="18"/>
  <c r="H35" i="18" s="1"/>
  <c r="N30" i="59" l="1"/>
  <c r="N31" i="59" s="1"/>
  <c r="T150" i="5"/>
  <c r="L16" i="59"/>
  <c r="L18" i="59" s="1"/>
  <c r="L37" i="59"/>
  <c r="N34" i="59"/>
  <c r="N37" i="59" s="1"/>
  <c r="O35" i="15"/>
  <c r="M26" i="14" s="1"/>
  <c r="A27" i="13"/>
  <c r="A28" i="13" s="1"/>
  <c r="A29" i="13" s="1"/>
  <c r="A30" i="13" s="1"/>
  <c r="A61" i="13" s="1"/>
  <c r="J29" i="16"/>
  <c r="H31" i="16"/>
  <c r="H35" i="16" s="1"/>
  <c r="I20" i="15"/>
  <c r="I34" i="15" s="1"/>
  <c r="G22" i="14" s="1"/>
  <c r="G24" i="14" s="1"/>
  <c r="G29" i="14" s="1"/>
  <c r="O23" i="15"/>
  <c r="O29" i="15"/>
  <c r="O26" i="15"/>
  <c r="S51" i="5"/>
  <c r="S131" i="5" s="1"/>
  <c r="E49" i="11" l="1"/>
  <c r="E51" i="11" s="1"/>
  <c r="E53" i="11" s="1"/>
  <c r="G23" i="13"/>
  <c r="G24" i="13" s="1"/>
  <c r="G26" i="13" s="1"/>
  <c r="N16" i="59"/>
  <c r="N18" i="59" s="1"/>
  <c r="I37" i="15"/>
  <c r="A60" i="13"/>
  <c r="A58" i="13"/>
  <c r="A59" i="13"/>
  <c r="A31" i="13"/>
  <c r="O32" i="13" s="1"/>
  <c r="I31" i="15"/>
  <c r="K20" i="15"/>
  <c r="K34" i="15" s="1"/>
  <c r="I22" i="14" s="1"/>
  <c r="I24" i="14" s="1"/>
  <c r="I29" i="14" s="1"/>
  <c r="J31" i="16"/>
  <c r="J35" i="16" s="1"/>
  <c r="L29" i="16"/>
  <c r="I23" i="13" l="1"/>
  <c r="I24" i="13" s="1"/>
  <c r="I26" i="13" s="1"/>
  <c r="I36" i="13" s="1"/>
  <c r="E59" i="11"/>
  <c r="E61" i="11" s="1"/>
  <c r="C106" i="5"/>
  <c r="C75" i="5"/>
  <c r="C90" i="5" s="1"/>
  <c r="C33" i="5"/>
  <c r="K37" i="15"/>
  <c r="A32" i="13"/>
  <c r="L31" i="16"/>
  <c r="L35" i="16" s="1"/>
  <c r="M20" i="15"/>
  <c r="M34" i="15" s="1"/>
  <c r="K22" i="14" s="1"/>
  <c r="K24" i="14" s="1"/>
  <c r="K29" i="14" s="1"/>
  <c r="K31" i="15"/>
  <c r="K23" i="13" l="1"/>
  <c r="K24" i="13" s="1"/>
  <c r="K26" i="13" s="1"/>
  <c r="K36" i="13" s="1"/>
  <c r="D75" i="5"/>
  <c r="D90" i="5" s="1"/>
  <c r="C51" i="5"/>
  <c r="D33" i="5"/>
  <c r="D51" i="5" s="1"/>
  <c r="I54" i="13"/>
  <c r="I42" i="13"/>
  <c r="I44" i="13"/>
  <c r="I51" i="13"/>
  <c r="I49" i="13"/>
  <c r="I45" i="13"/>
  <c r="I43" i="13"/>
  <c r="I50" i="13"/>
  <c r="I40" i="13"/>
  <c r="I41" i="13"/>
  <c r="I48" i="13"/>
  <c r="I47" i="13"/>
  <c r="I46" i="13"/>
  <c r="M37" i="15"/>
  <c r="A33" i="13"/>
  <c r="M31" i="15"/>
  <c r="O20" i="15"/>
  <c r="O34" i="15" s="1"/>
  <c r="M22" i="14" s="1"/>
  <c r="M24" i="14" s="1"/>
  <c r="M29" i="14" s="1"/>
  <c r="V51" i="5"/>
  <c r="V131" i="5" s="1"/>
  <c r="U51" i="5"/>
  <c r="U131" i="5" s="1"/>
  <c r="W51" i="5"/>
  <c r="W131" i="5" s="1"/>
  <c r="X51" i="5"/>
  <c r="X131" i="5" s="1"/>
  <c r="T51" i="5"/>
  <c r="T131" i="5" s="1"/>
  <c r="M23" i="13" l="1"/>
  <c r="I52" i="13"/>
  <c r="I55" i="13" s="1"/>
  <c r="I15" i="13" s="1"/>
  <c r="I17" i="13" s="1"/>
  <c r="E56" i="11"/>
  <c r="E33" i="11" s="1"/>
  <c r="O37" i="15"/>
  <c r="O48" i="13"/>
  <c r="O46" i="13"/>
  <c r="O43" i="13"/>
  <c r="O41" i="13"/>
  <c r="O51" i="13"/>
  <c r="O49" i="13"/>
  <c r="O47" i="13"/>
  <c r="O45" i="13"/>
  <c r="O44" i="13"/>
  <c r="O50" i="13"/>
  <c r="O42" i="13"/>
  <c r="O40" i="13"/>
  <c r="A38" i="13"/>
  <c r="A39" i="13" s="1"/>
  <c r="A40" i="13" s="1"/>
  <c r="O54" i="13"/>
  <c r="O31" i="15"/>
  <c r="K50" i="13"/>
  <c r="K43" i="13"/>
  <c r="K40" i="13"/>
  <c r="K49" i="13"/>
  <c r="K51" i="13"/>
  <c r="K44" i="13"/>
  <c r="K54" i="13"/>
  <c r="K46" i="13"/>
  <c r="K42" i="13"/>
  <c r="K47" i="13"/>
  <c r="K48" i="13"/>
  <c r="K41" i="13"/>
  <c r="K45" i="13"/>
  <c r="E35" i="11" l="1"/>
  <c r="E43" i="11"/>
  <c r="E63" i="11"/>
  <c r="E42" i="12"/>
  <c r="A41" i="13"/>
  <c r="A42" i="13" s="1"/>
  <c r="A43" i="13" s="1"/>
  <c r="A44" i="13" s="1"/>
  <c r="A45" i="13" s="1"/>
  <c r="A46" i="13" s="1"/>
  <c r="A47" i="13" s="1"/>
  <c r="A48" i="13" s="1"/>
  <c r="A49" i="13" s="1"/>
  <c r="A50" i="13" s="1"/>
  <c r="A51" i="13" s="1"/>
  <c r="K52" i="13"/>
  <c r="E44" i="12" l="1"/>
  <c r="E46" i="12" s="1"/>
  <c r="E51" i="12"/>
  <c r="O52" i="13"/>
  <c r="A52" i="13"/>
  <c r="K55" i="13"/>
  <c r="K15" i="13" l="1"/>
  <c r="K17" i="13" s="1"/>
  <c r="E27" i="12" s="1"/>
  <c r="A53" i="13"/>
  <c r="A54" i="13" s="1"/>
  <c r="O55" i="13" s="1"/>
  <c r="E65" i="11" l="1"/>
  <c r="E48" i="12"/>
  <c r="A55" i="13"/>
  <c r="O15" i="13" s="1"/>
  <c r="E22" i="12" l="1"/>
  <c r="E38" i="11"/>
  <c r="E40" i="11" s="1"/>
  <c r="E24" i="12" l="1"/>
  <c r="E42" i="11"/>
  <c r="E44" i="11" l="1"/>
  <c r="E19" i="12"/>
  <c r="E26" i="12" s="1"/>
  <c r="E28" i="12" l="1"/>
  <c r="S151" i="5"/>
  <c r="T151" i="5" l="1"/>
  <c r="R87" i="5"/>
  <c r="H45" i="59" l="1"/>
  <c r="H46" i="59" s="1"/>
  <c r="R90" i="5"/>
  <c r="J45" i="59" l="1"/>
  <c r="J46" i="59" s="1"/>
  <c r="L42" i="59"/>
  <c r="J124" i="5"/>
  <c r="G124" i="5"/>
  <c r="D124" i="5"/>
  <c r="P124" i="5"/>
  <c r="M124" i="5"/>
  <c r="C124" i="5"/>
  <c r="R126" i="5"/>
  <c r="R129" i="5" s="1"/>
  <c r="R131" i="5" s="1"/>
  <c r="C126" i="5" l="1"/>
  <c r="C129" i="5" s="1"/>
  <c r="C131" i="5" s="1"/>
  <c r="G126" i="5"/>
  <c r="G129" i="5" s="1"/>
  <c r="G131" i="5" s="1"/>
  <c r="M126" i="5"/>
  <c r="M129" i="5" s="1"/>
  <c r="M131" i="5" s="1"/>
  <c r="P126" i="5"/>
  <c r="P129" i="5" s="1"/>
  <c r="P131" i="5" s="1"/>
  <c r="D126" i="5"/>
  <c r="D129" i="5" s="1"/>
  <c r="D131" i="5" s="1"/>
  <c r="J126" i="5"/>
  <c r="J129" i="5" s="1"/>
  <c r="J131" i="5" s="1"/>
  <c r="S152" i="5"/>
  <c r="L45" i="59"/>
  <c r="N45" i="59" s="1"/>
  <c r="N42" i="59"/>
  <c r="J138" i="5" l="1"/>
  <c r="J142" i="5" s="1"/>
  <c r="J144" i="5" s="1"/>
  <c r="J135" i="5"/>
  <c r="P138" i="5"/>
  <c r="P142" i="5" s="1"/>
  <c r="P144" i="5" s="1"/>
  <c r="P135" i="5"/>
  <c r="M138" i="5"/>
  <c r="M142" i="5" s="1"/>
  <c r="M144" i="5" s="1"/>
  <c r="M135" i="5"/>
  <c r="G138" i="5"/>
  <c r="G142" i="5" s="1"/>
  <c r="G144" i="5" s="1"/>
  <c r="G135" i="5"/>
  <c r="D138" i="5"/>
  <c r="D142" i="5" s="1"/>
  <c r="D144" i="5" s="1"/>
  <c r="D135" i="5"/>
  <c r="C138" i="5"/>
  <c r="C142" i="5" s="1"/>
  <c r="C144" i="5" s="1"/>
  <c r="C135" i="5"/>
  <c r="N46" i="59"/>
  <c r="L46" i="59"/>
  <c r="S153" i="5"/>
  <c r="T152" i="5"/>
  <c r="T153" i="5" s="1"/>
  <c r="R138" i="5"/>
  <c r="R142" i="5" s="1"/>
  <c r="R144" i="5" s="1"/>
  <c r="R135" i="5"/>
  <c r="P145" i="5" l="1"/>
  <c r="G145" i="5"/>
  <c r="M145" i="5"/>
  <c r="J145" i="5"/>
  <c r="C145" i="5"/>
  <c r="D145" i="5"/>
  <c r="R145" i="5"/>
  <c r="M22" i="13" l="1"/>
  <c r="M24" i="13" s="1"/>
  <c r="M26" i="13" s="1"/>
  <c r="M36" i="13" s="1"/>
  <c r="E53" i="12"/>
  <c r="E55" i="12" s="1"/>
  <c r="E57" i="12" s="1"/>
  <c r="E31" i="12" s="1"/>
  <c r="E33" i="12" s="1"/>
  <c r="E35" i="12" s="1"/>
  <c r="M51" i="13" l="1"/>
  <c r="M50" i="13"/>
  <c r="M47" i="13"/>
  <c r="M54" i="13"/>
  <c r="M43" i="13"/>
  <c r="M46" i="13"/>
  <c r="M48" i="13"/>
  <c r="M45" i="13"/>
  <c r="M40" i="13"/>
  <c r="M49" i="13"/>
  <c r="M42" i="13"/>
  <c r="M44" i="13"/>
  <c r="M41" i="13"/>
  <c r="M52" i="13" l="1"/>
  <c r="M55" i="13" s="1"/>
  <c r="M15" i="13" s="1"/>
  <c r="M17" i="13" s="1"/>
  <c r="E36" i="12" l="1"/>
  <c r="E37"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Hawk, Natalie</author>
  </authors>
  <commentList>
    <comment ref="E19" authorId="0" shapeId="0" xr:uid="{067B14A0-0441-4358-81F3-BA52B0093CDD}">
      <text>
        <r>
          <rPr>
            <sz val="9"/>
            <color indexed="81"/>
            <rFont val="Tahoma"/>
            <family val="2"/>
          </rPr>
          <t>Sept thru Dec 2025 (4 months)</t>
        </r>
      </text>
    </comment>
    <comment ref="E20" authorId="0" shapeId="0" xr:uid="{3060838B-3E06-4F31-A7A5-E4299AA12AE2}">
      <text>
        <r>
          <rPr>
            <sz val="9"/>
            <color indexed="81"/>
            <rFont val="Tahoma"/>
            <family val="2"/>
          </rPr>
          <t>Jan-July 2026 (7 months)</t>
        </r>
      </text>
    </comment>
    <comment ref="G20" authorId="0" shapeId="0" xr:uid="{951E45EF-CDA7-48E4-9E4A-8B9D9158E368}">
      <text>
        <r>
          <rPr>
            <sz val="9"/>
            <color indexed="81"/>
            <rFont val="Tahoma"/>
            <family val="2"/>
          </rPr>
          <t>Aug-Dec 2026 (5 months)</t>
        </r>
      </text>
    </comment>
    <comment ref="G21" authorId="0" shapeId="0" xr:uid="{3F63CD36-0622-4918-9AF7-E1B26CB357DA}">
      <text>
        <r>
          <rPr>
            <sz val="9"/>
            <color indexed="81"/>
            <rFont val="Tahoma"/>
            <family val="2"/>
          </rPr>
          <t>Jan-July 2027 (7 months)</t>
        </r>
      </text>
    </comment>
    <comment ref="I21" authorId="0" shapeId="0" xr:uid="{64423CB9-97E6-42E8-B0F5-4F208FF963F9}">
      <text>
        <r>
          <rPr>
            <sz val="9"/>
            <color indexed="81"/>
            <rFont val="Tahoma"/>
            <family val="2"/>
          </rPr>
          <t>Aug-Dec 2027 (5 months)</t>
        </r>
      </text>
    </comment>
    <comment ref="I22" authorId="0" shapeId="0" xr:uid="{FDF12720-0FB4-4F7A-AB21-EA21F21DBA5B}">
      <text>
        <r>
          <rPr>
            <sz val="9"/>
            <color indexed="81"/>
            <rFont val="Tahoma"/>
            <family val="2"/>
          </rPr>
          <t>Jan-July 2028 (7 months)</t>
        </r>
      </text>
    </comment>
    <comment ref="K22" authorId="0" shapeId="0" xr:uid="{B3A9FE7E-9ECA-48E8-BEDC-E04600523D89}">
      <text>
        <r>
          <rPr>
            <sz val="9"/>
            <color indexed="81"/>
            <rFont val="Tahoma"/>
            <family val="2"/>
          </rPr>
          <t>Aug-Dec 2028 (5 months)</t>
        </r>
      </text>
    </comment>
    <comment ref="K23" authorId="0" shapeId="0" xr:uid="{39CD9144-7A78-4D1F-9887-F70ABA45A7C1}">
      <text>
        <r>
          <rPr>
            <sz val="9"/>
            <color indexed="81"/>
            <rFont val="Tahoma"/>
            <family val="2"/>
          </rPr>
          <t>Jan-July 2029 (7 months)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Hawk, Natalie</author>
  </authors>
  <commentList>
    <comment ref="R25" authorId="0" shapeId="0" xr:uid="{2A714611-EE2A-4C06-9AEE-E987366BD2FB}">
      <text>
        <r>
          <rPr>
            <b/>
            <sz val="9"/>
            <color indexed="81"/>
            <rFont val="Tahoma"/>
            <family val="2"/>
          </rPr>
          <t>misc adj of $37</t>
        </r>
      </text>
    </comment>
    <comment ref="R48" authorId="0" shapeId="0" xr:uid="{EEF35AD9-0B56-47EC-923F-82BDBBA0EDE1}">
      <text>
        <r>
          <rPr>
            <sz val="9"/>
            <color indexed="81"/>
            <rFont val="Tahoma"/>
            <family val="2"/>
          </rPr>
          <t>rounding adj</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<sst xmlns="http://schemas.openxmlformats.org/spreadsheetml/2006/main" count="9558" uniqueCount="895">
  <si>
    <t>This file needs links from your files to the following places in this file:</t>
  </si>
  <si>
    <t>Line</t>
  </si>
  <si>
    <t>Updated CLS 11.16.2025</t>
  </si>
  <si>
    <t>Note: No COR on IT systems since systems did not carryover from Ngrid's books</t>
  </si>
  <si>
    <t>No additions - ISR plan not approved therefore no roll in to rate base</t>
  </si>
  <si>
    <t>This schedule is complicated, so if facilities amounts change, I think we will need manual intervention.</t>
  </si>
  <si>
    <t>The following places in this file need to be linked to your file.</t>
  </si>
  <si>
    <t xml:space="preserve"> </t>
  </si>
  <si>
    <t>(a)</t>
  </si>
  <si>
    <t>(b)</t>
  </si>
  <si>
    <t>(c)</t>
  </si>
  <si>
    <t>(e)</t>
  </si>
  <si>
    <t>(f)</t>
  </si>
  <si>
    <t>(h)</t>
  </si>
  <si>
    <t>(i)</t>
  </si>
  <si>
    <t>(k)</t>
  </si>
  <si>
    <t>(l)</t>
  </si>
  <si>
    <t>Line Notes</t>
  </si>
  <si>
    <t>Electric</t>
  </si>
  <si>
    <t>Gas</t>
  </si>
  <si>
    <t>THE NARRAGANSETT ELECTRIC COMPANY</t>
  </si>
  <si>
    <t>d/b/a RHODE ISLAND ENERGY</t>
  </si>
  <si>
    <t>The Narragansett Electric Company d/b/a Rhode Island Energy</t>
  </si>
  <si>
    <t>1/</t>
  </si>
  <si>
    <t>Line No.</t>
  </si>
  <si>
    <t>(d)</t>
  </si>
  <si>
    <t> </t>
  </si>
  <si>
    <t>The portion of general plant allocated to the transmission segment is 11.5487%.</t>
  </si>
  <si>
    <t>Plant related ADIT:</t>
  </si>
  <si>
    <t>Only Plant-related ADIT is reflected in these schedules.</t>
  </si>
  <si>
    <t>When rolling over Plant ADIT balances from year to year, make sure to pull out the proration adjustment.  The proratation adjustment is a rate-making adjustment and does not get recorded to the actual ADIT balance per books.</t>
  </si>
  <si>
    <t>Plant ADIT must be prorated on forecasted activity using a particular formula described in the IRS normalization rules and does not need to be averaged using a 13-month average or other averaging method used for book plant.</t>
  </si>
  <si>
    <t>All Plant-related ADIT is reflected in Proration in this file (unprotected plant (i.e., basis differences) should be part of 13-month averaging, but instead are part of proration for simplicity)</t>
  </si>
  <si>
    <t>Amortization of Excess ADIT must be included in the ADIT activity that is being prorated.</t>
  </si>
  <si>
    <t>NOL related ADIT that is the direct result of accelerated depreciation (based on a with and without methodology) is included in the ADIT in rate base as well as the proration formula.</t>
  </si>
  <si>
    <t>CIAC ADIT is related to Plant and is recorded to Account 190.  CIAC ADIT is not included in rate base for RIE because RIE collects a tax gross-up on CIAC received and therefore is alredy getting recovery of taxes.</t>
  </si>
  <si>
    <t>Non-Plant related ADIT:</t>
  </si>
  <si>
    <t>There are two non-plant related items in RIE's rate base:</t>
  </si>
  <si>
    <t>1.  Reacquired Debt - Deferred taxes are recorded on this item and since deferred taxes are basically the tax effect of the cumulative book balance, the decision was to show the ADIT on this item on a separate line in rate base and it will not come from this file/rate case schedule.</t>
  </si>
  <si>
    <t xml:space="preserve">2. Amortization of debt issuance costs - currently there are no book/tax differences on this item, so there is no ADIT to account for in rate base.  </t>
  </si>
  <si>
    <t>RIPUC Docket No. 25-45-GE</t>
  </si>
  <si>
    <t>Compliance Attachment 2</t>
  </si>
  <si>
    <t>Schedule NH-3-ELEC</t>
  </si>
  <si>
    <t>Page 1 of 17</t>
  </si>
  <si>
    <t/>
  </si>
  <si>
    <t>Accumulated Deferred Income Tax (ADIT) Forecast Rate Base Adjustments</t>
  </si>
  <si>
    <t>Ending August 31, 2024 through Rate Year 1 Ending July 31, 2027</t>
  </si>
  <si>
    <t>Accumulated</t>
  </si>
  <si>
    <t xml:space="preserve">Deferred </t>
  </si>
  <si>
    <t>Description</t>
  </si>
  <si>
    <t>Income Tax</t>
  </si>
  <si>
    <t>Notes</t>
  </si>
  <si>
    <t>ADIT Balance at:</t>
  </si>
  <si>
    <t>ADIT Balance at August 31, 2025</t>
  </si>
  <si>
    <t>Increase/(Decrease) 11  Month Ended</t>
  </si>
  <si>
    <t>ADIT Balance at July 31, 2026</t>
  </si>
  <si>
    <t>Increase / (Decrease) in Deferred Tax Liability Adjustments:</t>
  </si>
  <si>
    <t>Annual Deferred Tax Activity on Plant</t>
  </si>
  <si>
    <t>Excess Defered Income Tax Amortization</t>
  </si>
  <si>
    <t>Net Annual Increase / (Decrease) in ADIT Before Proration</t>
  </si>
  <si>
    <t>Rate Year 1 ADIT Balance at July 31, 2027</t>
  </si>
  <si>
    <t>Deferred Tax Liability Proration Adjustment</t>
  </si>
  <si>
    <t>Rate Year 1 ADIT Prorated Balance at July 31, 2027</t>
  </si>
  <si>
    <t>11 Months Ended 07/31/26:</t>
  </si>
  <si>
    <t xml:space="preserve">   Tax Depreciation &amp; Basis Differences</t>
  </si>
  <si>
    <t xml:space="preserve">   Book Depreciation</t>
  </si>
  <si>
    <t xml:space="preserve">   (Incr) / Decr in Tax Basis from book/tax temporary differences</t>
  </si>
  <si>
    <t xml:space="preserve">   Income Tax Rate</t>
  </si>
  <si>
    <t>Per Tax Dept</t>
  </si>
  <si>
    <t xml:space="preserve">     Annual Increase / (Decrease) in Deferred Tax Liability</t>
  </si>
  <si>
    <t>Net Operating Loss Utilization</t>
  </si>
  <si>
    <t>Incr / (Decr) in DTL related to Excess DIT amortization</t>
  </si>
  <si>
    <t>Net Annual Increase / (Decrease) in Deferred Tax Liability</t>
  </si>
  <si>
    <t>12 Months Ended 07/31/27:</t>
  </si>
  <si>
    <t>Page 2 of 17</t>
  </si>
  <si>
    <t>Ending July 31, 2027 through Data Year 1 Ending July 31, 2029</t>
  </si>
  <si>
    <t>Rate Year 2 ADIT Balance at July 31, 2028</t>
  </si>
  <si>
    <t>Rate Year 2 ADIT Prorated Balance at July 31, 2028</t>
  </si>
  <si>
    <t>Data Year 1 ADIT Balance at July 31, 2029</t>
  </si>
  <si>
    <t>Data Year 1 ADIT Prorated Balance at July 31, 2029</t>
  </si>
  <si>
    <t>12 Months Ended 08/31/28:</t>
  </si>
  <si>
    <t>2/</t>
  </si>
  <si>
    <t>12 Months Ended 08/31/29:</t>
  </si>
  <si>
    <t>Page 3 of 17</t>
  </si>
  <si>
    <t>Accumulated Deferred Income Tax ("ADIT") Balances Ending August 31, 2025</t>
  </si>
  <si>
    <t>Identification of ADIT Balances included in Rate Bae</t>
  </si>
  <si>
    <t>Reference</t>
  </si>
  <si>
    <t>Electric Distribution</t>
  </si>
  <si>
    <t>Electric Transmission</t>
  </si>
  <si>
    <t>Total Electric</t>
  </si>
  <si>
    <t>Gas 
Distribution</t>
  </si>
  <si>
    <t>Rhode Island Energy Consolidated</t>
  </si>
  <si>
    <t>ADIT Balance at August 31, 2025 included in Rate Base:</t>
  </si>
  <si>
    <t>Debits/(Credits)</t>
  </si>
  <si>
    <t>Deficient ADIT - Net Operating Losses</t>
  </si>
  <si>
    <t>Line 5</t>
  </si>
  <si>
    <t>Utility Plant</t>
  </si>
  <si>
    <t>Line 12</t>
  </si>
  <si>
    <t xml:space="preserve"> Reallocation of General Plant between Dist and Trans </t>
  </si>
  <si>
    <t xml:space="preserve"> Tax Dept Records </t>
  </si>
  <si>
    <t>Total Plant Related ADIT in Rate Base</t>
  </si>
  <si>
    <t xml:space="preserve"> Lines 1 thru 3 </t>
  </si>
  <si>
    <t>Deferred Tax Balances by FERC Account at August 31, 2025</t>
  </si>
  <si>
    <t>Account 190</t>
  </si>
  <si>
    <t>Contributions in Aid of Construction</t>
  </si>
  <si>
    <t>Tax Dept Records</t>
  </si>
  <si>
    <t>Bad Debt</t>
  </si>
  <si>
    <t>Regulatory Liabilities (non-tax related)</t>
  </si>
  <si>
    <t>Regulatory Liabilities (tax related)</t>
  </si>
  <si>
    <t>IRC Section 197 Intangible</t>
  </si>
  <si>
    <t>NonPlant Deficient Deferred Taxes</t>
  </si>
  <si>
    <t>Plant/NonPlant ASC980 Adjustment Excluding Gross-Up</t>
  </si>
  <si>
    <t>Other Non-Plant Deferred Tax Assets</t>
  </si>
  <si>
    <t>Total Non-Plant Deferred Tax Assets</t>
  </si>
  <si>
    <t xml:space="preserve"> Lines 5 thru 13 </t>
  </si>
  <si>
    <t>Account 282</t>
  </si>
  <si>
    <t>Non-Utility Plant</t>
  </si>
  <si>
    <t>Plant ASC980 Adjustment Excluding Gross-Up</t>
  </si>
  <si>
    <t>Total Plant Deferred Tax Liabilties</t>
  </si>
  <si>
    <t xml:space="preserve"> Lines 15 thru 17 </t>
  </si>
  <si>
    <t>Account 283</t>
  </si>
  <si>
    <t>Regulatory Assets (non-tax related)</t>
  </si>
  <si>
    <t>Regulatory Assets (tax related)</t>
  </si>
  <si>
    <t>Unamortized Acquisition Related Adjustment</t>
  </si>
  <si>
    <t>NonPlant Excess Deferred Taxes</t>
  </si>
  <si>
    <t>NonPlant ASC980 Adjustment Excluding Gross-Up</t>
  </si>
  <si>
    <t>Other Non-Plant Deferred Tax Liabilities</t>
  </si>
  <si>
    <t>Total Non-Plant Deferred Tax Liabilties</t>
  </si>
  <si>
    <t xml:space="preserve"> Lines 19 thru 24 </t>
  </si>
  <si>
    <t>Check Account Balance to Balance Sheet</t>
  </si>
  <si>
    <t>Deferred taxes recorded for Federal Energy Regulatory Commission (FERC) purposes represent deferred tax balances at the income tax rate in effect when the deferred taxes were generated.  For Generally Accepted Accounting Principals (GAAP), deferred tax balances must be reflected at the statutory income tax rate expected to be applied when the deferred taxes reverse.  The ASC980 adjustments reflect the FERC to GAAP differences needed to reflect deferred tax balances at the current statutory rate of 21%, as enacted by the Tax Cuts and Jobs Act in 2017, per GAAP guidance.</t>
  </si>
  <si>
    <t>Page 4 of 17</t>
  </si>
  <si>
    <t>Proration Adjustment</t>
  </si>
  <si>
    <t>Test Year, Rates Years 1 and 2 and Data Year 1</t>
  </si>
  <si>
    <t xml:space="preserve">11 Months Ending </t>
  </si>
  <si>
    <t>Rate Year 1 Ending</t>
  </si>
  <si>
    <t>Rate Year 2 Ending</t>
  </si>
  <si>
    <t>Data Year 1 Ending</t>
  </si>
  <si>
    <t>Increase / (Decrease) in Deferred Tax Liability ("DTL") related to the Proration Adjustment</t>
  </si>
  <si>
    <t>Total</t>
  </si>
  <si>
    <t>NOTE: Proration is only applicable to forecasted ADIT that represents the same time period on which customer rates are based and become effective.</t>
  </si>
  <si>
    <t>Deferred Tax Subject to Proration</t>
  </si>
  <si>
    <t>Book Depreciation</t>
  </si>
  <si>
    <t>Remaining MACRS Tax Depreciation and Basis Differences</t>
  </si>
  <si>
    <t>Incr / (Decr) in Tax Basis from book/tax temporary differences</t>
  </si>
  <si>
    <t>Effective Tax Rate</t>
  </si>
  <si>
    <t>(Increase) / Decrease in DTL</t>
  </si>
  <si>
    <t>See Line Notes below</t>
  </si>
  <si>
    <t>Total  (Increase) / Decrease in DTL Subject to Proration</t>
  </si>
  <si>
    <t>N/A - See NOTE</t>
  </si>
  <si>
    <t>Proration Calculation</t>
  </si>
  <si>
    <t>Number of Days in Month</t>
  </si>
  <si>
    <t>Proration Percentage</t>
  </si>
  <si>
    <t>August</t>
  </si>
  <si>
    <t>September</t>
  </si>
  <si>
    <t>October</t>
  </si>
  <si>
    <t>November</t>
  </si>
  <si>
    <t>December</t>
  </si>
  <si>
    <t>January</t>
  </si>
  <si>
    <t>February</t>
  </si>
  <si>
    <t>March</t>
  </si>
  <si>
    <t>April</t>
  </si>
  <si>
    <t>May</t>
  </si>
  <si>
    <t>June</t>
  </si>
  <si>
    <t>July</t>
  </si>
  <si>
    <t>Total  (Incr) / Decr in DTL with Proration Adjustment</t>
  </si>
  <si>
    <t>Total  (Incr) / Decr in DTL without Proration Adjustment</t>
  </si>
  <si>
    <t>Total  (Incr) / Decr in DTL related to the Proration Adjustment</t>
  </si>
  <si>
    <t>Page 5 of 17</t>
  </si>
  <si>
    <t>Summary of Federal Tax Depreciation and Other Plant Related Tax Additions/Deductions</t>
  </si>
  <si>
    <t>For the Test Year Ended August 31, 2025 through the Data Year 1 Ending July 31, 2029</t>
  </si>
  <si>
    <t>Estimated Additions</t>
  </si>
  <si>
    <t xml:space="preserve">Test Year Ending </t>
  </si>
  <si>
    <t>Narragansett Electric Description of Book/Tax Difference</t>
  </si>
  <si>
    <t>Tax Depreciation of Actual Plant Additions thru August 31, 2025</t>
  </si>
  <si>
    <t>Tax Depreciation on 3-Year Straight-Line Plant Additions</t>
  </si>
  <si>
    <t>Tax Depreciation on 20-Year MACRS Plant Additions</t>
  </si>
  <si>
    <t>Tax Depreciation on 39-Year Plant Additions</t>
  </si>
  <si>
    <t>3/</t>
  </si>
  <si>
    <t>Total Tax Depreciation</t>
  </si>
  <si>
    <t>Capital Repairs</t>
  </si>
  <si>
    <t>Cost of Removal on 20-Year MACRS Property</t>
  </si>
  <si>
    <t>Cost of Removal on 39-Year MACRS Property</t>
  </si>
  <si>
    <t>Total Tax Depreciation and Basis Differences</t>
  </si>
  <si>
    <t>Tax Depreciation Rates:</t>
  </si>
  <si>
    <t>Year 1</t>
  </si>
  <si>
    <t>Year 2</t>
  </si>
  <si>
    <t>Year 3</t>
  </si>
  <si>
    <t>Year 4</t>
  </si>
  <si>
    <t>3-Year Straight-Line Half-Year Convention (IT)</t>
  </si>
  <si>
    <t>20-Year MACRS Property (Gas Utility Plant)</t>
  </si>
  <si>
    <t>39-Year Straight-Line Mid-Month Convention (Facilities)</t>
  </si>
  <si>
    <t>Varies</t>
  </si>
  <si>
    <t>1(a)</t>
  </si>
  <si>
    <t>Page 6 of 17</t>
  </si>
  <si>
    <t>Federal Tax Depreciation on Actual Plant Additions through August 31, 2025</t>
  </si>
  <si>
    <t>Summary</t>
  </si>
  <si>
    <t>Total Tax Depreciation and Repairs Deduction</t>
  </si>
  <si>
    <t>11 Months Ending</t>
  </si>
  <si>
    <t>Narragansett Electric</t>
  </si>
  <si>
    <t xml:space="preserve">2025 Tax Depreciation </t>
  </si>
  <si>
    <t>2026 Tax Depreciation</t>
  </si>
  <si>
    <t>Take Powertax Case above and run it out to Rate Year 3.  Add the respective calendar year months for each period reflected in columns.</t>
  </si>
  <si>
    <t xml:space="preserve">2027 Tax Depreciation </t>
  </si>
  <si>
    <t>2028 Tax Depreciation</t>
  </si>
  <si>
    <t>2029 Tax Depreciation</t>
  </si>
  <si>
    <t>Line Note</t>
  </si>
  <si>
    <t>1(a) - 5(d)</t>
  </si>
  <si>
    <t>Page 7 of  17</t>
  </si>
  <si>
    <t>Summary of Federal Tax Depreciation and Other Plant Related Tax Additions/Deductions on 3-Year Straight-Line Property (IT)</t>
  </si>
  <si>
    <t>Narragansett</t>
  </si>
  <si>
    <t>Capital</t>
  </si>
  <si>
    <t>Electric Company</t>
  </si>
  <si>
    <t>Additions</t>
  </si>
  <si>
    <t>Current Deduct</t>
  </si>
  <si>
    <t>Capital Repairs 11 Months Ending July 31, 2026</t>
  </si>
  <si>
    <t>MACRS 11 Months Ending July 31, 2026</t>
  </si>
  <si>
    <t>Cost of Removal 11 Months Ending July 31,2026</t>
  </si>
  <si>
    <t>Capital Repairs Rate Year 1 Ending July 31, 2027</t>
  </si>
  <si>
    <t>MACRS Rate Year 1 Ending July 31, 2027</t>
  </si>
  <si>
    <t>Cost of Removal Rate Year 1 Ending July 31,2027</t>
  </si>
  <si>
    <t>Capital Repairs Rate Year 2 Ending July 31, 2028</t>
  </si>
  <si>
    <t>MACRS Rate Year 2 Ending July 31, 2028</t>
  </si>
  <si>
    <t>Cost of Removal Rate Year 2 Ending July 31,2028</t>
  </si>
  <si>
    <t>Capital Repairs Data Year 1 Ending July 31, 2029</t>
  </si>
  <si>
    <t>MACRS Data Year 1 Ending July 31, 2029</t>
  </si>
  <si>
    <t>Cost of Removal Data Year 1 Ending July 31,2029</t>
  </si>
  <si>
    <t>Summary by Book/Tax Difference Category:</t>
  </si>
  <si>
    <t>MACRS Tax Depreciation</t>
  </si>
  <si>
    <t>Capitalized Paving/Capital Repairs</t>
  </si>
  <si>
    <t>Cost of Removal</t>
  </si>
  <si>
    <t>Page 8 of 17</t>
  </si>
  <si>
    <t xml:space="preserve"> Calculation of Tax Depreciation and Repairs Deduction on 3-Year Straight-Line Property (IT)</t>
  </si>
  <si>
    <t>On Capital Investment for the 11 Months Ending July 31, 2026</t>
  </si>
  <si>
    <t>Capital Repairs Deduction</t>
  </si>
  <si>
    <t>Plant Additions</t>
  </si>
  <si>
    <t>Schedule SAB-11-ELEC, Page 5, Line 2(d)</t>
  </si>
  <si>
    <t>Book/Tax Basis Adjustments</t>
  </si>
  <si>
    <t>Tax Basis of Plant Eligible for Capital Repairs Deduction</t>
  </si>
  <si>
    <t>Line 1 + Line 2</t>
  </si>
  <si>
    <t>Capital Repairs Deduction Rate</t>
  </si>
  <si>
    <t>Per Tax Department</t>
  </si>
  <si>
    <t>Line 3 * Line 4</t>
  </si>
  <si>
    <t>Remaining Tax Depreciation</t>
  </si>
  <si>
    <t>Tax Basis in Plant Additions</t>
  </si>
  <si>
    <t>Line 1</t>
  </si>
  <si>
    <t>Less Capital Repairs Deduction</t>
  </si>
  <si>
    <t>Remaining Plant Additions Subject to 3-YR SL Tax Depreciation</t>
  </si>
  <si>
    <t>Sum of Line 17 through 19</t>
  </si>
  <si>
    <t>3-YR Straight-Line Tax Depreciation Rates</t>
  </si>
  <si>
    <t>Line 20 * Line 21</t>
  </si>
  <si>
    <t>N/A</t>
  </si>
  <si>
    <t>Line 5 + Line 14 + Line 22 + Line 24</t>
  </si>
  <si>
    <t>Page 9 of 17</t>
  </si>
  <si>
    <t>On Capital Investment for the 12 Months Ending July 31, 2027</t>
  </si>
  <si>
    <t>Schedule SAB-11-ELEC, Page 5, Line 2(g)</t>
  </si>
  <si>
    <t>Plant Eligible tfor Capital Repairs Deduction</t>
  </si>
  <si>
    <t>Line 8 - Line 9</t>
  </si>
  <si>
    <t>Line 11 * Line 12</t>
  </si>
  <si>
    <t>Page 10 of 17</t>
  </si>
  <si>
    <t>On Capital Investment for the 12 Months Ending July 31, 2028</t>
  </si>
  <si>
    <t>Schedule SAB-11-ELEC, Page 5, Line 2(j)</t>
  </si>
  <si>
    <t>Plant Eligible for Capital Repairs Deduction</t>
  </si>
  <si>
    <t>Line 5 + Line 13 + Line 15</t>
  </si>
  <si>
    <t>Page 11 of 17</t>
  </si>
  <si>
    <t>On Capital Investment for the 12 Months Ending July 31, 2029</t>
  </si>
  <si>
    <t>Schedule SAB-11-ELEC, Page 5, Line 2(m)</t>
  </si>
  <si>
    <t>Remaining Plant Additions Subject to 20 YR MACRS Tax Depreciation</t>
  </si>
  <si>
    <t>Page 12 of  17</t>
  </si>
  <si>
    <t>Summary of Federal Tax Depreciation and Other Plant Related Tax Additions/Deductions on 20-Year MACRS Property</t>
  </si>
  <si>
    <t>Page 13 of 17</t>
  </si>
  <si>
    <t xml:space="preserve"> Calculation of Tax Depreciation and Repairs Deduction on 20-Year MACRS Property</t>
  </si>
  <si>
    <t>Notes not to be included in filing</t>
  </si>
  <si>
    <t>Schedule SAB-11-ELEC Page 5, Line 1(d)</t>
  </si>
  <si>
    <t>Based on partial 2023 (Apr-Dec) and partial 2024 (Jan-Mar) Final Income Tax Returns (the latest actual information)</t>
  </si>
  <si>
    <t>20 YR MACRS Tax Depreciation Rates</t>
  </si>
  <si>
    <t>Page 14 of 17</t>
  </si>
  <si>
    <t>Schedule SAB-11-ELEC Page 5, Line 1(g)</t>
  </si>
  <si>
    <t>Page 15 of 17</t>
  </si>
  <si>
    <t>Schedule SAB-11-ELEC Page 5, Line 1(j)</t>
  </si>
  <si>
    <t>Page 16 of 17</t>
  </si>
  <si>
    <t>Schedule SAB-11-ELEC Page 5, Line 1(m)</t>
  </si>
  <si>
    <t>Page 17 of  17</t>
  </si>
  <si>
    <t xml:space="preserve"> Calculation of Tax Depreciation on 39-Year Straight-Line Property (Facilities)</t>
  </si>
  <si>
    <t>On Capital Investment for the 11 Months Ending July 31, 2026 through Data Year 1</t>
  </si>
  <si>
    <t>Placed-In-Service</t>
  </si>
  <si>
    <t>LineNo.</t>
  </si>
  <si>
    <t>Year</t>
  </si>
  <si>
    <t>Month</t>
  </si>
  <si>
    <t>Total Additions</t>
  </si>
  <si>
    <t>Total Additions Allocated to Distribution</t>
  </si>
  <si>
    <t>Sep-Dec 2025</t>
  </si>
  <si>
    <t>Jan-Jul 2026</t>
  </si>
  <si>
    <t>Aug-Dec 2026</t>
  </si>
  <si>
    <t>Jan-Jul 2027</t>
  </si>
  <si>
    <t>Aug-Dec 2027</t>
  </si>
  <si>
    <t>Jan-Jul 2028</t>
  </si>
  <si>
    <t>Aug-Dec 2028</t>
  </si>
  <si>
    <t>Jan-Jul 2029</t>
  </si>
  <si>
    <t>(g)</t>
  </si>
  <si>
    <t>(j)</t>
  </si>
  <si>
    <t>(m)</t>
  </si>
  <si>
    <t>(n)</t>
  </si>
  <si>
    <t>(o)</t>
  </si>
  <si>
    <t>(p)</t>
  </si>
  <si>
    <t>(q)</t>
  </si>
  <si>
    <t>(r)</t>
  </si>
  <si>
    <t>Total Tax Depr</t>
  </si>
  <si>
    <t>Total Tax Deductions</t>
  </si>
  <si>
    <t>Notes:</t>
  </si>
  <si>
    <t>Any plant additions that are placed-in-service (PIS) between the months of September through December of calendar year 2025 will have a formula as follows:</t>
  </si>
  <si>
    <t>Monthly tax depreciation (i.e. Col f) x number of months remaining in year with the first month being a half month (i.e. 12 months less PIS month + half month)</t>
  </si>
  <si>
    <t>Thereafter, the monthly tax depreciation (i.e. Col f) x number of calendar year months included in the rate year</t>
  </si>
  <si>
    <t>Any plant additions that are placed-in-service (PIS) between the months of January through July of a calendar year that are included in the second part of the rate year will have a formula as follows:</t>
  </si>
  <si>
    <t>Monthly tax depreciation (i.e. Col f) x number of months remaining in year with the first month being a half month (i.e. 12 months less PIS month + half month) / 12 months x 7 months</t>
  </si>
  <si>
    <t>Any plant additions that are placed-in-service (PIS) between the months of August through December of a calendar year that are included in the first part of the rate year will have a formula as follows:</t>
  </si>
  <si>
    <t>Monthly Tax Depreciation (i.e. Col f) x number of months remaining in year with the first month being a half month (i.e. 12 months less PIS month + half month) / 12 months x 5 months</t>
  </si>
  <si>
    <t>RI Energy (NECO)</t>
  </si>
  <si>
    <t>2025 Rate Case</t>
  </si>
  <si>
    <t>Tax Depreciation in Test Year (September 1, 2024 - August 31, 2025)</t>
  </si>
  <si>
    <t>Gas Distribution</t>
  </si>
  <si>
    <t>YTD Dec 31, 2024</t>
  </si>
  <si>
    <t>Less:  YTD Aug 31, 2024</t>
  </si>
  <si>
    <t>Plus:  YTD Aug 31, 2025</t>
  </si>
  <si>
    <t>Test Year Tax Depr</t>
  </si>
  <si>
    <t>Flip Signs and Add to Rate Case Exhibit</t>
  </si>
  <si>
    <t>2025 - 2027 Depreciation Forecast</t>
  </si>
  <si>
    <t>(Includes Actual Additions/Retirements through August 31, 2025)</t>
  </si>
  <si>
    <t>RIE Electric Transmission</t>
  </si>
  <si>
    <t>RIE Electric Distribution</t>
  </si>
  <si>
    <t>RIE Gas Distribution</t>
  </si>
  <si>
    <t>Electric Distribution Rate Case</t>
  </si>
  <si>
    <t>11 Months Ending 7/31/2026 (Sept 1 - July 31)</t>
  </si>
  <si>
    <t>Rate Year 1 Ending 7/31/2027 (Aug 1 - July 31)</t>
  </si>
  <si>
    <t>Rate Year 2 Ending 7/31/2028 (Aug 1 - July 31)</t>
  </si>
  <si>
    <t>Rate Year 3 Ending 7/31/2029 (Aug 1 - July 31)</t>
  </si>
  <si>
    <t>Latest Annual 2025 Tax Depr Estimate</t>
  </si>
  <si>
    <t>Tax Depr recognized thru Aug 31, 2025</t>
  </si>
  <si>
    <t>Remaining Tax Depr for Sept - Dec 2025</t>
  </si>
  <si>
    <t>Gas Distribution Rate Case</t>
  </si>
  <si>
    <t>BU 75002</t>
  </si>
  <si>
    <t>919001101</t>
  </si>
  <si>
    <t>919001111</t>
  </si>
  <si>
    <t>919001121</t>
  </si>
  <si>
    <t>919001131</t>
  </si>
  <si>
    <t>919001161</t>
  </si>
  <si>
    <t>919001171</t>
  </si>
  <si>
    <t>919001201</t>
  </si>
  <si>
    <t>919001211</t>
  </si>
  <si>
    <t>919001221</t>
  </si>
  <si>
    <t>919001231</t>
  </si>
  <si>
    <t>919001261</t>
  </si>
  <si>
    <t>919001271</t>
  </si>
  <si>
    <t>919001401</t>
  </si>
  <si>
    <t>919001411</t>
  </si>
  <si>
    <t>919001421</t>
  </si>
  <si>
    <t>919001431</t>
  </si>
  <si>
    <t>919001461</t>
  </si>
  <si>
    <t>919001471</t>
  </si>
  <si>
    <t>919010011</t>
  </si>
  <si>
    <t>919013031</t>
  </si>
  <si>
    <t>Severance Pay-Fed Def Tx</t>
  </si>
  <si>
    <t>919014011</t>
  </si>
  <si>
    <t>919014111</t>
  </si>
  <si>
    <t>FDTA - Injuries and Damages</t>
  </si>
  <si>
    <t>919014131</t>
  </si>
  <si>
    <t>Vacation Pay - Federal</t>
  </si>
  <si>
    <t>919020011</t>
  </si>
  <si>
    <t>919022011</t>
  </si>
  <si>
    <t>919025101</t>
  </si>
  <si>
    <t>919025201</t>
  </si>
  <si>
    <t>919025401</t>
  </si>
  <si>
    <t>919026001</t>
  </si>
  <si>
    <t>919035311</t>
  </si>
  <si>
    <t>919038071</t>
  </si>
  <si>
    <t>919044001</t>
  </si>
  <si>
    <t>919044011</t>
  </si>
  <si>
    <t>919050011</t>
  </si>
  <si>
    <t>919052131</t>
  </si>
  <si>
    <t>919052141</t>
  </si>
  <si>
    <t>919054011</t>
  </si>
  <si>
    <t>919054021</t>
  </si>
  <si>
    <t>919059011</t>
  </si>
  <si>
    <t>919061011</t>
  </si>
  <si>
    <t>919070001</t>
  </si>
  <si>
    <t>919080001</t>
  </si>
  <si>
    <t>919081001</t>
  </si>
  <si>
    <t>919090011</t>
  </si>
  <si>
    <t>919096111</t>
  </si>
  <si>
    <t>928201101</t>
  </si>
  <si>
    <t>928201201</t>
  </si>
  <si>
    <t>928201401</t>
  </si>
  <si>
    <t>928211101</t>
  </si>
  <si>
    <t>928211201</t>
  </si>
  <si>
    <t>928211401</t>
  </si>
  <si>
    <t>928212101</t>
  </si>
  <si>
    <t>928212201</t>
  </si>
  <si>
    <t>928212401</t>
  </si>
  <si>
    <t>928290001</t>
  </si>
  <si>
    <t>928301121</t>
  </si>
  <si>
    <t>928301131</t>
  </si>
  <si>
    <t>928301161</t>
  </si>
  <si>
    <t>928301211</t>
  </si>
  <si>
    <t>928301221</t>
  </si>
  <si>
    <t>928301231</t>
  </si>
  <si>
    <t>928301261</t>
  </si>
  <si>
    <t>928301411</t>
  </si>
  <si>
    <t>928301421</t>
  </si>
  <si>
    <t>928301431</t>
  </si>
  <si>
    <t>928301461</t>
  </si>
  <si>
    <t>928338071</t>
  </si>
  <si>
    <t>928341041</t>
  </si>
  <si>
    <t>928343201</t>
  </si>
  <si>
    <t>928343301</t>
  </si>
  <si>
    <t>928343311</t>
  </si>
  <si>
    <t>928343321</t>
  </si>
  <si>
    <t>928343331</t>
  </si>
  <si>
    <t>928343341</t>
  </si>
  <si>
    <t>928344011</t>
  </si>
  <si>
    <t>928351021</t>
  </si>
  <si>
    <t>928352011</t>
  </si>
  <si>
    <t>928352121</t>
  </si>
  <si>
    <t>928352141</t>
  </si>
  <si>
    <t>928380001</t>
  </si>
  <si>
    <t>928380011</t>
  </si>
  <si>
    <t>928399011</t>
  </si>
  <si>
    <t>This Schedule is used to determine the amount of ADIT to include in the Electric and Gas Distiribution Rate Case in the historic years.  General plant is found on Electric Dist and Electric Trans (D&amp;T) business units (BU's) in the ledger, however, for the Electric Dist rate case, the sum of the general plant on the D&amp;T BU's is allocated to Trans, so below you will see the general plant ADIT on the Electric Dist BU being removed and a new allocated amount being added.   There is no allocated needed for the general ADIT on the Gas BU.</t>
  </si>
  <si>
    <t xml:space="preserve"> 2024-Q1 </t>
  </si>
  <si>
    <t xml:space="preserve"> 2024-Q2 </t>
  </si>
  <si>
    <t xml:space="preserve"> Electric Distribution: </t>
  </si>
  <si>
    <t xml:space="preserve"> Deficient ADIT - Net Operating Losses </t>
  </si>
  <si>
    <t xml:space="preserve"> Utility Plant </t>
  </si>
  <si>
    <t xml:space="preserve"> Total Plant Related ADIT </t>
  </si>
  <si>
    <t xml:space="preserve"> Less:  ADIT on General Property on Distr above </t>
  </si>
  <si>
    <t xml:space="preserve"> Plus:  ADIT on General Property allocated to Dist </t>
  </si>
  <si>
    <t xml:space="preserve"> Total Plant Related ADIT in Rate Base </t>
  </si>
  <si>
    <t xml:space="preserve"> Electric Transmission: </t>
  </si>
  <si>
    <t xml:space="preserve"> Gas Distribution: </t>
  </si>
  <si>
    <t xml:space="preserve"> Calculation of Percentage of General ADIT on T&amp;D business unites and allocation of General Plant ADIT to Transmission to remove remove from Distribution Rate Base </t>
  </si>
  <si>
    <t xml:space="preserve"> ADIT on Electric Distribution Plant </t>
  </si>
  <si>
    <t xml:space="preserve"> ADIT on Electric Transmission Plant </t>
  </si>
  <si>
    <t xml:space="preserve"> ADIT on Electric Plant </t>
  </si>
  <si>
    <t>Percent allocated to General Property on Dist</t>
  </si>
  <si>
    <t>Percent allocated to General Property on Trans</t>
  </si>
  <si>
    <t xml:space="preserve"> ADIT on Dist allocated to General  </t>
  </si>
  <si>
    <t xml:space="preserve"> ADIT on Trans allocated to General  </t>
  </si>
  <si>
    <t xml:space="preserve"> Total ADIT allocated to General for Electric Prop </t>
  </si>
  <si>
    <t>Percent of General Property allocated to Trans</t>
  </si>
  <si>
    <t xml:space="preserve"> General ADIT allocated to Trans </t>
  </si>
  <si>
    <t xml:space="preserve"> General ADIT allocated to Dist </t>
  </si>
  <si>
    <t>ADIT in Rate Base</t>
  </si>
  <si>
    <t>All ADIT is reflected below, but only the Plant ADIT in Acct 282 (excluding non-utility plant) and offsetting NOLs in Acct 190 are included in rate base.</t>
  </si>
  <si>
    <t>2024-Q1</t>
  </si>
  <si>
    <t>2024-Q2</t>
  </si>
  <si>
    <t>Jul, 2024</t>
  </si>
  <si>
    <t>Aug, 2024</t>
  </si>
  <si>
    <t>Sep, 2024</t>
  </si>
  <si>
    <t>Oct, 2024</t>
  </si>
  <si>
    <t>Nov, 2024</t>
  </si>
  <si>
    <t>Dec, 2024</t>
  </si>
  <si>
    <t>Jan, 2025</t>
  </si>
  <si>
    <t>Feb, 2025</t>
  </si>
  <si>
    <t>Mar, 2025</t>
  </si>
  <si>
    <t>Apr, 2025</t>
  </si>
  <si>
    <t>May, 2025</t>
  </si>
  <si>
    <t>Jun, 2025</t>
  </si>
  <si>
    <t>Jul, 2025</t>
  </si>
  <si>
    <t>Aug, 2025</t>
  </si>
  <si>
    <t>2025-Q4</t>
  </si>
  <si>
    <t>2026-Q1</t>
  </si>
  <si>
    <t>2026-Q2</t>
  </si>
  <si>
    <t>2026-Q3</t>
  </si>
  <si>
    <t>2026-Q4</t>
  </si>
  <si>
    <t>2027-Q1</t>
  </si>
  <si>
    <t>Electric Dist</t>
  </si>
  <si>
    <t>Plant FA109 ADIT (Excl Gross-up)</t>
  </si>
  <si>
    <t>Must exclude FAS109 Adjustments</t>
  </si>
  <si>
    <t>Plant FA109 ADIT (Gross-up)</t>
  </si>
  <si>
    <t>NonPlant FA109 ADIT (Excl Gross-up)</t>
  </si>
  <si>
    <t>NonPlant FA109 ADIT (Gross-up)</t>
  </si>
  <si>
    <t xml:space="preserve">Must exclude FAS109 Adjustments </t>
  </si>
  <si>
    <t>Regulatory Liabilities - Non-Pension</t>
  </si>
  <si>
    <t>919044*</t>
  </si>
  <si>
    <t>Regulatory Liabilities - Pension &amp; OBEBS</t>
  </si>
  <si>
    <t>9190521*</t>
  </si>
  <si>
    <t>Topside - Reg Liability Storm</t>
  </si>
  <si>
    <t>FRT316</t>
  </si>
  <si>
    <t>Account 190 DTA</t>
  </si>
  <si>
    <t>Total Deferred Tax Assets Excl Topsides</t>
  </si>
  <si>
    <t>FA109 ADIT (Excl Gross-up)</t>
  </si>
  <si>
    <t>Must exclude FAS109 Adjustments - FAS109 Plant adjustments are recorded to Account 282, but the gross-up is recorded to Account 190, so it doesn't need to be a part of the exclusion here.</t>
  </si>
  <si>
    <t>Topsides</t>
  </si>
  <si>
    <t xml:space="preserve">Account 282 DTL </t>
  </si>
  <si>
    <t>Total Plant Excl Topsides</t>
  </si>
  <si>
    <t>Regulatory Assets - Non-Pension</t>
  </si>
  <si>
    <t>928343*</t>
  </si>
  <si>
    <t>Regulatory Assets - Pension &amp; OPEBs</t>
  </si>
  <si>
    <t>9283521*</t>
  </si>
  <si>
    <t>Topside - Reg Asset Storm</t>
  </si>
  <si>
    <t>Topside - Reg Asset LIHEAP</t>
  </si>
  <si>
    <t>FRT317</t>
  </si>
  <si>
    <t xml:space="preserve">Account 283 DTL </t>
  </si>
  <si>
    <t>Total NonPlant DTLs Excl topsides</t>
  </si>
  <si>
    <t>Total Electric Dist ADIT</t>
  </si>
  <si>
    <t>Electric Trans</t>
  </si>
  <si>
    <t>Total Electric Trans ADIT</t>
  </si>
  <si>
    <t>NOLs related to Plant are recorded to Account 190 and netted against plant in this presentation, so remove NOLs already reflected with Account 282.</t>
  </si>
  <si>
    <t>Less:  Non-Utility Plant</t>
  </si>
  <si>
    <t>FAS109 Plant adjustments are recorded to Account 282, but the gross-up is recorded to Account 190, so it doesn't need to be captured here.</t>
  </si>
  <si>
    <t>Total Gas ADIT</t>
  </si>
  <si>
    <t>Total ADIT Check</t>
  </si>
  <si>
    <t>Less FAS109</t>
  </si>
  <si>
    <t>Total ADIT Excl FAS109 and Non-Utility</t>
  </si>
  <si>
    <t>Check:</t>
  </si>
  <si>
    <t>Total Acct 19011, 28211 and 28311</t>
  </si>
  <si>
    <t>Acct 18262</t>
  </si>
  <si>
    <t>Acct 25431</t>
  </si>
  <si>
    <t>Acct 25462</t>
  </si>
  <si>
    <t>Total ADIT Excl FAS109</t>
  </si>
  <si>
    <t>Should be zero</t>
  </si>
  <si>
    <t>Account</t>
  </si>
  <si>
    <t>Per Rate Case BS</t>
  </si>
  <si>
    <t>Per Tax Details</t>
  </si>
  <si>
    <t>Difference</t>
  </si>
  <si>
    <t>Ties to FCC</t>
  </si>
  <si>
    <t>NARRAGANSETT ELECTRIC COMPANY</t>
  </si>
  <si>
    <t xml:space="preserve">Balance Sheet at </t>
  </si>
  <si>
    <t xml:space="preserve">Assets and Other Debits  </t>
  </si>
  <si>
    <t>(Thousands of Dollars)</t>
  </si>
  <si>
    <t>Acct.</t>
  </si>
  <si>
    <t>No.</t>
  </si>
  <si>
    <t>Title of Account</t>
  </si>
  <si>
    <t>Amount</t>
  </si>
  <si>
    <t xml:space="preserve">Utility Plant </t>
  </si>
  <si>
    <t>Plant in service</t>
  </si>
  <si>
    <t>Plant held for future use</t>
  </si>
  <si>
    <t>Completed construction not classified</t>
  </si>
  <si>
    <t>Construction work in progress</t>
  </si>
  <si>
    <t>Plant acquisition adjustment</t>
  </si>
  <si>
    <t>Gross utility plant</t>
  </si>
  <si>
    <t>Accumulated provision for depreciation</t>
  </si>
  <si>
    <t>Accumulated provision for amortization</t>
  </si>
  <si>
    <t>Net utility plant</t>
  </si>
  <si>
    <t>Other Property and Investments</t>
  </si>
  <si>
    <t>Nonutility property</t>
  </si>
  <si>
    <t>Accumulated provision for depreciation of nonutility property</t>
  </si>
  <si>
    <t>Net nonutility property</t>
  </si>
  <si>
    <t>Investment in subsidiary companies</t>
  </si>
  <si>
    <t>Investment in Subsidiary Companies</t>
  </si>
  <si>
    <t>Other investments</t>
  </si>
  <si>
    <t>Other special funds</t>
  </si>
  <si>
    <t>Special funds (non-major only)</t>
  </si>
  <si>
    <t>Long-term portion of derivative instruments assets</t>
  </si>
  <si>
    <t>Total Other Property and Investments</t>
  </si>
  <si>
    <t>Current and Accrued Assets</t>
  </si>
  <si>
    <t>Cash</t>
  </si>
  <si>
    <t>Interest special deposits</t>
  </si>
  <si>
    <t>Other special deposits</t>
  </si>
  <si>
    <t>Working funds</t>
  </si>
  <si>
    <t>Temporary cash investments</t>
  </si>
  <si>
    <t>Notes and accounts receivable</t>
  </si>
  <si>
    <t>Notes receivable</t>
  </si>
  <si>
    <t>Customer accounts receivable</t>
  </si>
  <si>
    <t>Other accounts receivable</t>
  </si>
  <si>
    <t>Accumulated provision for uncollectible accounts-credit</t>
  </si>
  <si>
    <t xml:space="preserve">Total notes and accounts receivable </t>
  </si>
  <si>
    <t>Notes receivable from associated companies</t>
  </si>
  <si>
    <t>Accounts receivable from associated companies</t>
  </si>
  <si>
    <t>Materials and supplies</t>
  </si>
  <si>
    <t>Plant materials and operating supplies</t>
  </si>
  <si>
    <t>Allowances and Environmental Credits</t>
  </si>
  <si>
    <t>Stores expense undistributed</t>
  </si>
  <si>
    <t>Gas stored underground-current</t>
  </si>
  <si>
    <t>Liquefied natural gas stored and held for processing</t>
  </si>
  <si>
    <t>Total materials and supplies</t>
  </si>
  <si>
    <t>Current and Accrued Assets (continued)</t>
  </si>
  <si>
    <t>Prepayments</t>
  </si>
  <si>
    <t>Other current and accrued assets</t>
  </si>
  <si>
    <t>Interest and dividends receivable</t>
  </si>
  <si>
    <t>Rents receivable</t>
  </si>
  <si>
    <t>Accrued utility revenues</t>
  </si>
  <si>
    <t>Miscellaneous current and accrued assets</t>
  </si>
  <si>
    <t>Derivative instrument assets</t>
  </si>
  <si>
    <t>Accumulated deferred income taxes (current)</t>
  </si>
  <si>
    <t>Total other current and accrued assets</t>
  </si>
  <si>
    <t>Total Current and Accrued Assets</t>
  </si>
  <si>
    <t>Deferred Debits</t>
  </si>
  <si>
    <t>Unamortized debt expense</t>
  </si>
  <si>
    <t>Other regulatory assets</t>
  </si>
  <si>
    <t>Preliminary survey and investigation charges</t>
  </si>
  <si>
    <t>Clearing accounts</t>
  </si>
  <si>
    <t>Temporary facilities</t>
  </si>
  <si>
    <t>Miscellaneous deferred debits</t>
  </si>
  <si>
    <t>Unamortized loss on reacquired debt</t>
  </si>
  <si>
    <t>Accumulated deferred income taxes (noncurrent)</t>
  </si>
  <si>
    <t>Total accumulated deferred income taxes (noncurrent)</t>
  </si>
  <si>
    <t>Total Deferred Debits</t>
  </si>
  <si>
    <t>Total Assets and Other Debits</t>
  </si>
  <si>
    <t>Liabilities and Other Credits</t>
  </si>
  <si>
    <t>Proprietary Capital</t>
  </si>
  <si>
    <t>Common stock issued</t>
  </si>
  <si>
    <t xml:space="preserve">Preferred stock issued </t>
  </si>
  <si>
    <t>Premium on capital stock</t>
  </si>
  <si>
    <t xml:space="preserve">Miscellaneous paid-in capital </t>
  </si>
  <si>
    <t>Capital stock expense</t>
  </si>
  <si>
    <t>Appropriated retained earnings - amortization reserve - Federal</t>
  </si>
  <si>
    <t>Unappropriated retained earnings</t>
  </si>
  <si>
    <t xml:space="preserve">Unappropriated undistributed subsidiary earnings </t>
  </si>
  <si>
    <t>Reacquired capital stock</t>
  </si>
  <si>
    <t>Other comprehensive income</t>
  </si>
  <si>
    <t>Total Proprietary Capital</t>
  </si>
  <si>
    <t>Long-Term Debt</t>
  </si>
  <si>
    <t>Bonds</t>
  </si>
  <si>
    <t>Other long-term debt</t>
  </si>
  <si>
    <t>Unamorized premium</t>
  </si>
  <si>
    <t>Unamortized discount on long-term debt-debit</t>
  </si>
  <si>
    <t>Less amount due within one year</t>
  </si>
  <si>
    <t>Total Long-Term Debt</t>
  </si>
  <si>
    <t>Other Noncurrent Liabilities</t>
  </si>
  <si>
    <t>Obligations under capital leases (noncurrent)</t>
  </si>
  <si>
    <t>Accumulated provision for injuries and damages</t>
  </si>
  <si>
    <t>Accumulated provision for pensions and benefits</t>
  </si>
  <si>
    <t>Long-term portion of derivative instrument liabilities</t>
  </si>
  <si>
    <t>Asset Retirement Obligations</t>
  </si>
  <si>
    <t>Total Other Noncurrent Liabilities</t>
  </si>
  <si>
    <t>Current and Accrued Liabilities</t>
  </si>
  <si>
    <t>Long-term debt due within one year-other</t>
  </si>
  <si>
    <t>Notes payable</t>
  </si>
  <si>
    <t>Accounts payable</t>
  </si>
  <si>
    <t>Notes payable to associated companies</t>
  </si>
  <si>
    <t>Accounts payable to associated companies</t>
  </si>
  <si>
    <t>Customer deposits</t>
  </si>
  <si>
    <t>Taxes accrued</t>
  </si>
  <si>
    <t>Interest accrued</t>
  </si>
  <si>
    <t>Dividends declared</t>
  </si>
  <si>
    <t>Matured interest</t>
  </si>
  <si>
    <t>Tax collections payable</t>
  </si>
  <si>
    <t>Miscellaneous current and accrued liabilities</t>
  </si>
  <si>
    <t>Obligations under capital-leases - current</t>
  </si>
  <si>
    <t>Derivative instrument liabilities</t>
  </si>
  <si>
    <t>Accumulated deferred income taxes-other (current)</t>
  </si>
  <si>
    <t>Total Current and Accrued Liabilities</t>
  </si>
  <si>
    <t>Deferred Credits</t>
  </si>
  <si>
    <t>Customer advances for construction</t>
  </si>
  <si>
    <t>Other deferred credits</t>
  </si>
  <si>
    <t>Other regulatory liabilities</t>
  </si>
  <si>
    <t>Accumulated deferred investment tax credits</t>
  </si>
  <si>
    <t>Accumulated deferred income taxes -</t>
  </si>
  <si>
    <t xml:space="preserve">accelerated amortization property </t>
  </si>
  <si>
    <t>Accumulated deferred income taxes - other property</t>
  </si>
  <si>
    <t>Total accumulated deferred income-taxes - other property</t>
  </si>
  <si>
    <t>Accumulated deferred income taxes - other (noncurrent)</t>
  </si>
  <si>
    <t>Total Deferred Credits</t>
  </si>
  <si>
    <t>Total Liabilities and Other Credits</t>
  </si>
  <si>
    <t>BMI Query:  TX_RIE_RateCase_Tax_GLADS</t>
  </si>
  <si>
    <t>Unit</t>
  </si>
  <si>
    <t>Period</t>
  </si>
  <si>
    <t>Project</t>
  </si>
  <si>
    <t>Descr</t>
  </si>
  <si>
    <t>Sum Amount</t>
  </si>
  <si>
    <t>75002</t>
  </si>
  <si>
    <t>19011</t>
  </si>
  <si>
    <t>FDTA-Workers Compensation</t>
  </si>
  <si>
    <t>FDTA-Post-Retirement Liab</t>
  </si>
  <si>
    <t>FDTA-Sec197 Intang Amort</t>
  </si>
  <si>
    <t>28311</t>
  </si>
  <si>
    <t>FDTL-OPEB Asset</t>
  </si>
  <si>
    <t>FDTL-Loss on Reacqd Debt</t>
  </si>
  <si>
    <t>75100</t>
  </si>
  <si>
    <t>919014121</t>
  </si>
  <si>
    <t>FDTA-Variable Pay</t>
  </si>
  <si>
    <t>28211</t>
  </si>
  <si>
    <t>FDTL - Non-Utility Plant</t>
  </si>
  <si>
    <t>75200</t>
  </si>
  <si>
    <t>FDTA-FS109-Plant-Ele T</t>
  </si>
  <si>
    <t>FDTA-FS109-RegL-Plt GrUp-EleT</t>
  </si>
  <si>
    <t>FDTA-FS109-NonPlt-Elect T</t>
  </si>
  <si>
    <t>FDTA-FS109-RegL-NPlt GrUp-EleT</t>
  </si>
  <si>
    <t>FDTA-(Un)Funded NPlt DTA-Ele T</t>
  </si>
  <si>
    <t>FDTA-(Un)Fund Plt/NOL DTA-EleT</t>
  </si>
  <si>
    <t>FDTA-Bad Debt</t>
  </si>
  <si>
    <t>FDTA-Service Company Costs</t>
  </si>
  <si>
    <t>FDTA-Deferred Compensation</t>
  </si>
  <si>
    <t>FDTA-Plt Basis Adj-CIAC-Ele T</t>
  </si>
  <si>
    <t>FDTA-Customer Advances</t>
  </si>
  <si>
    <t>FDTA – Reg Liab – RI- Other</t>
  </si>
  <si>
    <t>FDTA - ARO Liability</t>
  </si>
  <si>
    <t>FDTL-FAS109-Plant-Elect T</t>
  </si>
  <si>
    <t>FDTL-M/L Plt Depr-Elect Trans</t>
  </si>
  <si>
    <t>FDTL - Plt Basis Adj-Elect T</t>
  </si>
  <si>
    <t>FDTL-FS109-NonPlt-Elect T</t>
  </si>
  <si>
    <t>FDTL-FS109-RegA-NPlt GrUp-EleT</t>
  </si>
  <si>
    <t>FDTL-(Un)Funded NPlt DTL-Ele T</t>
  </si>
  <si>
    <t>FDTL - Prepayments</t>
  </si>
  <si>
    <t>FDTL-Reg Asset-RI-Other</t>
  </si>
  <si>
    <t>FDTL-Acq’n Adj (RI RegLiab-Tx)</t>
  </si>
  <si>
    <t>FDTL - ARO Assets</t>
  </si>
  <si>
    <t>75300</t>
  </si>
  <si>
    <t>FDTA-FS109-Plant-Ele D</t>
  </si>
  <si>
    <t>FDTA-FS109-RegL-Plt GrUp-EleD</t>
  </si>
  <si>
    <t>FDTA-FS109-NonPlt-Elect D</t>
  </si>
  <si>
    <t>FDTA-FS109-RegL-NPlt GrUp-EleD</t>
  </si>
  <si>
    <t>FDTA-(Un)Funded NPlt DTA-Ele D</t>
  </si>
  <si>
    <t>FDTA-(Un)Fund Plt/NOL DTA-EleD</t>
  </si>
  <si>
    <t>FDTA-Plt Basis Adj-CIAC-Ele D</t>
  </si>
  <si>
    <t>Fed R&amp;E Credit C/F-LT</t>
  </si>
  <si>
    <t>FDTA - Obsolete Inventory</t>
  </si>
  <si>
    <t>FDTA-FAS158-Reg Liab-Post-Ret</t>
  </si>
  <si>
    <t>FDTA-FAS158-Reg Liab-SERP</t>
  </si>
  <si>
    <t>FDTA - Environmental Liab</t>
  </si>
  <si>
    <t>FDTA - Accrd Liabilities-RECs</t>
  </si>
  <si>
    <t>FDTA-Post-Employment</t>
  </si>
  <si>
    <t>FDTA-SERP Liab</t>
  </si>
  <si>
    <t>FDTA - Lease Liability</t>
  </si>
  <si>
    <t>FDTA - Deferred Credits-Other</t>
  </si>
  <si>
    <t>928201001</t>
  </si>
  <si>
    <t>SFAS 109-Plant-Fed</t>
  </si>
  <si>
    <t>FDTL-FAS109-Plant-Elect D</t>
  </si>
  <si>
    <t>FDTL-M/L Plt Depr-Elect Dist</t>
  </si>
  <si>
    <t>FDTL - Plt Basis Adj-Elect D</t>
  </si>
  <si>
    <t>FDTL-FS109-NonPlt-Elect D</t>
  </si>
  <si>
    <t>FDTL-FS109-RegA-NPlt GrUp-EleD</t>
  </si>
  <si>
    <t>FDTL-(Un)Funded NPlt DTL-Ele D</t>
  </si>
  <si>
    <t>FDTL-Reg Asset-Storm Deferral</t>
  </si>
  <si>
    <t>FDTL-Reg Asset-Environmtl</t>
  </si>
  <si>
    <t>FDTL-Reg Asset-RI-Net Metering</t>
  </si>
  <si>
    <t>FDTL-Reg Asset-RI-LIHEAP EP</t>
  </si>
  <si>
    <t>FDTL-Pension Asset</t>
  </si>
  <si>
    <t>FDTL-FAS158-Reg Asset-Pension</t>
  </si>
  <si>
    <t>FDTL-FAS158-Reg Asset-SERP</t>
  </si>
  <si>
    <t>FDTL – ARO Assets</t>
  </si>
  <si>
    <t>FDTL - ROU Asset - Leases</t>
  </si>
  <si>
    <t>75400</t>
  </si>
  <si>
    <t>FDTA-FS109-Plant-Gas D</t>
  </si>
  <si>
    <t>FDTA-FS109-RegL-Plt GrUp-GasD</t>
  </si>
  <si>
    <t>FDTA-FS109-NonPlt-Gas D</t>
  </si>
  <si>
    <t>FDTA-FS109-RegL-NPlt GrUp-GasD</t>
  </si>
  <si>
    <t>FDTA-(Un)Funded NPlt DTA-Gas D</t>
  </si>
  <si>
    <t>FDTA-(Un)Fund Plt/NOL DTA-GasD</t>
  </si>
  <si>
    <t>FDTA-Plt Basis Adj-CIAC Gas D</t>
  </si>
  <si>
    <t>FDTA - Hedge Liabilities</t>
  </si>
  <si>
    <t>FDTA – Reg Liab – RI- Derivati</t>
  </si>
  <si>
    <t>FDTL-FAS109-Plant-Gas D</t>
  </si>
  <si>
    <t>FDTL-M/L Plt Depr-Gas Dist</t>
  </si>
  <si>
    <t>FDTL - Plt Basis Adj-Gas D</t>
  </si>
  <si>
    <t>FDTL-FS109-NonPlt-Gas D</t>
  </si>
  <si>
    <t>FDTL-FS109-RegA-NPlt GrUp-GasD</t>
  </si>
  <si>
    <t>FDTL-(Un)Funded NPlt DTL-Gas D</t>
  </si>
  <si>
    <t>FDTA – Hedge Assets</t>
  </si>
  <si>
    <t>FDTL-Reg Asset-RI-Def Gas Cost</t>
  </si>
  <si>
    <t>Fiscal Year = 2025,Accounting Period=8</t>
  </si>
  <si>
    <t>ALT</t>
  </si>
  <si>
    <t>Initial Project Name</t>
  </si>
  <si>
    <t>Project Name</t>
  </si>
  <si>
    <t>Location</t>
  </si>
  <si>
    <t>Electric/Gas</t>
  </si>
  <si>
    <t>Spend Type</t>
  </si>
  <si>
    <t>Total Project Estimate</t>
  </si>
  <si>
    <t>Capital OH</t>
  </si>
  <si>
    <t>Total 5 YR</t>
  </si>
  <si>
    <t>Projected PIS</t>
  </si>
  <si>
    <t>Added by Tax Dept</t>
  </si>
  <si>
    <t>Rate Year</t>
  </si>
  <si>
    <t>Total 10 YR</t>
  </si>
  <si>
    <t>03-Johnston</t>
  </si>
  <si>
    <t>Allens Ave Renovation</t>
  </si>
  <si>
    <t xml:space="preserve">ALL_Bldg Renovations </t>
  </si>
  <si>
    <t>Allens</t>
  </si>
  <si>
    <t>CAPEX</t>
  </si>
  <si>
    <t>Pre-Rate Year</t>
  </si>
  <si>
    <t>Midt_ Parking lot grading and paving</t>
  </si>
  <si>
    <t>Middletown</t>
  </si>
  <si>
    <t>Split</t>
  </si>
  <si>
    <t>NKG_Facade/ Roof Rehab Main &amp; Transformer</t>
  </si>
  <si>
    <t>NKG_Campus Upgrades (façade/fence/roof)</t>
  </si>
  <si>
    <t>North Kingstown</t>
  </si>
  <si>
    <t>CO_Linc2 Extention</t>
  </si>
  <si>
    <t>Johnston</t>
  </si>
  <si>
    <t>Melr_Drain Upgrade-Heavy Stores to Cadillac</t>
  </si>
  <si>
    <t>Melr_Drainage Line Upgrade</t>
  </si>
  <si>
    <t>Melrose</t>
  </si>
  <si>
    <t>Melr_Domestic Water &amp; FP Line Upgrade</t>
  </si>
  <si>
    <t>Melr_Domestic Water &amp; FP Line Repair</t>
  </si>
  <si>
    <t>Dex_Elevator</t>
  </si>
  <si>
    <t>Dex_Elevator Modernization</t>
  </si>
  <si>
    <t>Dexter</t>
  </si>
  <si>
    <t>Melr_Overhead Lines Reno</t>
  </si>
  <si>
    <t>NKG_Solar</t>
  </si>
  <si>
    <t>Melr_Line Shed Demo</t>
  </si>
  <si>
    <t>Melr_Elevator Replacements</t>
  </si>
  <si>
    <t>Melr_Life Safety</t>
  </si>
  <si>
    <t>Melr_Office Roof Upgrade</t>
  </si>
  <si>
    <t>Melr_Solar Part 1</t>
  </si>
  <si>
    <t>Melr_Stores Construction (gas tool room, storage cages, windows)</t>
  </si>
  <si>
    <t>Melr_Annex Construction</t>
  </si>
  <si>
    <t>CO_Central Office Fitout</t>
  </si>
  <si>
    <t>EV Switchgears</t>
  </si>
  <si>
    <t>ALL_Parking lot pavement (north and east parking lots)</t>
  </si>
  <si>
    <t>Cumb_DCC Construction</t>
  </si>
  <si>
    <t>Cumberland</t>
  </si>
  <si>
    <t>ALL_ HVAC System Upgrade</t>
  </si>
  <si>
    <t>ALL_Fire Alarm upgrade</t>
  </si>
  <si>
    <t>ALL_Fire Suppression</t>
  </si>
  <si>
    <t xml:space="preserve">Melr_ Off &amp; conn BLD Renovations </t>
  </si>
  <si>
    <t>Melr_ Office BLDG HVAC</t>
  </si>
  <si>
    <t>Melr_Fire alarm upgrade</t>
  </si>
  <si>
    <t>Melr_Fire escape repair/replace</t>
  </si>
  <si>
    <t xml:space="preserve">Melr_Fleet Ops </t>
  </si>
  <si>
    <t>Melr_HVAC Controls Upgrade</t>
  </si>
  <si>
    <t>Melr_Off Building Elevator</t>
  </si>
  <si>
    <t xml:space="preserve">Melr_Office and connector Façade repointing </t>
  </si>
  <si>
    <t>Chop_Building Close</t>
  </si>
  <si>
    <t>Chopmist</t>
  </si>
  <si>
    <t>Linc_Site Work Development</t>
  </si>
  <si>
    <t>Lincoln</t>
  </si>
  <si>
    <t>Linc_Site Work Existing - Lot Paving</t>
  </si>
  <si>
    <t>Melr_ Site remediation Phase 2</t>
  </si>
  <si>
    <t>Melr_Solar Part 2</t>
  </si>
  <si>
    <t>Dex_Building Sale</t>
  </si>
  <si>
    <t xml:space="preserve">Midt_ LED upgrades </t>
  </si>
  <si>
    <t>Midt_Fire alarm upgrades</t>
  </si>
  <si>
    <t>Midt_Gas office &amp; bathroom reno</t>
  </si>
  <si>
    <t>Midt_HVAC replacement - roof top</t>
  </si>
  <si>
    <t xml:space="preserve">Midt_Roof replacement </t>
  </si>
  <si>
    <t>Midt_Solar</t>
  </si>
  <si>
    <t>Linc_ Fire alarm upgrades</t>
  </si>
  <si>
    <t>Linc_ Garage bathroom renovation</t>
  </si>
  <si>
    <t>Linc_ HVAC replacement main Bldg</t>
  </si>
  <si>
    <t xml:space="preserve">Linc_ LED upgrades </t>
  </si>
  <si>
    <t xml:space="preserve">Linc_Gas locker room remodel </t>
  </si>
  <si>
    <t xml:space="preserve">Linc_HVAC Controls upgrades </t>
  </si>
  <si>
    <t xml:space="preserve">Linc_Roof replacement </t>
  </si>
  <si>
    <t xml:space="preserve">NKG_Parking lot increase </t>
  </si>
  <si>
    <t>Melr_ Heating HW upgrades</t>
  </si>
  <si>
    <t>West_Building Close</t>
  </si>
  <si>
    <t>Westerly</t>
  </si>
  <si>
    <t xml:space="preserve">Melr_Truck overhangs </t>
  </si>
  <si>
    <t>Melr_Fence Replacement</t>
  </si>
  <si>
    <t>Melr_Heavy Stores Roof Upgrade</t>
  </si>
  <si>
    <t>ALL_ Envelope repair (windows, doors, leaks)</t>
  </si>
  <si>
    <t>CO_Lease</t>
  </si>
  <si>
    <t>Total Elec and Gas</t>
  </si>
  <si>
    <t>Check to Summary</t>
  </si>
  <si>
    <t>Sept 2025-July 2026</t>
  </si>
  <si>
    <t>Aug 2026-July 2027</t>
  </si>
  <si>
    <t>Aug 2027-July 2028</t>
  </si>
  <si>
    <t>Aug 2028-July 2029</t>
  </si>
  <si>
    <t>Future</t>
  </si>
  <si>
    <t>Pr-Rate Yr thru Yr 3</t>
  </si>
  <si>
    <t>The Narragansett Electric Company</t>
  </si>
  <si>
    <t>d/b/a Rhode Island Energy</t>
  </si>
  <si>
    <t>Final</t>
  </si>
  <si>
    <t>PPL</t>
  </si>
  <si>
    <t>Apr-Dec</t>
  </si>
  <si>
    <t>Jan-Mar</t>
  </si>
  <si>
    <t>Apr2023-Mar2024</t>
  </si>
  <si>
    <t>FY2024</t>
  </si>
  <si>
    <t>TAX INPUT 1</t>
  </si>
  <si>
    <t>Repairs</t>
  </si>
  <si>
    <t>Repairs Percentage</t>
  </si>
  <si>
    <t>3-Year Average</t>
  </si>
  <si>
    <t>Calendar Year Information</t>
  </si>
  <si>
    <t>for Allocations purposes</t>
  </si>
  <si>
    <t>Jan-Dec</t>
  </si>
  <si>
    <t>Lines 1-13 reflect histortical ADIT balances by month to include in 13-Month Average Rate Base Calculation on the Schedule SAB-1-ELEC, Page 2.</t>
  </si>
  <si>
    <t>Schedule SAB-10</t>
  </si>
  <si>
    <t>Sch SAB-6-ELEC, Page 1, Lines 13 thru 16, Col (b)</t>
  </si>
  <si>
    <t>Sch SAB-6-ELEC, Page 1, Lines 27 thru 30, Col (b)</t>
  </si>
  <si>
    <t>Sch SAB-6-ELEC, Page 2, Lines 6 thru 8, Col (b)</t>
  </si>
  <si>
    <t>Sch SAB-6-ELEC, Page 2, Lines 17 thru 19, Col (b)</t>
  </si>
  <si>
    <t>Run a Powertax Case with adds through August 31, 2025.  Do not add forecasted additions for any period.  That is being done on separate tabs.  Take the annual tax depr for 2025 divide by 12 x  4 months of tax depr (Sept thru Dec).</t>
  </si>
  <si>
    <t>Schedule SAB-6-ELEC, Page 1, Line 17</t>
  </si>
  <si>
    <t>Schedule SAB-6-ELEC, Page 1, Line 31</t>
  </si>
  <si>
    <t xml:space="preserve">Cost of Removal  </t>
  </si>
  <si>
    <t>Cost of removal on facilities for each Test/Rate Year is presented on Schedule SAB-6-ELEC.</t>
  </si>
  <si>
    <t xml:space="preserve">Faciliaties are depreciated for tax using a straight-line 39-year period and a mid-month convention.  The monthly tax depreciation is calculated by taking the PIS addition divided by 39 years divided by 12 months.  The first month of tax depreciation is a </t>
  </si>
  <si>
    <t>half-month.</t>
  </si>
  <si>
    <t>Less:  General Allocated to Transmission 
1/</t>
  </si>
  <si>
    <t>Monthly Tax Depreciation 2/</t>
  </si>
  <si>
    <t>Reason for the simplified methodology is because it is impossible to replicate the Powertax algorithms used to allocate book depr to unprotected plant across decades of vintaged assets.</t>
  </si>
  <si>
    <t xml:space="preserve">Notes </t>
  </si>
  <si>
    <t>---&gt;   Per the Rates Team, this item should be moved from Electric to Gas</t>
  </si>
  <si>
    <t>RI Energy</t>
  </si>
  <si>
    <t>Cost of Removal is calculated based on a percentage of Plant Addition</t>
  </si>
  <si>
    <t>To Determine the COR on facilities, use the following rate provided by the Rates Team</t>
  </si>
  <si>
    <t>Tax Repairs</t>
  </si>
  <si>
    <t>Schedule NH-2-ELEC, Line 2, Columns (c) and (d)</t>
  </si>
  <si>
    <t>Schedule NH-2-ELEC, Line 1, Columns (c) and (d)</t>
  </si>
  <si>
    <t>Schedule NH-2-ELEC, Line 3, Columns (c) and (d)</t>
  </si>
  <si>
    <t>Schedule NH-2-ELEC, Line 4, Columns (c) and (d)</t>
  </si>
  <si>
    <r>
      <rPr>
        <b/>
        <sz val="12"/>
        <rFont val="Times New Roman"/>
        <family val="1"/>
      </rPr>
      <t>BU</t>
    </r>
    <r>
      <rPr>
        <b/>
        <sz val="12"/>
        <color rgb="FFFF0000"/>
        <rFont val="Times New Roman"/>
        <family val="1"/>
      </rPr>
      <t>/Acct or Glad</t>
    </r>
  </si>
  <si>
    <t>Per Company SAB-11 Electric</t>
  </si>
  <si>
    <t>DPUC Adjustments</t>
  </si>
  <si>
    <t>DPUC recommendation</t>
  </si>
  <si>
    <t>Company SAB-11 RY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</si>
</sst>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Red]\(#,##0,\)"/>
    <numFmt numFmtId="166" formatCode="mm/dd/yy"/>
    <numFmt numFmtId="167" formatCode="[$-409]mmmm\ d\,\ yyyy;@"/>
    <numFmt numFmtId="168" formatCode="0.000%"/>
    <numFmt numFmtId="169" formatCode="0.0000%"/>
    <numFmt numFmtId="170" formatCode="_([$€-2]* #,##0.00_);_([$€-2]* \(#,##0.00\);_([$€-2]* &quot;-&quot;??_)"/>
    <numFmt numFmtId="171" formatCode="mmmm\ d\,\ yyyy"/>
    <numFmt numFmtId="172" formatCode="_(&quot;$&quot;* #,##0_);_(&quot;$&quot;* \(#,##0\);_(&quot;$&quot;* &quot;-&quot;??_);_(@_)"/>
    <numFmt numFmtId="173" formatCode="0.0"/>
    <numFmt numFmtId="174" formatCode="_(&quot;$&quot;* #,##0_);_(&quot;$&quot;* \(#,##0\);_(&quot;$&quot;* &quot;0&quot;_);_(@_)"/>
    <numFmt numFmtId="175" formatCode="_(* #,##0.0000_);_(* \(#,##0.0000\);_(* &quot;-&quot;??_);_(@_)"/>
  </numFmts>
  <fonts count="56" x14ac:knownFonts="1">
    <font>
      <sz val="11"/>
      <color theme="1"/>
      <name val="Aptos Narrow"/>
      <family val="2"/>
      <scheme val="minor"/>
    </font>
    <font>
      <sz val="11"/>
      <color theme="1"/>
      <name val="Aptos Narrow"/>
      <family val="2"/>
      <scheme val="minor"/>
    </font>
    <font>
      <sz val="9"/>
      <color indexed="81"/>
      <name val="Tahoma"/>
      <family val="2"/>
    </font>
    <font>
      <sz val="11"/>
      <color theme="1"/>
      <name val="Times New Roman"/>
      <family val="2"/>
    </font>
    <font>
      <sz val="10"/>
      <name val="Arial"/>
      <family val="2"/>
    </font>
    <font>
      <b/>
      <sz val="12"/>
      <name val="Arial"/>
      <family val="2"/>
    </font>
    <font>
      <sz val="12"/>
      <name val="Arial"/>
      <family val="2"/>
    </font>
    <font>
      <sz val="10"/>
      <name val="MS Sans Serif"/>
      <family val="2"/>
    </font>
    <font>
      <sz val="11"/>
      <color indexed="8"/>
      <name val="Aptos Narrow"/>
      <family val="2"/>
      <scheme val="minor"/>
    </font>
    <font>
      <sz val="11"/>
      <color indexed="8"/>
      <name val="Times New Roman"/>
      <family val="1"/>
    </font>
    <font>
      <sz val="11"/>
      <color theme="1"/>
      <name val="Times New Roman"/>
      <family val="1"/>
    </font>
    <font>
      <sz val="11"/>
      <name val="times new roman"/>
      <family val="1"/>
    </font>
    <font>
      <b/>
      <sz val="12"/>
      <name val="Times New Roman"/>
      <family val="1"/>
    </font>
    <font>
      <sz val="11"/>
      <color indexed="12"/>
      <name val="Times New Roman"/>
      <family val="1"/>
    </font>
    <font>
      <sz val="12"/>
      <name val="Times New Roman"/>
      <family val="1"/>
    </font>
    <font>
      <u/>
      <sz val="10"/>
      <color indexed="12"/>
      <name val="Arial"/>
      <family val="2"/>
    </font>
    <font>
      <b/>
      <sz val="9"/>
      <color indexed="81"/>
      <name val="Tahoma"/>
      <family val="2"/>
    </font>
    <font>
      <sz val="10"/>
      <color theme="1"/>
      <name val="Arial"/>
      <family val="2"/>
    </font>
    <font>
      <sz val="10"/>
      <color rgb="FF000000"/>
      <name val="Arial"/>
      <family val="2"/>
    </font>
    <font>
      <b/>
      <sz val="11"/>
      <color rgb="FFC00000"/>
      <name val="Aptos Narrow"/>
      <family val="2"/>
      <scheme val="minor"/>
    </font>
    <font>
      <sz val="12"/>
      <color theme="1"/>
      <name val="Times New Roman"/>
      <family val="2"/>
    </font>
    <font>
      <sz val="12"/>
      <color indexed="8"/>
      <name val="Times New Roman"/>
      <family val="1"/>
    </font>
    <font>
      <sz val="12"/>
      <color rgb="FFFF0000"/>
      <name val="Times New Roman"/>
      <family val="2"/>
    </font>
    <font>
      <b/>
      <sz val="12"/>
      <color theme="1"/>
      <name val="Times New Roman"/>
      <family val="1"/>
    </font>
    <font>
      <sz val="12"/>
      <color theme="1"/>
      <name val="Times New Roman"/>
      <family val="1"/>
    </font>
    <font>
      <sz val="12"/>
      <color rgb="FF000000"/>
      <name val="Times New Roman"/>
      <family val="2"/>
    </font>
    <font>
      <sz val="12"/>
      <color theme="1"/>
      <name val="Aptos Narrow"/>
      <family val="2"/>
      <scheme val="minor"/>
    </font>
    <font>
      <sz val="12"/>
      <color rgb="FF000000"/>
      <name val="Times New Roman"/>
      <family val="1"/>
    </font>
    <font>
      <u/>
      <sz val="12"/>
      <name val="Times New Roman"/>
      <family val="1"/>
    </font>
    <font>
      <u/>
      <sz val="12"/>
      <color theme="1"/>
      <name val="times new roman"/>
      <family val="2"/>
    </font>
    <font>
      <u/>
      <sz val="12"/>
      <color indexed="8"/>
      <name val="Times New Roman"/>
      <family val="1"/>
    </font>
    <font>
      <sz val="12"/>
      <color indexed="12"/>
      <name val="Times New Roman"/>
      <family val="1"/>
    </font>
    <font>
      <sz val="12"/>
      <color indexed="10"/>
      <name val="Times New Roman"/>
      <family val="1"/>
    </font>
    <font>
      <sz val="10"/>
      <color indexed="8"/>
      <name val="Times New Roman"/>
      <family val="1"/>
    </font>
    <font>
      <sz val="10"/>
      <color theme="1"/>
      <name val="Times New Roman"/>
      <family val="1"/>
    </font>
    <font>
      <sz val="10"/>
      <name val="Times New Roman"/>
      <family val="1"/>
    </font>
    <font>
      <b/>
      <sz val="12"/>
      <color indexed="8"/>
      <name val="Times New Roman"/>
      <family val="1"/>
    </font>
    <font>
      <sz val="10"/>
      <color theme="1"/>
      <name val="Aptos Narrow"/>
      <family val="2"/>
      <scheme val="minor"/>
    </font>
    <font>
      <sz val="12"/>
      <color theme="0"/>
      <name val="times new roman"/>
      <family val="1"/>
    </font>
    <font>
      <b/>
      <u/>
      <sz val="12"/>
      <name val="Times New Roman"/>
      <family val="1"/>
    </font>
    <font>
      <u/>
      <sz val="12"/>
      <color theme="1"/>
      <name val="Times New Roman"/>
      <family val="1"/>
    </font>
    <font>
      <sz val="12"/>
      <color rgb="FFFF0000"/>
      <name val="Times New Roman"/>
      <family val="1"/>
    </font>
    <font>
      <sz val="10"/>
      <color theme="1"/>
      <name val="Times New Roman"/>
      <family val="2"/>
    </font>
    <font>
      <b/>
      <sz val="10"/>
      <name val="times new roman"/>
      <family val="1"/>
    </font>
    <font>
      <u/>
      <sz val="10"/>
      <name val="Times New Roman"/>
      <family val="1"/>
    </font>
    <font>
      <u/>
      <sz val="10"/>
      <color theme="1"/>
      <name val="Times New Roman"/>
      <family val="1"/>
    </font>
    <font>
      <b/>
      <u/>
      <sz val="10"/>
      <name val="Times New Roman"/>
      <family val="1"/>
    </font>
    <font>
      <sz val="10"/>
      <color rgb="FFFF0000"/>
      <name val="Times New Roman"/>
      <family val="2"/>
    </font>
    <font>
      <sz val="10"/>
      <color rgb="FF000000"/>
      <name val="Times New Roman"/>
      <family val="2"/>
    </font>
    <font>
      <b/>
      <sz val="12"/>
      <color rgb="FF000000"/>
      <name val="times new roman"/>
      <family val="1"/>
    </font>
    <font>
      <sz val="12"/>
      <color rgb="FF0000FF"/>
      <name val="times new roman"/>
      <family val="1"/>
    </font>
    <font>
      <b/>
      <sz val="12"/>
      <color rgb="FFFF0000"/>
      <name val="Times New Roman"/>
      <family val="1"/>
    </font>
    <font>
      <sz val="12"/>
      <color rgb="FF0070C0"/>
      <name val="Times New Roman"/>
      <family val="1"/>
    </font>
    <font>
      <b/>
      <i/>
      <sz val="12"/>
      <name val="times new roman"/>
      <family val="1"/>
    </font>
    <font>
      <b/>
      <sz val="10"/>
      <color indexed="0"/>
      <name val="Times New Roman"/>
      <family val="1"/>
    </font>
    <font>
      <b/>
      <sz val="12"/>
      <color indexed="0"/>
      <name val="Times New Roman"/>
      <family val="1"/>
    </font>
  </fonts>
  <fills count="13">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indexed="55"/>
        <bgColor indexed="55"/>
      </patternFill>
    </fill>
    <fill>
      <patternFill patternType="solid">
        <fgColor theme="0" tint="-0.34998626667073579"/>
        <bgColor indexed="64"/>
      </patternFill>
    </fill>
    <fill>
      <patternFill patternType="solid">
        <fgColor theme="3" tint="0.89999084444715716"/>
        <bgColor indexed="64"/>
      </patternFill>
    </fill>
    <fill>
      <patternFill patternType="solid">
        <fgColor rgb="FF92D050"/>
        <bgColor indexed="64"/>
      </patternFill>
    </fill>
    <fill>
      <patternFill patternType="solid">
        <fgColor rgb="FFFFFF99"/>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00"/>
        <bgColor rgb="FF000000"/>
      </patternFill>
    </fill>
    <fill>
      <patternFill patternType="solid">
        <fgColor rgb="FFD9D9D9"/>
        <bgColor rgb="FF000000"/>
      </patternFill>
    </fill>
  </fills>
  <borders count="18">
    <border>
      <left/>
      <right/>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double">
        <color auto="1"/>
      </left>
      <right style="double">
        <color auto="1"/>
      </right>
      <top style="double">
        <color auto="1"/>
      </top>
      <bottom style="double">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rgb="FF000000"/>
      </top>
      <bottom/>
      <diagonal/>
    </border>
    <border>
      <left/>
      <right/>
      <top style="thin">
        <color rgb="FF000000"/>
      </top>
      <bottom style="double">
        <color rgb="FF000000"/>
      </bottom>
      <diagonal/>
    </border>
  </borders>
  <cellStyleXfs count="35">
    <xf numFmtId="0" fontId="0" fillId="0" borderId="0"/>
    <xf numFmtId="43" fontId="1" fillId="0" borderId="0" applyFont="0" applyFill="0" applyBorder="0" applyAlignment="0" applyProtection="0"/>
    <xf numFmtId="0" fontId="3" fillId="0" borderId="0"/>
    <xf numFmtId="165" fontId="4" fillId="0" borderId="0"/>
    <xf numFmtId="165" fontId="4" fillId="0" borderId="0"/>
    <xf numFmtId="43" fontId="4" fillId="0" borderId="0" applyFont="0" applyFill="0" applyBorder="0" applyAlignment="0" applyProtection="0"/>
    <xf numFmtId="0" fontId="7" fillId="0" borderId="0" applyNumberFormat="0" applyFont="0" applyFill="0" applyBorder="0" applyAlignment="0" applyProtection="0">
      <alignment horizontal="left"/>
    </xf>
    <xf numFmtId="9" fontId="4" fillId="0" borderId="0" applyFont="0" applyFill="0" applyBorder="0" applyAlignment="0" applyProtection="0"/>
    <xf numFmtId="0" fontId="8" fillId="0" borderId="0"/>
    <xf numFmtId="0" fontId="4" fillId="0" borderId="0"/>
    <xf numFmtId="43" fontId="3" fillId="0" borderId="0" applyFont="0" applyFill="0" applyBorder="0" applyAlignment="0" applyProtection="0"/>
    <xf numFmtId="9" fontId="3" fillId="0" borderId="0" applyFont="0" applyFill="0" applyBorder="0" applyAlignment="0" applyProtection="0"/>
    <xf numFmtId="0" fontId="4" fillId="0" borderId="0"/>
    <xf numFmtId="0" fontId="1" fillId="0" borderId="0"/>
    <xf numFmtId="0" fontId="6" fillId="0" borderId="0"/>
    <xf numFmtId="0" fontId="4" fillId="0" borderId="0"/>
    <xf numFmtId="0" fontId="4" fillId="0" borderId="0"/>
    <xf numFmtId="0" fontId="4" fillId="0" borderId="0"/>
    <xf numFmtId="0" fontId="15" fillId="0" borderId="0" applyNumberFormat="0" applyFill="0" applyBorder="0" applyAlignment="0" applyProtection="0">
      <alignment vertical="top"/>
      <protection locked="0"/>
    </xf>
    <xf numFmtId="44" fontId="4" fillId="0" borderId="0" applyFont="0" applyFill="0" applyBorder="0" applyAlignment="0" applyProtection="0"/>
    <xf numFmtId="41" fontId="4" fillId="0" borderId="0" applyFont="0" applyFill="0" applyBorder="0" applyAlignment="0" applyProtection="0"/>
    <xf numFmtId="44"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9" fontId="1" fillId="0" borderId="0" applyFont="0" applyFill="0" applyBorder="0" applyAlignment="0" applyProtection="0"/>
    <xf numFmtId="170" fontId="4" fillId="0" borderId="0"/>
    <xf numFmtId="0" fontId="17" fillId="0" borderId="0"/>
    <xf numFmtId="43" fontId="4" fillId="0" borderId="0" applyFont="0" applyFill="0" applyBorder="0" applyAlignment="0" applyProtection="0"/>
    <xf numFmtId="0" fontId="18" fillId="0" borderId="0"/>
    <xf numFmtId="0" fontId="1" fillId="0" borderId="0"/>
    <xf numFmtId="0" fontId="6" fillId="0" borderId="0"/>
    <xf numFmtId="43"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cellStyleXfs>
  <cellXfs count="374">
    <xf numFmtId="0" fontId="0" fillId="0" borderId="0" xfId="0"/>
    <xf numFmtId="0" fontId="3" fillId="0" borderId="0" xfId="2"/>
    <xf numFmtId="0" fontId="8" fillId="0" borderId="0" xfId="8"/>
    <xf numFmtId="0" fontId="11" fillId="0" borderId="0" xfId="12" applyFont="1"/>
    <xf numFmtId="0" fontId="5" fillId="0" borderId="0" xfId="13" applyFont="1"/>
    <xf numFmtId="0" fontId="12" fillId="0" borderId="0" xfId="14" applyFont="1" applyAlignment="1">
      <alignment horizontal="centerContinuous"/>
    </xf>
    <xf numFmtId="0" fontId="6" fillId="0" borderId="0" xfId="13" applyFont="1"/>
    <xf numFmtId="3" fontId="9" fillId="0" borderId="0" xfId="13" applyNumberFormat="1" applyFont="1"/>
    <xf numFmtId="0" fontId="9" fillId="0" borderId="0" xfId="13" applyFont="1" applyAlignment="1">
      <alignment horizontal="center"/>
    </xf>
    <xf numFmtId="0" fontId="9" fillId="0" borderId="0" xfId="13" applyFont="1" applyAlignment="1">
      <alignment horizontal="left"/>
    </xf>
    <xf numFmtId="0" fontId="11" fillId="0" borderId="0" xfId="13" applyFont="1" applyAlignment="1">
      <alignment horizontal="center"/>
    </xf>
    <xf numFmtId="0" fontId="3" fillId="2" borderId="0" xfId="2" applyFill="1"/>
    <xf numFmtId="3" fontId="13" fillId="0" borderId="0" xfId="13" applyNumberFormat="1" applyFont="1"/>
    <xf numFmtId="0" fontId="10" fillId="0" borderId="0" xfId="13" applyFont="1"/>
    <xf numFmtId="3" fontId="10" fillId="0" borderId="0" xfId="13" applyNumberFormat="1" applyFont="1"/>
    <xf numFmtId="0" fontId="14" fillId="0" borderId="0" xfId="13" applyFont="1" applyAlignment="1">
      <alignment horizontal="center"/>
    </xf>
    <xf numFmtId="0" fontId="10" fillId="0" borderId="0" xfId="13" applyFont="1" applyAlignment="1">
      <alignment horizontal="center"/>
    </xf>
    <xf numFmtId="3" fontId="11" fillId="0" borderId="0" xfId="13" applyNumberFormat="1" applyFont="1"/>
    <xf numFmtId="164" fontId="10" fillId="0" borderId="0" xfId="1" applyNumberFormat="1" applyFont="1"/>
    <xf numFmtId="0" fontId="19" fillId="0" borderId="0" xfId="0" applyFont="1"/>
    <xf numFmtId="10" fontId="10" fillId="2" borderId="0" xfId="30" applyNumberFormat="1" applyFont="1" applyFill="1"/>
    <xf numFmtId="0" fontId="20" fillId="0" borderId="0" xfId="2" applyFont="1"/>
    <xf numFmtId="0" fontId="21" fillId="0" borderId="0" xfId="9" applyFont="1" applyAlignment="1">
      <alignment horizontal="right"/>
    </xf>
    <xf numFmtId="0" fontId="22" fillId="0" borderId="0" xfId="2" applyFont="1"/>
    <xf numFmtId="0" fontId="20" fillId="0" borderId="0" xfId="2" applyFont="1" applyAlignment="1">
      <alignment horizontal="center"/>
    </xf>
    <xf numFmtId="0" fontId="20" fillId="0" borderId="3" xfId="2" applyFont="1" applyBorder="1" applyAlignment="1">
      <alignment horizontal="center"/>
    </xf>
    <xf numFmtId="167" fontId="20" fillId="0" borderId="0" xfId="2" applyNumberFormat="1" applyFont="1" applyAlignment="1">
      <alignment horizontal="right"/>
    </xf>
    <xf numFmtId="5" fontId="20" fillId="0" borderId="0" xfId="2" applyNumberFormat="1" applyFont="1"/>
    <xf numFmtId="0" fontId="23" fillId="0" borderId="0" xfId="2" applyFont="1"/>
    <xf numFmtId="5" fontId="23" fillId="0" borderId="0" xfId="2" applyNumberFormat="1" applyFont="1"/>
    <xf numFmtId="0" fontId="24" fillId="0" borderId="0" xfId="2" applyFont="1"/>
    <xf numFmtId="0" fontId="14" fillId="0" borderId="0" xfId="2" applyFont="1" applyAlignment="1">
      <alignment horizontal="left"/>
    </xf>
    <xf numFmtId="5" fontId="20" fillId="0" borderId="4" xfId="2" applyNumberFormat="1" applyFont="1" applyBorder="1"/>
    <xf numFmtId="0" fontId="23" fillId="0" borderId="0" xfId="2" applyFont="1" applyAlignment="1">
      <alignment wrapText="1"/>
    </xf>
    <xf numFmtId="5" fontId="23" fillId="0" borderId="1" xfId="2" applyNumberFormat="1" applyFont="1" applyBorder="1"/>
    <xf numFmtId="0" fontId="25" fillId="0" borderId="0" xfId="0" applyFont="1" applyAlignment="1">
      <alignment horizontal="center"/>
    </xf>
    <xf numFmtId="10" fontId="26" fillId="0" borderId="3" xfId="11" applyNumberFormat="1" applyFont="1" applyFill="1" applyBorder="1"/>
    <xf numFmtId="0" fontId="20" fillId="0" borderId="0" xfId="2" applyFont="1" applyAlignment="1">
      <alignment horizontal="left" indent="2"/>
    </xf>
    <xf numFmtId="5" fontId="20" fillId="0" borderId="1" xfId="2" applyNumberFormat="1" applyFont="1" applyBorder="1"/>
    <xf numFmtId="0" fontId="20" fillId="0" borderId="0" xfId="2" quotePrefix="1" applyFont="1" applyAlignment="1">
      <alignment horizontal="center"/>
    </xf>
    <xf numFmtId="5" fontId="23" fillId="0" borderId="0" xfId="2" applyNumberFormat="1" applyFont="1" applyAlignment="1">
      <alignment wrapText="1"/>
    </xf>
    <xf numFmtId="5" fontId="20" fillId="0" borderId="0" xfId="2" applyNumberFormat="1" applyFont="1" applyAlignment="1">
      <alignment horizontal="center"/>
    </xf>
    <xf numFmtId="0" fontId="24" fillId="0" borderId="0" xfId="1" applyNumberFormat="1" applyFont="1" applyAlignment="1">
      <alignment horizontal="center"/>
    </xf>
    <xf numFmtId="164" fontId="24" fillId="0" borderId="0" xfId="1" applyNumberFormat="1" applyFont="1"/>
    <xf numFmtId="164" fontId="24" fillId="0" borderId="0" xfId="1" applyNumberFormat="1" applyFont="1" applyAlignment="1">
      <alignment horizontal="center"/>
    </xf>
    <xf numFmtId="0" fontId="24" fillId="0" borderId="0" xfId="2" applyFont="1" applyAlignment="1">
      <alignment horizontal="center"/>
    </xf>
    <xf numFmtId="0" fontId="24" fillId="0" borderId="0" xfId="1" applyNumberFormat="1" applyFont="1" applyAlignment="1">
      <alignment horizontal="center" wrapText="1"/>
    </xf>
    <xf numFmtId="164" fontId="24" fillId="0" borderId="3" xfId="1" applyNumberFormat="1" applyFont="1" applyBorder="1" applyAlignment="1">
      <alignment horizontal="center"/>
    </xf>
    <xf numFmtId="164" fontId="24" fillId="0" borderId="3" xfId="1" applyNumberFormat="1" applyFont="1" applyBorder="1" applyAlignment="1">
      <alignment horizontal="center" wrapText="1"/>
    </xf>
    <xf numFmtId="164" fontId="23" fillId="0" borderId="0" xfId="1" applyNumberFormat="1" applyFont="1"/>
    <xf numFmtId="164" fontId="24" fillId="0" borderId="0" xfId="1" applyNumberFormat="1" applyFont="1" applyAlignment="1"/>
    <xf numFmtId="5" fontId="24" fillId="0" borderId="0" xfId="2" applyNumberFormat="1" applyFont="1"/>
    <xf numFmtId="0" fontId="24" fillId="0" borderId="0" xfId="1" applyNumberFormat="1" applyFont="1" applyFill="1" applyAlignment="1">
      <alignment horizontal="center"/>
    </xf>
    <xf numFmtId="164" fontId="24" fillId="0" borderId="0" xfId="1" applyNumberFormat="1" applyFont="1" applyFill="1"/>
    <xf numFmtId="0" fontId="27" fillId="0" borderId="0" xfId="0" applyFont="1"/>
    <xf numFmtId="164" fontId="24" fillId="0" borderId="0" xfId="1" applyNumberFormat="1" applyFont="1" applyFill="1" applyAlignment="1">
      <alignment horizontal="center"/>
    </xf>
    <xf numFmtId="0" fontId="27" fillId="0" borderId="0" xfId="0" applyFont="1" applyAlignment="1">
      <alignment horizontal="center"/>
    </xf>
    <xf numFmtId="5" fontId="24" fillId="0" borderId="1" xfId="2" applyNumberFormat="1" applyFont="1" applyBorder="1"/>
    <xf numFmtId="164" fontId="24" fillId="0" borderId="1" xfId="1" applyNumberFormat="1" applyFont="1" applyBorder="1"/>
    <xf numFmtId="0" fontId="14" fillId="0" borderId="0" xfId="12" applyFont="1"/>
    <xf numFmtId="0" fontId="20" fillId="0" borderId="0" xfId="2" applyFont="1" applyAlignment="1">
      <alignment horizontal="centerContinuous"/>
    </xf>
    <xf numFmtId="0" fontId="14" fillId="0" borderId="0" xfId="13" applyFont="1"/>
    <xf numFmtId="3" fontId="21" fillId="0" borderId="0" xfId="13" applyNumberFormat="1" applyFont="1" applyAlignment="1">
      <alignment horizontal="center"/>
    </xf>
    <xf numFmtId="167" fontId="20" fillId="0" borderId="3" xfId="2" applyNumberFormat="1" applyFont="1" applyBorder="1" applyAlignment="1">
      <alignment horizontal="center" vertical="center" wrapText="1"/>
    </xf>
    <xf numFmtId="0" fontId="21" fillId="0" borderId="0" xfId="13" applyFont="1" applyAlignment="1">
      <alignment horizontal="center"/>
    </xf>
    <xf numFmtId="0" fontId="21" fillId="0" borderId="0" xfId="13" applyFont="1"/>
    <xf numFmtId="166" fontId="21" fillId="0" borderId="0" xfId="13" applyNumberFormat="1" applyFont="1" applyAlignment="1">
      <alignment horizontal="center"/>
    </xf>
    <xf numFmtId="49" fontId="14" fillId="0" borderId="0" xfId="2" applyNumberFormat="1" applyFont="1" applyAlignment="1">
      <alignment wrapText="1"/>
    </xf>
    <xf numFmtId="5" fontId="14" fillId="0" borderId="0" xfId="13" applyNumberFormat="1" applyFont="1"/>
    <xf numFmtId="0" fontId="21" fillId="0" borderId="0" xfId="13" applyFont="1" applyAlignment="1">
      <alignment horizontal="left"/>
    </xf>
    <xf numFmtId="37" fontId="21" fillId="0" borderId="0" xfId="13" applyNumberFormat="1" applyFont="1"/>
    <xf numFmtId="3" fontId="21" fillId="0" borderId="0" xfId="13" applyNumberFormat="1" applyFont="1" applyAlignment="1">
      <alignment horizontal="left"/>
    </xf>
    <xf numFmtId="3" fontId="21" fillId="0" borderId="0" xfId="13" applyNumberFormat="1" applyFont="1"/>
    <xf numFmtId="5" fontId="21" fillId="0" borderId="1" xfId="13" applyNumberFormat="1" applyFont="1" applyBorder="1"/>
    <xf numFmtId="0" fontId="20" fillId="0" borderId="0" xfId="2" applyFont="1" applyAlignment="1">
      <alignment horizontal="left"/>
    </xf>
    <xf numFmtId="0" fontId="12" fillId="0" borderId="0" xfId="2" applyFont="1" applyAlignment="1">
      <alignment horizontal="left"/>
    </xf>
    <xf numFmtId="0" fontId="12" fillId="0" borderId="0" xfId="2" applyFont="1"/>
    <xf numFmtId="0" fontId="20" fillId="0" borderId="0" xfId="2" applyFont="1" applyAlignment="1">
      <alignment wrapText="1"/>
    </xf>
    <xf numFmtId="0" fontId="14" fillId="0" borderId="0" xfId="2" applyFont="1" applyAlignment="1">
      <alignment horizontal="left" vertical="center"/>
    </xf>
    <xf numFmtId="0" fontId="14" fillId="0" borderId="0" xfId="2" applyFont="1" applyAlignment="1">
      <alignment vertical="center"/>
    </xf>
    <xf numFmtId="9" fontId="26" fillId="0" borderId="0" xfId="11" applyFont="1" applyFill="1"/>
    <xf numFmtId="0" fontId="14" fillId="0" borderId="0" xfId="2" applyFont="1"/>
    <xf numFmtId="5" fontId="20" fillId="5" borderId="0" xfId="2" applyNumberFormat="1" applyFont="1" applyFill="1"/>
    <xf numFmtId="0" fontId="28" fillId="0" borderId="0" xfId="2" applyFont="1" applyAlignment="1">
      <alignment horizontal="left"/>
    </xf>
    <xf numFmtId="0" fontId="28" fillId="0" borderId="0" xfId="2" applyFont="1" applyAlignment="1">
      <alignment horizontal="center" wrapText="1"/>
    </xf>
    <xf numFmtId="0" fontId="14" fillId="0" borderId="0" xfId="2" applyFont="1" applyAlignment="1">
      <alignment horizontal="center"/>
    </xf>
    <xf numFmtId="38" fontId="14" fillId="0" borderId="0" xfId="2" applyNumberFormat="1" applyFont="1"/>
    <xf numFmtId="10" fontId="20" fillId="0" borderId="0" xfId="24" applyNumberFormat="1" applyFont="1"/>
    <xf numFmtId="0" fontId="14" fillId="0" borderId="0" xfId="2" applyFont="1" applyAlignment="1">
      <alignment horizontal="left" wrapText="1"/>
    </xf>
    <xf numFmtId="49" fontId="14" fillId="0" borderId="0" xfId="2" applyNumberFormat="1" applyFont="1"/>
    <xf numFmtId="0" fontId="20" fillId="5" borderId="0" xfId="2" applyFont="1" applyFill="1"/>
    <xf numFmtId="0" fontId="29" fillId="0" borderId="0" xfId="2" applyFont="1"/>
    <xf numFmtId="0" fontId="12" fillId="0" borderId="0" xfId="13" applyFont="1"/>
    <xf numFmtId="0" fontId="21" fillId="0" borderId="0" xfId="13" applyFont="1" applyAlignment="1">
      <alignment horizontal="centerContinuous"/>
    </xf>
    <xf numFmtId="5" fontId="14" fillId="5" borderId="0" xfId="13" applyNumberFormat="1" applyFont="1" applyFill="1"/>
    <xf numFmtId="5" fontId="14" fillId="0" borderId="2" xfId="13" applyNumberFormat="1" applyFont="1" applyBorder="1"/>
    <xf numFmtId="37" fontId="21" fillId="5" borderId="0" xfId="13" applyNumberFormat="1" applyFont="1" applyFill="1"/>
    <xf numFmtId="0" fontId="14" fillId="0" borderId="0" xfId="0" applyFont="1" applyAlignment="1">
      <alignment horizontal="center"/>
    </xf>
    <xf numFmtId="0" fontId="14" fillId="0" borderId="0" xfId="0" applyFont="1"/>
    <xf numFmtId="0" fontId="25" fillId="0" borderId="0" xfId="0" applyFont="1"/>
    <xf numFmtId="6" fontId="14" fillId="0" borderId="0" xfId="0" applyNumberFormat="1" applyFont="1"/>
    <xf numFmtId="0" fontId="30" fillId="0" borderId="0" xfId="13" applyFont="1"/>
    <xf numFmtId="168" fontId="14" fillId="0" borderId="0" xfId="16" applyNumberFormat="1" applyFont="1" applyAlignment="1">
      <alignment horizontal="center"/>
    </xf>
    <xf numFmtId="169" fontId="14" fillId="0" borderId="0" xfId="16" applyNumberFormat="1" applyFont="1" applyAlignment="1">
      <alignment horizontal="center"/>
    </xf>
    <xf numFmtId="0" fontId="28" fillId="0" borderId="0" xfId="13" applyFont="1"/>
    <xf numFmtId="0" fontId="14" fillId="0" borderId="0" xfId="13" applyFont="1" applyAlignment="1">
      <alignment horizontal="center" vertical="center"/>
    </xf>
    <xf numFmtId="0" fontId="21" fillId="0" borderId="0" xfId="13" applyFont="1" applyAlignment="1">
      <alignment wrapText="1"/>
    </xf>
    <xf numFmtId="0" fontId="26" fillId="0" borderId="0" xfId="13" applyFont="1" applyAlignment="1">
      <alignment wrapText="1"/>
    </xf>
    <xf numFmtId="3" fontId="31" fillId="0" borderId="0" xfId="13" applyNumberFormat="1" applyFont="1"/>
    <xf numFmtId="3" fontId="32" fillId="0" borderId="0" xfId="13" applyNumberFormat="1" applyFont="1"/>
    <xf numFmtId="0" fontId="33" fillId="0" borderId="0" xfId="9" applyFont="1" applyAlignment="1">
      <alignment horizontal="right"/>
    </xf>
    <xf numFmtId="0" fontId="33" fillId="2" borderId="0" xfId="9" applyFont="1" applyFill="1" applyAlignment="1">
      <alignment horizontal="right"/>
    </xf>
    <xf numFmtId="0" fontId="34" fillId="0" borderId="0" xfId="1" applyNumberFormat="1" applyFont="1" applyAlignment="1">
      <alignment horizontal="center"/>
    </xf>
    <xf numFmtId="164" fontId="34" fillId="0" borderId="0" xfId="1" applyNumberFormat="1" applyFont="1"/>
    <xf numFmtId="164" fontId="34" fillId="0" borderId="0" xfId="1" applyNumberFormat="1" applyFont="1" applyAlignment="1">
      <alignment horizontal="center"/>
    </xf>
    <xf numFmtId="0" fontId="35" fillId="0" borderId="0" xfId="12" applyFont="1"/>
    <xf numFmtId="0" fontId="34" fillId="0" borderId="0" xfId="2" applyFont="1"/>
    <xf numFmtId="0" fontId="24" fillId="0" borderId="0" xfId="13" applyFont="1"/>
    <xf numFmtId="0" fontId="24" fillId="0" borderId="0" xfId="2" applyFont="1" applyAlignment="1">
      <alignment horizontal="centerContinuous"/>
    </xf>
    <xf numFmtId="0" fontId="36" fillId="0" borderId="0" xfId="13" applyFont="1" applyAlignment="1">
      <alignment horizontal="centerContinuous"/>
    </xf>
    <xf numFmtId="3" fontId="24" fillId="0" borderId="0" xfId="13" applyNumberFormat="1" applyFont="1"/>
    <xf numFmtId="0" fontId="14" fillId="0" borderId="0" xfId="16" applyFont="1"/>
    <xf numFmtId="0" fontId="24" fillId="2" borderId="0" xfId="2" applyFont="1" applyFill="1"/>
    <xf numFmtId="0" fontId="24" fillId="0" borderId="3" xfId="2" applyFont="1" applyBorder="1" applyAlignment="1">
      <alignment horizontal="center"/>
    </xf>
    <xf numFmtId="167" fontId="24" fillId="0" borderId="3" xfId="2" applyNumberFormat="1" applyFont="1" applyBorder="1" applyAlignment="1">
      <alignment horizontal="center" vertical="center" wrapText="1"/>
    </xf>
    <xf numFmtId="3" fontId="14" fillId="0" borderId="0" xfId="13" applyNumberFormat="1" applyFont="1" applyAlignment="1">
      <alignment horizontal="center"/>
    </xf>
    <xf numFmtId="0" fontId="24" fillId="0" borderId="0" xfId="13" applyFont="1" applyAlignment="1">
      <alignment horizontal="center"/>
    </xf>
    <xf numFmtId="5" fontId="21" fillId="0" borderId="0" xfId="13" applyNumberFormat="1" applyFont="1"/>
    <xf numFmtId="5" fontId="14" fillId="0" borderId="1" xfId="13" applyNumberFormat="1" applyFont="1" applyBorder="1" applyAlignment="1">
      <alignment horizontal="right"/>
    </xf>
    <xf numFmtId="5" fontId="14" fillId="0" borderId="0" xfId="13" applyNumberFormat="1" applyFont="1" applyAlignment="1">
      <alignment horizontal="right"/>
    </xf>
    <xf numFmtId="0" fontId="28" fillId="0" borderId="0" xfId="13" applyFont="1" applyAlignment="1">
      <alignment horizontal="left"/>
    </xf>
    <xf numFmtId="3" fontId="14" fillId="0" borderId="0" xfId="13" applyNumberFormat="1" applyFont="1"/>
    <xf numFmtId="0" fontId="37" fillId="0" borderId="0" xfId="13" applyFont="1"/>
    <xf numFmtId="0" fontId="26" fillId="0" borderId="0" xfId="13" applyFont="1"/>
    <xf numFmtId="3" fontId="21" fillId="0" borderId="0" xfId="13" applyNumberFormat="1" applyFont="1" applyAlignment="1">
      <alignment horizontal="right"/>
    </xf>
    <xf numFmtId="166" fontId="24" fillId="0" borderId="0" xfId="13" applyNumberFormat="1" applyFont="1" applyAlignment="1">
      <alignment horizontal="center"/>
    </xf>
    <xf numFmtId="0" fontId="14" fillId="0" borderId="0" xfId="13" applyFont="1" applyAlignment="1">
      <alignment horizontal="left"/>
    </xf>
    <xf numFmtId="0" fontId="14" fillId="0" borderId="0" xfId="13" quotePrefix="1" applyFont="1" applyAlignment="1">
      <alignment horizontal="center"/>
    </xf>
    <xf numFmtId="5" fontId="24" fillId="0" borderId="0" xfId="13" applyNumberFormat="1" applyFont="1"/>
    <xf numFmtId="3" fontId="38" fillId="0" borderId="0" xfId="13" applyNumberFormat="1" applyFont="1"/>
    <xf numFmtId="0" fontId="38" fillId="0" borderId="0" xfId="2" applyFont="1"/>
    <xf numFmtId="3" fontId="24" fillId="0" borderId="1" xfId="13" applyNumberFormat="1" applyFont="1" applyBorder="1"/>
    <xf numFmtId="3" fontId="31" fillId="0" borderId="0" xfId="13" applyNumberFormat="1" applyFont="1" applyAlignment="1">
      <alignment horizontal="right"/>
    </xf>
    <xf numFmtId="0" fontId="21" fillId="0" borderId="0" xfId="13" quotePrefix="1" applyFont="1" applyAlignment="1">
      <alignment horizontal="right"/>
    </xf>
    <xf numFmtId="0" fontId="14" fillId="0" borderId="0" xfId="13" applyFont="1" applyAlignment="1">
      <alignment horizontal="right"/>
    </xf>
    <xf numFmtId="0" fontId="12" fillId="0" borderId="0" xfId="16" applyFont="1" applyAlignment="1">
      <alignment horizontal="centerContinuous"/>
    </xf>
    <xf numFmtId="0" fontId="14" fillId="0" borderId="0" xfId="16" applyFont="1" applyAlignment="1">
      <alignment horizontal="centerContinuous"/>
    </xf>
    <xf numFmtId="0" fontId="28" fillId="0" borderId="0" xfId="16" applyFont="1" applyAlignment="1">
      <alignment horizontal="center"/>
    </xf>
    <xf numFmtId="0" fontId="14" fillId="0" borderId="0" xfId="16" applyFont="1" applyAlignment="1">
      <alignment horizontal="center"/>
    </xf>
    <xf numFmtId="0" fontId="39" fillId="0" borderId="0" xfId="16" applyFont="1"/>
    <xf numFmtId="0" fontId="28" fillId="0" borderId="0" xfId="16" applyFont="1"/>
    <xf numFmtId="37" fontId="14" fillId="0" borderId="0" xfId="16" applyNumberFormat="1" applyFont="1"/>
    <xf numFmtId="5" fontId="14" fillId="0" borderId="0" xfId="16" applyNumberFormat="1" applyFont="1"/>
    <xf numFmtId="5" fontId="14" fillId="0" borderId="3" xfId="16" applyNumberFormat="1" applyFont="1" applyBorder="1"/>
    <xf numFmtId="10" fontId="14" fillId="0" borderId="3" xfId="16" applyNumberFormat="1" applyFont="1" applyBorder="1"/>
    <xf numFmtId="5" fontId="14" fillId="0" borderId="4" xfId="16" applyNumberFormat="1" applyFont="1" applyBorder="1"/>
    <xf numFmtId="168" fontId="14" fillId="0" borderId="3" xfId="16" applyNumberFormat="1" applyFont="1" applyBorder="1"/>
    <xf numFmtId="0" fontId="14" fillId="0" borderId="3" xfId="16" applyFont="1" applyBorder="1"/>
    <xf numFmtId="5" fontId="14" fillId="0" borderId="1" xfId="16" applyNumberFormat="1" applyFont="1" applyBorder="1"/>
    <xf numFmtId="0" fontId="14" fillId="0" borderId="0" xfId="16" quotePrefix="1" applyFont="1" applyAlignment="1">
      <alignment horizontal="center"/>
    </xf>
    <xf numFmtId="10" fontId="14" fillId="0" borderId="0" xfId="16" applyNumberFormat="1" applyFont="1"/>
    <xf numFmtId="0" fontId="40" fillId="0" borderId="0" xfId="2" applyFont="1"/>
    <xf numFmtId="0" fontId="20" fillId="2" borderId="0" xfId="2" applyFont="1" applyFill="1"/>
    <xf numFmtId="0" fontId="41" fillId="0" borderId="0" xfId="2" applyFont="1"/>
    <xf numFmtId="0" fontId="42" fillId="0" borderId="0" xfId="2" applyFont="1"/>
    <xf numFmtId="0" fontId="34" fillId="0" borderId="0" xfId="13" applyFont="1"/>
    <xf numFmtId="0" fontId="43" fillId="0" borderId="0" xfId="16" applyFont="1" applyAlignment="1">
      <alignment horizontal="centerContinuous"/>
    </xf>
    <xf numFmtId="0" fontId="35" fillId="0" borderId="0" xfId="16" applyFont="1" applyAlignment="1">
      <alignment horizontal="centerContinuous"/>
    </xf>
    <xf numFmtId="0" fontId="42" fillId="0" borderId="0" xfId="2" applyFont="1" applyAlignment="1">
      <alignment horizontal="center"/>
    </xf>
    <xf numFmtId="0" fontId="35" fillId="0" borderId="0" xfId="16" applyFont="1"/>
    <xf numFmtId="0" fontId="44" fillId="0" borderId="0" xfId="16" applyFont="1" applyAlignment="1">
      <alignment wrapText="1"/>
    </xf>
    <xf numFmtId="0" fontId="44" fillId="0" borderId="0" xfId="16" applyFont="1"/>
    <xf numFmtId="0" fontId="44" fillId="0" borderId="0" xfId="16" applyFont="1" applyAlignment="1">
      <alignment horizontal="center"/>
    </xf>
    <xf numFmtId="0" fontId="44" fillId="0" borderId="0" xfId="16" applyFont="1" applyAlignment="1">
      <alignment horizontal="center" wrapText="1"/>
    </xf>
    <xf numFmtId="0" fontId="44" fillId="0" borderId="0" xfId="0" applyFont="1" applyAlignment="1">
      <alignment horizontal="center" wrapText="1"/>
    </xf>
    <xf numFmtId="167" fontId="45" fillId="0" borderId="0" xfId="2" applyNumberFormat="1" applyFont="1" applyAlignment="1">
      <alignment horizontal="center" vertical="center" wrapText="1"/>
    </xf>
    <xf numFmtId="0" fontId="45" fillId="0" borderId="0" xfId="2" applyFont="1"/>
    <xf numFmtId="0" fontId="35" fillId="0" borderId="0" xfId="16" applyFont="1" applyAlignment="1">
      <alignment horizontal="center"/>
    </xf>
    <xf numFmtId="0" fontId="46" fillId="0" borderId="0" xfId="16" applyFont="1"/>
    <xf numFmtId="37" fontId="35" fillId="0" borderId="0" xfId="16" applyNumberFormat="1" applyFont="1"/>
    <xf numFmtId="5" fontId="42" fillId="0" borderId="0" xfId="2" applyNumberFormat="1" applyFont="1"/>
    <xf numFmtId="0" fontId="47" fillId="0" borderId="0" xfId="2" applyFont="1"/>
    <xf numFmtId="164" fontId="35" fillId="10" borderId="0" xfId="1" applyNumberFormat="1" applyFont="1" applyFill="1"/>
    <xf numFmtId="0" fontId="42" fillId="10" borderId="0" xfId="2" applyFont="1" applyFill="1"/>
    <xf numFmtId="0" fontId="48" fillId="0" borderId="0" xfId="0" applyFont="1"/>
    <xf numFmtId="5" fontId="42" fillId="0" borderId="16" xfId="2" applyNumberFormat="1" applyFont="1" applyBorder="1"/>
    <xf numFmtId="5" fontId="42" fillId="0" borderId="1" xfId="2" applyNumberFormat="1" applyFont="1" applyBorder="1"/>
    <xf numFmtId="0" fontId="48" fillId="0" borderId="0" xfId="0" applyFont="1" applyAlignment="1">
      <alignment horizontal="center"/>
    </xf>
    <xf numFmtId="0" fontId="48" fillId="0" borderId="0" xfId="0" applyFont="1" applyAlignment="1">
      <alignment horizontal="right"/>
    </xf>
    <xf numFmtId="6" fontId="48" fillId="0" borderId="0" xfId="0" applyNumberFormat="1" applyFont="1"/>
    <xf numFmtId="6" fontId="48" fillId="0" borderId="17" xfId="0" applyNumberFormat="1" applyFont="1" applyBorder="1"/>
    <xf numFmtId="0" fontId="42" fillId="0" borderId="0" xfId="2" applyFont="1" applyAlignment="1">
      <alignment vertical="top"/>
    </xf>
    <xf numFmtId="0" fontId="42" fillId="0" borderId="0" xfId="2" applyFont="1" applyAlignment="1">
      <alignment wrapText="1"/>
    </xf>
    <xf numFmtId="164" fontId="24" fillId="0" borderId="0" xfId="1" applyNumberFormat="1" applyFont="1" applyAlignment="1">
      <alignment horizontal="center" wrapText="1"/>
    </xf>
    <xf numFmtId="0" fontId="24" fillId="0" borderId="0" xfId="1" quotePrefix="1" applyNumberFormat="1" applyFont="1"/>
    <xf numFmtId="0" fontId="24" fillId="0" borderId="0" xfId="1" applyNumberFormat="1" applyFont="1"/>
    <xf numFmtId="0" fontId="33" fillId="0" borderId="0" xfId="9" applyFont="1" applyAlignment="1">
      <alignment horizontal="right" vertical="top"/>
    </xf>
    <xf numFmtId="164" fontId="12" fillId="0" borderId="0" xfId="5" applyNumberFormat="1" applyFont="1" applyFill="1" applyAlignment="1">
      <alignment horizontal="left"/>
    </xf>
    <xf numFmtId="0" fontId="12" fillId="0" borderId="0" xfId="16" applyFont="1" applyAlignment="1">
      <alignment horizontal="center"/>
    </xf>
    <xf numFmtId="0" fontId="12" fillId="0" borderId="0" xfId="16" applyFont="1"/>
    <xf numFmtId="8" fontId="24" fillId="0" borderId="0" xfId="5" applyNumberFormat="1" applyFont="1"/>
    <xf numFmtId="8" fontId="24" fillId="0" borderId="0" xfId="5" applyNumberFormat="1" applyFont="1" applyFill="1"/>
    <xf numFmtId="43" fontId="24" fillId="0" borderId="0" xfId="5" applyFont="1"/>
    <xf numFmtId="43" fontId="24" fillId="0" borderId="0" xfId="5" applyFont="1" applyFill="1"/>
    <xf numFmtId="43" fontId="24" fillId="0" borderId="1" xfId="5" applyFont="1" applyBorder="1"/>
    <xf numFmtId="43" fontId="24" fillId="0" borderId="1" xfId="5" applyFont="1" applyFill="1" applyBorder="1"/>
    <xf numFmtId="43" fontId="14" fillId="0" borderId="0" xfId="16" applyNumberFormat="1" applyFont="1"/>
    <xf numFmtId="164" fontId="24" fillId="0" borderId="0" xfId="5" applyNumberFormat="1" applyFont="1"/>
    <xf numFmtId="164" fontId="24" fillId="0" borderId="0" xfId="5" applyNumberFormat="1" applyFont="1" applyFill="1"/>
    <xf numFmtId="164" fontId="24" fillId="0" borderId="1" xfId="5" applyNumberFormat="1" applyFont="1" applyBorder="1"/>
    <xf numFmtId="164" fontId="24" fillId="0" borderId="1" xfId="5" applyNumberFormat="1" applyFont="1" applyFill="1" applyBorder="1"/>
    <xf numFmtId="8" fontId="14" fillId="0" borderId="0" xfId="16" applyNumberFormat="1" applyFont="1"/>
    <xf numFmtId="8" fontId="14" fillId="0" borderId="1" xfId="16" applyNumberFormat="1" applyFont="1" applyBorder="1"/>
    <xf numFmtId="164" fontId="12" fillId="0" borderId="0" xfId="5" applyNumberFormat="1" applyFont="1" applyFill="1" applyBorder="1" applyAlignment="1">
      <alignment horizontal="left"/>
    </xf>
    <xf numFmtId="8" fontId="24" fillId="0" borderId="0" xfId="5" applyNumberFormat="1" applyFont="1" applyFill="1" applyBorder="1"/>
    <xf numFmtId="43" fontId="24" fillId="0" borderId="0" xfId="5" applyFont="1" applyFill="1" applyBorder="1"/>
    <xf numFmtId="0" fontId="14" fillId="0" borderId="0" xfId="16" applyFont="1" applyAlignment="1">
      <alignment horizontal="right"/>
    </xf>
    <xf numFmtId="14" fontId="14" fillId="0" borderId="0" xfId="16" applyNumberFormat="1" applyFont="1"/>
    <xf numFmtId="14" fontId="14" fillId="0" borderId="0" xfId="16" quotePrefix="1" applyNumberFormat="1" applyFont="1"/>
    <xf numFmtId="164" fontId="24" fillId="0" borderId="0" xfId="1" applyNumberFormat="1" applyFont="1" applyAlignment="1">
      <alignment wrapText="1"/>
    </xf>
    <xf numFmtId="0" fontId="27" fillId="0" borderId="0" xfId="0" applyFont="1" applyAlignment="1">
      <alignment wrapText="1"/>
    </xf>
    <xf numFmtId="0" fontId="49" fillId="0" borderId="0" xfId="0" applyFont="1" applyAlignment="1">
      <alignment wrapText="1"/>
    </xf>
    <xf numFmtId="15" fontId="27" fillId="0" borderId="0" xfId="0" applyNumberFormat="1" applyFont="1"/>
    <xf numFmtId="15" fontId="27" fillId="0" borderId="0" xfId="0" applyNumberFormat="1" applyFont="1" applyAlignment="1">
      <alignment wrapText="1"/>
    </xf>
    <xf numFmtId="3" fontId="27" fillId="0" borderId="0" xfId="0" applyNumberFormat="1" applyFont="1"/>
    <xf numFmtId="164" fontId="27" fillId="0" borderId="0" xfId="0" applyNumberFormat="1" applyFont="1"/>
    <xf numFmtId="0" fontId="49" fillId="0" borderId="0" xfId="0" applyFont="1"/>
    <xf numFmtId="164" fontId="27" fillId="0" borderId="4" xfId="0" applyNumberFormat="1" applyFont="1" applyBorder="1"/>
    <xf numFmtId="0" fontId="49" fillId="11" borderId="0" xfId="0" applyFont="1" applyFill="1"/>
    <xf numFmtId="164" fontId="27" fillId="11" borderId="1" xfId="0" applyNumberFormat="1" applyFont="1" applyFill="1" applyBorder="1"/>
    <xf numFmtId="164" fontId="27" fillId="0" borderId="1" xfId="0" applyNumberFormat="1" applyFont="1" applyBorder="1"/>
    <xf numFmtId="10" fontId="50" fillId="0" borderId="0" xfId="0" applyNumberFormat="1" applyFont="1"/>
    <xf numFmtId="10" fontId="27" fillId="0" borderId="0" xfId="0" applyNumberFormat="1" applyFont="1"/>
    <xf numFmtId="10" fontId="50" fillId="0" borderId="0" xfId="0" quotePrefix="1" applyNumberFormat="1" applyFont="1"/>
    <xf numFmtId="0" fontId="27" fillId="12" borderId="0" xfId="0" applyFont="1" applyFill="1"/>
    <xf numFmtId="164" fontId="27" fillId="12" borderId="0" xfId="0" applyNumberFormat="1" applyFont="1" applyFill="1"/>
    <xf numFmtId="164" fontId="27" fillId="0" borderId="2" xfId="0" applyNumberFormat="1" applyFont="1" applyBorder="1"/>
    <xf numFmtId="164" fontId="41" fillId="0" borderId="0" xfId="0" applyNumberFormat="1" applyFont="1"/>
    <xf numFmtId="0" fontId="41" fillId="0" borderId="0" xfId="1" applyNumberFormat="1" applyFont="1" applyAlignment="1">
      <alignment horizontal="center"/>
    </xf>
    <xf numFmtId="164" fontId="51" fillId="0" borderId="0" xfId="1" applyNumberFormat="1" applyFont="1"/>
    <xf numFmtId="164" fontId="23" fillId="0" borderId="0" xfId="1" applyNumberFormat="1" applyFont="1" applyAlignment="1">
      <alignment horizontal="center"/>
    </xf>
    <xf numFmtId="0" fontId="51" fillId="0" borderId="0" xfId="1" applyNumberFormat="1" applyFont="1" applyAlignment="1">
      <alignment horizontal="center"/>
    </xf>
    <xf numFmtId="164" fontId="23" fillId="6" borderId="0" xfId="1" applyNumberFormat="1" applyFont="1" applyFill="1" applyAlignment="1">
      <alignment horizontal="center"/>
    </xf>
    <xf numFmtId="0" fontId="23" fillId="0" borderId="0" xfId="1" applyNumberFormat="1" applyFont="1" applyAlignment="1">
      <alignment horizontal="center"/>
    </xf>
    <xf numFmtId="164" fontId="24" fillId="3" borderId="0" xfId="1" applyNumberFormat="1" applyFont="1" applyFill="1"/>
    <xf numFmtId="164" fontId="41" fillId="0" borderId="0" xfId="1" applyNumberFormat="1" applyFont="1" applyAlignment="1"/>
    <xf numFmtId="164" fontId="41" fillId="3" borderId="0" xfId="1" applyNumberFormat="1" applyFont="1" applyFill="1"/>
    <xf numFmtId="164" fontId="24" fillId="0" borderId="2" xfId="1" applyNumberFormat="1" applyFont="1" applyBorder="1"/>
    <xf numFmtId="164" fontId="41" fillId="0" borderId="0" xfId="1" applyNumberFormat="1" applyFont="1" applyFill="1"/>
    <xf numFmtId="164" fontId="14" fillId="0" borderId="1" xfId="1" applyNumberFormat="1" applyFont="1" applyFill="1" applyBorder="1"/>
    <xf numFmtId="164" fontId="24" fillId="0" borderId="0" xfId="1" applyNumberFormat="1" applyFont="1" applyBorder="1"/>
    <xf numFmtId="164" fontId="23" fillId="0" borderId="0" xfId="1" applyNumberFormat="1" applyFont="1" applyAlignment="1"/>
    <xf numFmtId="164" fontId="23" fillId="0" borderId="1" xfId="1" applyNumberFormat="1" applyFont="1" applyBorder="1"/>
    <xf numFmtId="164" fontId="24" fillId="6" borderId="1" xfId="1" applyNumberFormat="1" applyFont="1" applyFill="1" applyBorder="1"/>
    <xf numFmtId="164" fontId="52" fillId="0" borderId="0" xfId="1" applyNumberFormat="1" applyFont="1"/>
    <xf numFmtId="164" fontId="24" fillId="0" borderId="4" xfId="1" applyNumberFormat="1" applyFont="1" applyBorder="1"/>
    <xf numFmtId="164" fontId="24" fillId="2" borderId="0" xfId="1" applyNumberFormat="1" applyFont="1" applyFill="1"/>
    <xf numFmtId="164" fontId="24" fillId="2" borderId="0" xfId="1" applyNumberFormat="1" applyFont="1" applyFill="1" applyAlignment="1">
      <alignment horizontal="center"/>
    </xf>
    <xf numFmtId="164" fontId="24" fillId="2" borderId="1" xfId="1" applyNumberFormat="1" applyFont="1" applyFill="1" applyBorder="1"/>
    <xf numFmtId="0" fontId="12" fillId="0" borderId="0" xfId="26" applyFont="1" applyAlignment="1">
      <alignment horizontal="center"/>
    </xf>
    <xf numFmtId="0" fontId="14" fillId="0" borderId="0" xfId="26" applyFont="1"/>
    <xf numFmtId="0" fontId="12" fillId="0" borderId="0" xfId="26" applyFont="1"/>
    <xf numFmtId="0" fontId="39" fillId="0" borderId="0" xfId="26" applyFont="1" applyAlignment="1">
      <alignment horizontal="center"/>
    </xf>
    <xf numFmtId="0" fontId="39" fillId="0" borderId="0" xfId="26" applyFont="1"/>
    <xf numFmtId="0" fontId="14" fillId="0" borderId="0" xfId="26" applyFont="1" applyAlignment="1">
      <alignment horizontal="center"/>
    </xf>
    <xf numFmtId="172" fontId="14" fillId="0" borderId="0" xfId="26" applyNumberFormat="1" applyFont="1"/>
    <xf numFmtId="37" fontId="14" fillId="0" borderId="0" xfId="26" applyNumberFormat="1" applyFont="1"/>
    <xf numFmtId="37" fontId="14" fillId="0" borderId="3" xfId="26" applyNumberFormat="1" applyFont="1" applyBorder="1"/>
    <xf numFmtId="37" fontId="14" fillId="0" borderId="2" xfId="26" applyNumberFormat="1" applyFont="1" applyBorder="1"/>
    <xf numFmtId="43" fontId="14" fillId="0" borderId="0" xfId="27" applyFont="1"/>
    <xf numFmtId="0" fontId="24" fillId="0" borderId="0" xfId="26" applyFont="1"/>
    <xf numFmtId="41" fontId="14" fillId="0" borderId="2" xfId="26" applyNumberFormat="1" applyFont="1" applyBorder="1"/>
    <xf numFmtId="42" fontId="14" fillId="0" borderId="2" xfId="26" applyNumberFormat="1" applyFont="1" applyBorder="1"/>
    <xf numFmtId="0" fontId="14" fillId="2" borderId="0" xfId="26" applyFont="1" applyFill="1" applyAlignment="1">
      <alignment horizontal="center"/>
    </xf>
    <xf numFmtId="0" fontId="14" fillId="2" borderId="0" xfId="26" applyFont="1" applyFill="1"/>
    <xf numFmtId="37" fontId="14" fillId="2" borderId="0" xfId="26" applyNumberFormat="1" applyFont="1" applyFill="1"/>
    <xf numFmtId="172" fontId="14" fillId="0" borderId="15" xfId="26" applyNumberFormat="1" applyFont="1" applyBorder="1"/>
    <xf numFmtId="173" fontId="14" fillId="0" borderId="0" xfId="26" applyNumberFormat="1" applyFont="1" applyAlignment="1">
      <alignment horizontal="center"/>
    </xf>
    <xf numFmtId="1" fontId="14" fillId="0" borderId="0" xfId="26" applyNumberFormat="1" applyFont="1" applyAlignment="1">
      <alignment horizontal="center"/>
    </xf>
    <xf numFmtId="42" fontId="14" fillId="0" borderId="0" xfId="26" applyNumberFormat="1" applyFont="1"/>
    <xf numFmtId="174" fontId="14" fillId="0" borderId="0" xfId="26" applyNumberFormat="1" applyFont="1"/>
    <xf numFmtId="41" fontId="14" fillId="2" borderId="2" xfId="26" applyNumberFormat="1" applyFont="1" applyFill="1" applyBorder="1"/>
    <xf numFmtId="41" fontId="14" fillId="0" borderId="0" xfId="26" applyNumberFormat="1" applyFont="1"/>
    <xf numFmtId="42" fontId="14" fillId="0" borderId="15" xfId="26" applyNumberFormat="1" applyFont="1" applyBorder="1"/>
    <xf numFmtId="43" fontId="10" fillId="0" borderId="0" xfId="1" applyFont="1"/>
    <xf numFmtId="0" fontId="54" fillId="4" borderId="5" xfId="0" applyFont="1" applyFill="1" applyBorder="1"/>
    <xf numFmtId="43" fontId="54" fillId="4" borderId="5" xfId="1" applyFont="1" applyFill="1" applyBorder="1"/>
    <xf numFmtId="0" fontId="10" fillId="0" borderId="0" xfId="0" applyFont="1"/>
    <xf numFmtId="1" fontId="10" fillId="0" borderId="0" xfId="0" applyNumberFormat="1" applyFont="1"/>
    <xf numFmtId="43" fontId="24" fillId="0" borderId="0" xfId="1" applyFont="1"/>
    <xf numFmtId="0" fontId="55" fillId="4" borderId="5" xfId="0" applyFont="1" applyFill="1" applyBorder="1"/>
    <xf numFmtId="43" fontId="55" fillId="4" borderId="5" xfId="1" applyFont="1" applyFill="1" applyBorder="1"/>
    <xf numFmtId="0" fontId="24" fillId="0" borderId="0" xfId="0" applyFont="1"/>
    <xf numFmtId="1" fontId="24" fillId="0" borderId="0" xfId="0" applyNumberFormat="1" applyFont="1"/>
    <xf numFmtId="170" fontId="12" fillId="0" borderId="0" xfId="25" applyFont="1"/>
    <xf numFmtId="170" fontId="12" fillId="0" borderId="0" xfId="25" applyFont="1" applyAlignment="1">
      <alignment horizontal="center"/>
    </xf>
    <xf numFmtId="0" fontId="6" fillId="0" borderId="0" xfId="16" applyFont="1"/>
    <xf numFmtId="0" fontId="6" fillId="0" borderId="0" xfId="16" applyFont="1" applyAlignment="1">
      <alignment horizontal="center"/>
    </xf>
    <xf numFmtId="0" fontId="21" fillId="0" borderId="0" xfId="9" applyFont="1" applyAlignment="1">
      <alignment horizontal="right" vertical="top"/>
    </xf>
    <xf numFmtId="0" fontId="6" fillId="9" borderId="0" xfId="16" applyFont="1" applyFill="1" applyAlignment="1">
      <alignment horizontal="center"/>
    </xf>
    <xf numFmtId="0" fontId="5" fillId="9" borderId="0" xfId="16" applyFont="1" applyFill="1"/>
    <xf numFmtId="164" fontId="26" fillId="0" borderId="9" xfId="1" applyNumberFormat="1" applyFont="1" applyBorder="1"/>
    <xf numFmtId="164" fontId="6" fillId="0" borderId="10" xfId="1" applyNumberFormat="1" applyFont="1" applyBorder="1"/>
    <xf numFmtId="164" fontId="26" fillId="0" borderId="10" xfId="1" applyNumberFormat="1" applyFont="1" applyFill="1" applyBorder="1"/>
    <xf numFmtId="164" fontId="6" fillId="0" borderId="10" xfId="1" applyNumberFormat="1" applyFont="1" applyBorder="1" applyAlignment="1">
      <alignment horizontal="center"/>
    </xf>
    <xf numFmtId="164" fontId="26" fillId="0" borderId="0" xfId="1" applyNumberFormat="1" applyFont="1"/>
    <xf numFmtId="0" fontId="6" fillId="0" borderId="11" xfId="16" applyFont="1" applyBorder="1"/>
    <xf numFmtId="164" fontId="26" fillId="0" borderId="0" xfId="1" applyNumberFormat="1" applyFont="1" applyBorder="1" applyAlignment="1">
      <alignment horizontal="center"/>
    </xf>
    <xf numFmtId="164" fontId="26" fillId="0" borderId="11" xfId="1" applyNumberFormat="1" applyFont="1" applyBorder="1"/>
    <xf numFmtId="164" fontId="6" fillId="0" borderId="0" xfId="1" applyNumberFormat="1" applyFont="1" applyBorder="1"/>
    <xf numFmtId="164" fontId="26" fillId="0" borderId="0" xfId="1" applyNumberFormat="1" applyFont="1" applyFill="1" applyBorder="1"/>
    <xf numFmtId="164" fontId="6" fillId="0" borderId="0" xfId="1" applyNumberFormat="1" applyFont="1" applyBorder="1" applyAlignment="1">
      <alignment horizontal="center"/>
    </xf>
    <xf numFmtId="164" fontId="26" fillId="0" borderId="0" xfId="1" applyNumberFormat="1" applyFont="1" applyBorder="1"/>
    <xf numFmtId="0" fontId="6" fillId="5" borderId="0" xfId="16" applyFont="1" applyFill="1"/>
    <xf numFmtId="10" fontId="26" fillId="5" borderId="0" xfId="24" applyNumberFormat="1" applyFont="1" applyFill="1" applyBorder="1"/>
    <xf numFmtId="10" fontId="26" fillId="2" borderId="0" xfId="24" applyNumberFormat="1" applyFont="1" applyFill="1" applyBorder="1"/>
    <xf numFmtId="175" fontId="6" fillId="0" borderId="0" xfId="16" applyNumberFormat="1" applyFont="1" applyAlignment="1">
      <alignment horizontal="center"/>
    </xf>
    <xf numFmtId="164" fontId="26" fillId="8" borderId="0" xfId="1" applyNumberFormat="1" applyFont="1" applyFill="1" applyBorder="1"/>
    <xf numFmtId="10" fontId="26" fillId="0" borderId="0" xfId="24" applyNumberFormat="1" applyFont="1" applyFill="1" applyBorder="1"/>
    <xf numFmtId="10" fontId="26" fillId="0" borderId="0" xfId="24" applyNumberFormat="1" applyFont="1" applyBorder="1"/>
    <xf numFmtId="170" fontId="43" fillId="0" borderId="0" xfId="25" applyFont="1" applyAlignment="1">
      <alignment horizontal="center"/>
    </xf>
    <xf numFmtId="170" fontId="43" fillId="0" borderId="0" xfId="25" applyFont="1"/>
    <xf numFmtId="0" fontId="4" fillId="0" borderId="0" xfId="16"/>
    <xf numFmtId="0" fontId="4" fillId="0" borderId="0" xfId="16" applyAlignment="1">
      <alignment horizontal="center"/>
    </xf>
    <xf numFmtId="0" fontId="14" fillId="0" borderId="0" xfId="30" applyFont="1"/>
    <xf numFmtId="0" fontId="24" fillId="0" borderId="8" xfId="0" applyFont="1" applyBorder="1" applyAlignment="1">
      <alignment horizontal="center"/>
    </xf>
    <xf numFmtId="0" fontId="24" fillId="0" borderId="8" xfId="0" applyFont="1" applyBorder="1"/>
    <xf numFmtId="0" fontId="24" fillId="7" borderId="8" xfId="0" applyFont="1" applyFill="1" applyBorder="1" applyAlignment="1">
      <alignment horizontal="center"/>
    </xf>
    <xf numFmtId="164" fontId="24" fillId="0" borderId="0" xfId="27" applyNumberFormat="1" applyFont="1"/>
    <xf numFmtId="164" fontId="24" fillId="0" borderId="8" xfId="27" applyNumberFormat="1" applyFont="1" applyBorder="1"/>
    <xf numFmtId="14" fontId="24" fillId="0" borderId="8" xfId="27" applyNumberFormat="1" applyFont="1" applyFill="1" applyBorder="1"/>
    <xf numFmtId="1" fontId="24" fillId="0" borderId="0" xfId="27" applyNumberFormat="1" applyFont="1" applyFill="1" applyBorder="1" applyAlignment="1">
      <alignment horizontal="center"/>
    </xf>
    <xf numFmtId="164" fontId="24" fillId="2" borderId="8" xfId="27" applyNumberFormat="1" applyFont="1" applyFill="1" applyBorder="1"/>
    <xf numFmtId="164" fontId="24" fillId="0" borderId="8" xfId="27" applyNumberFormat="1" applyFont="1" applyFill="1" applyBorder="1"/>
    <xf numFmtId="1" fontId="24" fillId="0" borderId="8" xfId="27" applyNumberFormat="1" applyFont="1" applyFill="1" applyBorder="1" applyAlignment="1">
      <alignment horizontal="center"/>
    </xf>
    <xf numFmtId="0" fontId="24" fillId="0" borderId="0" xfId="0" quotePrefix="1" applyFont="1"/>
    <xf numFmtId="14" fontId="24" fillId="0" borderId="8" xfId="27" applyNumberFormat="1" applyFont="1" applyFill="1" applyBorder="1" applyAlignment="1">
      <alignment horizontal="center"/>
    </xf>
    <xf numFmtId="0" fontId="24" fillId="0" borderId="0" xfId="0" applyFont="1" applyAlignment="1">
      <alignment horizontal="center" wrapText="1"/>
    </xf>
    <xf numFmtId="164" fontId="41" fillId="0" borderId="0" xfId="27" applyNumberFormat="1" applyFont="1" applyAlignment="1">
      <alignment horizontal="center" wrapText="1"/>
    </xf>
    <xf numFmtId="164" fontId="24" fillId="0" borderId="0" xfId="27" applyNumberFormat="1" applyFont="1" applyFill="1" applyBorder="1"/>
    <xf numFmtId="0" fontId="24" fillId="2" borderId="0" xfId="0" applyFont="1" applyFill="1"/>
    <xf numFmtId="164" fontId="24" fillId="0" borderId="0" xfId="0" applyNumberFormat="1" applyFont="1"/>
    <xf numFmtId="164" fontId="41" fillId="0" borderId="0" xfId="27" applyNumberFormat="1" applyFont="1"/>
    <xf numFmtId="1" fontId="9" fillId="0" borderId="0" xfId="8" applyNumberFormat="1" applyFont="1"/>
    <xf numFmtId="0" fontId="9" fillId="0" borderId="0" xfId="8" applyFont="1"/>
    <xf numFmtId="43" fontId="9" fillId="0" borderId="0" xfId="1" applyFont="1"/>
    <xf numFmtId="5" fontId="20" fillId="2" borderId="0" xfId="2" applyNumberFormat="1" applyFont="1" applyFill="1"/>
    <xf numFmtId="5" fontId="20" fillId="2" borderId="4" xfId="2" applyNumberFormat="1" applyFont="1" applyFill="1" applyBorder="1"/>
    <xf numFmtId="5" fontId="23" fillId="2" borderId="0" xfId="2" applyNumberFormat="1" applyFont="1" applyFill="1"/>
    <xf numFmtId="5" fontId="20" fillId="2" borderId="1" xfId="2" applyNumberFormat="1" applyFont="1" applyFill="1" applyBorder="1"/>
    <xf numFmtId="5" fontId="23" fillId="2" borderId="1" xfId="2" applyNumberFormat="1" applyFont="1" applyFill="1" applyBorder="1"/>
    <xf numFmtId="0" fontId="24" fillId="0" borderId="0" xfId="2" applyFont="1" applyAlignment="1">
      <alignment horizontal="center"/>
    </xf>
    <xf numFmtId="0" fontId="24" fillId="0" borderId="0" xfId="1" applyNumberFormat="1" applyFont="1" applyAlignment="1">
      <alignment wrapText="1"/>
    </xf>
    <xf numFmtId="0" fontId="20" fillId="0" borderId="0" xfId="2" applyFont="1" applyAlignment="1">
      <alignment horizontal="center"/>
    </xf>
    <xf numFmtId="0" fontId="20" fillId="0" borderId="13" xfId="2" applyFont="1" applyBorder="1" applyAlignment="1">
      <alignment horizontal="center" vertical="center" wrapText="1"/>
    </xf>
    <xf numFmtId="0" fontId="20" fillId="0" borderId="12" xfId="2" applyFont="1" applyBorder="1" applyAlignment="1">
      <alignment horizontal="center" vertical="center" wrapText="1"/>
    </xf>
    <xf numFmtId="0" fontId="20" fillId="0" borderId="14" xfId="2" applyFont="1" applyBorder="1" applyAlignment="1">
      <alignment horizontal="center" vertical="center" wrapText="1"/>
    </xf>
    <xf numFmtId="0" fontId="20" fillId="0" borderId="0" xfId="2" applyFont="1" applyAlignment="1">
      <alignment wrapText="1"/>
    </xf>
    <xf numFmtId="0" fontId="14" fillId="0" borderId="6" xfId="16" applyFont="1" applyBorder="1" applyAlignment="1">
      <alignment horizontal="center"/>
    </xf>
    <xf numFmtId="0" fontId="14" fillId="0" borderId="2" xfId="16" applyFont="1" applyBorder="1" applyAlignment="1">
      <alignment horizontal="center"/>
    </xf>
    <xf numFmtId="0" fontId="14" fillId="0" borderId="7" xfId="16" applyFont="1" applyBorder="1" applyAlignment="1">
      <alignment horizontal="center"/>
    </xf>
    <xf numFmtId="0" fontId="48" fillId="0" borderId="0" xfId="0" applyFont="1"/>
    <xf numFmtId="0" fontId="42" fillId="0" borderId="0" xfId="2" applyFont="1" applyAlignment="1">
      <alignment wrapText="1"/>
    </xf>
    <xf numFmtId="0" fontId="42" fillId="0" borderId="0" xfId="2" applyFont="1" applyAlignment="1">
      <alignment horizontal="center"/>
    </xf>
    <xf numFmtId="0" fontId="35" fillId="0" borderId="0" xfId="13" applyFont="1" applyAlignment="1">
      <alignment horizontal="center"/>
    </xf>
    <xf numFmtId="0" fontId="35" fillId="0" borderId="3" xfId="16" applyFont="1" applyBorder="1" applyAlignment="1">
      <alignment horizontal="center"/>
    </xf>
    <xf numFmtId="167" fontId="42" fillId="0" borderId="3" xfId="2" applyNumberFormat="1" applyFont="1" applyBorder="1" applyAlignment="1">
      <alignment horizontal="center" vertical="center" wrapText="1"/>
    </xf>
    <xf numFmtId="0" fontId="48" fillId="0" borderId="0" xfId="0" applyFont="1" applyAlignment="1">
      <alignment wrapText="1"/>
    </xf>
    <xf numFmtId="0" fontId="0" fillId="0" borderId="0" xfId="0" applyAlignment="1">
      <alignment wrapText="1"/>
    </xf>
    <xf numFmtId="0" fontId="14" fillId="11" borderId="0" xfId="0" applyFont="1" applyFill="1" applyAlignment="1">
      <alignment wrapText="1"/>
    </xf>
    <xf numFmtId="0" fontId="12" fillId="0" borderId="0" xfId="26" applyFont="1" applyAlignment="1">
      <alignment horizontal="center"/>
    </xf>
    <xf numFmtId="171" fontId="12" fillId="0" borderId="0" xfId="26" applyNumberFormat="1" applyFont="1" applyAlignment="1">
      <alignment horizontal="center"/>
    </xf>
    <xf numFmtId="0" fontId="39" fillId="0" borderId="0" xfId="26" applyFont="1" applyAlignment="1">
      <alignment horizontal="center"/>
    </xf>
    <xf numFmtId="0" fontId="53" fillId="0" borderId="0" xfId="26" applyFont="1" applyAlignment="1">
      <alignment horizontal="center"/>
    </xf>
  </cellXfs>
  <cellStyles count="35">
    <cellStyle name="Comma" xfId="1" builtinId="3"/>
    <cellStyle name="Comma [0] 2" xfId="20" xr:uid="{82CE6B85-C5D3-44D6-B359-11AB10AF9886}"/>
    <cellStyle name="Comma 10 6 2" xfId="27" xr:uid="{66129EF8-4862-4D87-B670-15DF807BA1DA}"/>
    <cellStyle name="Comma 100" xfId="31" xr:uid="{0ED95A68-E9DD-42EB-A80E-68F0C2D91A25}"/>
    <cellStyle name="Comma 13" xfId="22" xr:uid="{54C2DFF4-B9FD-4695-A289-289A509C8331}"/>
    <cellStyle name="Comma 2" xfId="5" xr:uid="{44B2A332-6498-4BC3-B09E-C31D759D023A}"/>
    <cellStyle name="Comma 2 2" xfId="23" xr:uid="{BA9BB31B-48BF-4D3D-A05B-BBE7E0EE185D}"/>
    <cellStyle name="Comma 3" xfId="10" xr:uid="{822CD29C-474C-4B54-B1DA-65E0D9E2835B}"/>
    <cellStyle name="Currency 2" xfId="19" xr:uid="{413E36F5-C072-4F3F-ADBF-0C4C5F36A970}"/>
    <cellStyle name="Currency 2 2" xfId="21" xr:uid="{AF4A91BA-C728-4693-961C-E684971D46A4}"/>
    <cellStyle name="Hyperlink 2" xfId="18" xr:uid="{C6F1C6D0-8ABE-4774-B197-E2276476C7C3}"/>
    <cellStyle name="Normal" xfId="0" builtinId="0"/>
    <cellStyle name="Normal 10 10" xfId="13" xr:uid="{B6BC0A92-2990-44CB-B28F-CF9771EE8817}"/>
    <cellStyle name="Normal 10 16" xfId="28" xr:uid="{F99E5BC5-F2DE-4576-856D-58A50BA08B46}"/>
    <cellStyle name="Normal 100" xfId="25" xr:uid="{0ECC6C6D-6CF6-4198-8647-A5F2B6E691AD}"/>
    <cellStyle name="Normal 115" xfId="33" xr:uid="{B6982677-BFEB-4349-AD4F-1FD611041BE1}"/>
    <cellStyle name="Normal 115 2" xfId="34" xr:uid="{0A86629E-578C-4B6F-9CB6-71D944E4661D}"/>
    <cellStyle name="Normal 2" xfId="2" xr:uid="{7B15B257-2F01-4B9A-BF3E-F4427C7F1488}"/>
    <cellStyle name="Normal 2 10 3" xfId="16" xr:uid="{D848DC69-66C1-47A2-9BCD-4E2AD54738AA}"/>
    <cellStyle name="Normal 2 2" xfId="4" xr:uid="{BFF550D4-5B14-44CF-8F48-0E1B33B923C9}"/>
    <cellStyle name="Normal 2 2 3 3 2" xfId="17" xr:uid="{4F21AAB8-FED3-4886-9AD3-CA5718B8F3F3}"/>
    <cellStyle name="Normal 2 3" xfId="29" xr:uid="{6359E7FC-7A39-4AB6-9D0C-1FB5C521ED13}"/>
    <cellStyle name="Normal 3" xfId="3" xr:uid="{A12A0E9E-EC01-496C-B8B6-5D885A8C7228}"/>
    <cellStyle name="Normal 331" xfId="12" xr:uid="{ED1D297D-C48C-4D66-B46F-C108AF9F87D3}"/>
    <cellStyle name="Normal 4" xfId="8" xr:uid="{6471DDF9-DF3F-49B0-97A9-E723FD01C138}"/>
    <cellStyle name="Normal 5" xfId="26" xr:uid="{326D6474-6D11-499A-9743-E4ADC9C9B7A4}"/>
    <cellStyle name="Normal 6" xfId="30" xr:uid="{FF830785-18B8-4856-91F5-19CC0FF3A47F}"/>
    <cellStyle name="Normal 86 3" xfId="15" xr:uid="{4FCD4E21-BB63-4EEB-A4DD-9AB7ADFCA058}"/>
    <cellStyle name="Normal_PJM-1 Update - Rev Reqs Summary KEDNY RW" xfId="9" xr:uid="{80A8B429-753F-42DF-AC02-94A059AF086E}"/>
    <cellStyle name="Normal_Sheet2" xfId="14" xr:uid="{3069A924-0306-4823-ABB6-BB93ED7579DB}"/>
    <cellStyle name="Percent" xfId="24" builtinId="5"/>
    <cellStyle name="Percent 11" xfId="32" xr:uid="{2B146051-34B8-4EEE-B079-90C2C4EE584A}"/>
    <cellStyle name="Percent 2" xfId="7" xr:uid="{CB1C19DF-8430-45B1-ABE4-E73A74C64546}"/>
    <cellStyle name="Percent 3" xfId="11" xr:uid="{57251106-F7E2-44E1-A5F4-1DD78E091F34}"/>
    <cellStyle name="PSChar" xfId="6" xr:uid="{E2CB64BB-4E55-4CCE-9163-8407A308CD29}"/>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40"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156</xdr:row>
      <xdr:rowOff>0</xdr:rowOff>
    </xdr:from>
    <xdr:to>
      <xdr:col>15</xdr:col>
      <xdr:colOff>964474</xdr:colOff>
      <xdr:row>198</xdr:row>
      <xdr:rowOff>163183</xdr:rowOff>
    </xdr:to>
    <xdr:pic>
      <xdr:nvPicPr>
        <xdr:cNvPr id="98" name="Picture 97">
          <a:extLst>
            <a:ext uri="{FF2B5EF4-FFF2-40B4-BE49-F238E27FC236}">
              <a16:creationId xmlns:a16="http://schemas.microsoft.com/office/drawing/2014/main" id="{C247B809-E31D-4513-87A2-870E817789EB}"/>
            </a:ext>
          </a:extLst>
        </xdr:cNvPr>
        <xdr:cNvPicPr>
          <a:picLocks noChangeAspect="1"/>
        </xdr:cNvPicPr>
      </xdr:nvPicPr>
      <xdr:blipFill>
        <a:blip xmlns:r="http://schemas.openxmlformats.org/officeDocument/2006/relationships" r:embed="rId1"/>
        <a:stretch>
          <a:fillRect/>
        </a:stretch>
      </xdr:blipFill>
      <xdr:spPr>
        <a:xfrm>
          <a:off x="0" y="26631900"/>
          <a:ext cx="17547499" cy="9011908"/>
        </a:xfrm>
        <a:prstGeom prst="rect">
          <a:avLst/>
        </a:prstGeom>
      </xdr:spPr>
    </xdr:pic>
    <xdr:clientData/>
  </xdr:twoCellAnchor>
  <xdr:twoCellAnchor editAs="oneCell">
    <xdr:from>
      <xdr:col>0</xdr:col>
      <xdr:colOff>0</xdr:colOff>
      <xdr:row>204</xdr:row>
      <xdr:rowOff>0</xdr:rowOff>
    </xdr:from>
    <xdr:to>
      <xdr:col>15</xdr:col>
      <xdr:colOff>678684</xdr:colOff>
      <xdr:row>240</xdr:row>
      <xdr:rowOff>39162</xdr:rowOff>
    </xdr:to>
    <xdr:pic>
      <xdr:nvPicPr>
        <xdr:cNvPr id="99" name="Picture 98">
          <a:extLst>
            <a:ext uri="{FF2B5EF4-FFF2-40B4-BE49-F238E27FC236}">
              <a16:creationId xmlns:a16="http://schemas.microsoft.com/office/drawing/2014/main" id="{7AED5BC3-CBD3-7633-22FC-F892BFB2058D}"/>
            </a:ext>
          </a:extLst>
        </xdr:cNvPr>
        <xdr:cNvPicPr>
          <a:picLocks noChangeAspect="1"/>
        </xdr:cNvPicPr>
      </xdr:nvPicPr>
      <xdr:blipFill>
        <a:blip xmlns:r="http://schemas.openxmlformats.org/officeDocument/2006/relationships" r:embed="rId2"/>
        <a:stretch>
          <a:fillRect/>
        </a:stretch>
      </xdr:blipFill>
      <xdr:spPr>
        <a:xfrm>
          <a:off x="0" y="35966400"/>
          <a:ext cx="17261709" cy="76115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85725</xdr:colOff>
      <xdr:row>1</xdr:row>
      <xdr:rowOff>142875</xdr:rowOff>
    </xdr:from>
    <xdr:to>
      <xdr:col>2</xdr:col>
      <xdr:colOff>76200</xdr:colOff>
      <xdr:row>6</xdr:row>
      <xdr:rowOff>123825</xdr:rowOff>
    </xdr:to>
    <xdr:pic>
      <xdr:nvPicPr>
        <xdr:cNvPr id="4" name="Picture 3">
          <a:extLst>
            <a:ext uri="{FF2B5EF4-FFF2-40B4-BE49-F238E27FC236}">
              <a16:creationId xmlns:a16="http://schemas.microsoft.com/office/drawing/2014/main" id="{58F35867-3008-B174-2DE9-55677DD3D59A}"/>
            </a:ext>
          </a:extLst>
        </xdr:cNvPr>
        <xdr:cNvPicPr>
          <a:picLocks noChangeAspect="1"/>
        </xdr:cNvPicPr>
      </xdr:nvPicPr>
      <xdr:blipFill rotWithShape="1">
        <a:blip xmlns:r="http://schemas.openxmlformats.org/officeDocument/2006/relationships" r:embed="rId1"/>
        <a:srcRect t="11406" r="1351" b="19533"/>
        <a:stretch/>
      </xdr:blipFill>
      <xdr:spPr>
        <a:xfrm>
          <a:off x="85725" y="333375"/>
          <a:ext cx="2085975" cy="10382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66676</xdr:colOff>
      <xdr:row>1</xdr:row>
      <xdr:rowOff>38100</xdr:rowOff>
    </xdr:from>
    <xdr:to>
      <xdr:col>3</xdr:col>
      <xdr:colOff>723901</xdr:colOff>
      <xdr:row>7</xdr:row>
      <xdr:rowOff>10432</xdr:rowOff>
    </xdr:to>
    <xdr:pic>
      <xdr:nvPicPr>
        <xdr:cNvPr id="3" name="Picture 2">
          <a:extLst>
            <a:ext uri="{FF2B5EF4-FFF2-40B4-BE49-F238E27FC236}">
              <a16:creationId xmlns:a16="http://schemas.microsoft.com/office/drawing/2014/main" id="{84038C95-FB34-6137-25A8-B6C900882A40}"/>
            </a:ext>
          </a:extLst>
        </xdr:cNvPr>
        <xdr:cNvPicPr>
          <a:picLocks noChangeAspect="1"/>
        </xdr:cNvPicPr>
      </xdr:nvPicPr>
      <xdr:blipFill>
        <a:blip xmlns:r="http://schemas.openxmlformats.org/officeDocument/2006/relationships" r:embed="rId1"/>
        <a:stretch>
          <a:fillRect/>
        </a:stretch>
      </xdr:blipFill>
      <xdr:spPr>
        <a:xfrm>
          <a:off x="66676" y="228600"/>
          <a:ext cx="1790700" cy="117248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c\SALES%20REPORT\DEC%201998\BIS%20MAY.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 LIST-C1 21 (2)"/>
      <sheetName val="BIS LIST-C1 20 (2)"/>
      <sheetName val="BIS LIST-C2 18"/>
      <sheetName val="BIS LIST-C2 19"/>
      <sheetName val="BIS LIST-C2 20"/>
      <sheetName val="BIS LIST-C2 21"/>
      <sheetName val="BIS LIST-NTH 18"/>
      <sheetName val="BIS LIST-NTH 19"/>
      <sheetName val="BIS LIST-NTH 20"/>
      <sheetName val="BIS LIST-NTH 21"/>
      <sheetName val="BIS LIST-NTH 19 (2)"/>
      <sheetName val="BIS LIST-NTH 18 (2)"/>
      <sheetName val="BIS LIST-STH 20 (2)"/>
      <sheetName val="BIS LIST-STH 21 (2)"/>
      <sheetName val="BIS LIST-C1 18 (2)"/>
      <sheetName val="BIS LIST-C1 19 (2)"/>
      <sheetName val="BIS LIST-C1 19 (3)"/>
      <sheetName val="BIS LIST-EC 18 (2)"/>
      <sheetName val="BIS LIST-EC 19 (2)"/>
      <sheetName val="BIS LIST-STH 18 (2)"/>
      <sheetName val="BIS LIST-EC 20 (2)"/>
      <sheetName val="BIS LIST-EC 21 (2)"/>
      <sheetName val="BIS LIST_NTH 18"/>
      <sheetName val="CAPITAL"/>
      <sheetName val="BIS_LIST-C1_21_(2)"/>
      <sheetName val="BIS_LIST-C1_20_(2)"/>
      <sheetName val="BIS_LIST-C2_18"/>
      <sheetName val="BIS_LIST-C2_19"/>
      <sheetName val="BIS_LIST-C2_20"/>
      <sheetName val="BIS_LIST-C2_21"/>
      <sheetName val="BIS_LIST-NTH_18"/>
      <sheetName val="BIS_LIST-NTH_19"/>
      <sheetName val="BIS_LIST-NTH_20"/>
      <sheetName val="BIS_LIST-NTH_21"/>
      <sheetName val="BIS_LIST-NTH_19_(2)"/>
      <sheetName val="BIS_LIST-NTH_18_(2)"/>
      <sheetName val="BIS_LIST-STH_20_(2)"/>
      <sheetName val="BIS_LIST-STH_21_(2)"/>
      <sheetName val="BIS_LIST-C1_18_(2)"/>
      <sheetName val="BIS_LIST-C1_19_(2)"/>
      <sheetName val="BIS_LIST-C1_19_(3)"/>
      <sheetName val="BIS_LIST-EC_18_(2)"/>
      <sheetName val="BIS_LIST-EC_19_(2)"/>
      <sheetName val="BIS_LIST-STH_18_(2)"/>
      <sheetName val="BIS_LIST-EC_20_(2)"/>
      <sheetName val="BIS_LIST-EC_21_(2)"/>
      <sheetName val="BIS_LIST_NTH_18"/>
    </sheetNames>
    <sheetDataSet>
      <sheetData sheetId="0"/>
      <sheetData sheetId="1"/>
      <sheetData sheetId="2"/>
      <sheetData sheetId="3"/>
      <sheetData sheetId="4"/>
      <sheetData sheetId="5"/>
      <sheetData sheetId="6" refreshError="1">
        <row r="1">
          <cell r="A1" t="str">
            <v>BIS</v>
          </cell>
          <cell r="B1" t="str">
            <v>WK NO</v>
          </cell>
          <cell r="C1" t="str">
            <v>BK REF #</v>
          </cell>
          <cell r="D1" t="str">
            <v>BANK</v>
          </cell>
          <cell r="E1" t="str">
            <v>DATE</v>
          </cell>
          <cell r="F1" t="str">
            <v>RM</v>
          </cell>
          <cell r="G1" t="str">
            <v>COMM</v>
          </cell>
          <cell r="H1" t="str">
            <v>NET BIS</v>
          </cell>
        </row>
        <row r="2">
          <cell r="A2" t="str">
            <v>AZHAR</v>
          </cell>
          <cell r="B2">
            <v>18</v>
          </cell>
          <cell r="C2">
            <v>1</v>
          </cell>
          <cell r="D2" t="str">
            <v>PAB</v>
          </cell>
          <cell r="E2">
            <v>35924</v>
          </cell>
          <cell r="F2">
            <v>3949.98</v>
          </cell>
          <cell r="G2">
            <v>1.22</v>
          </cell>
          <cell r="H2">
            <v>3948.76</v>
          </cell>
        </row>
        <row r="3">
          <cell r="A3" t="str">
            <v>HAZIDI</v>
          </cell>
          <cell r="B3">
            <v>18</v>
          </cell>
          <cell r="C3">
            <v>1</v>
          </cell>
          <cell r="D3" t="str">
            <v>MBB</v>
          </cell>
          <cell r="E3">
            <v>35922</v>
          </cell>
          <cell r="F3">
            <v>1699.49</v>
          </cell>
          <cell r="G3">
            <v>0.51</v>
          </cell>
          <cell r="H3">
            <v>1698.98</v>
          </cell>
        </row>
        <row r="4">
          <cell r="A4" t="str">
            <v>HAZIDI</v>
          </cell>
          <cell r="B4">
            <v>18</v>
          </cell>
          <cell r="C4">
            <v>2</v>
          </cell>
          <cell r="D4" t="str">
            <v>MBB</v>
          </cell>
          <cell r="E4">
            <v>35922</v>
          </cell>
          <cell r="F4">
            <v>52.3</v>
          </cell>
          <cell r="G4">
            <v>0.5</v>
          </cell>
          <cell r="H4">
            <v>51.8</v>
          </cell>
        </row>
        <row r="5">
          <cell r="A5" t="str">
            <v>HAZIDI</v>
          </cell>
          <cell r="B5">
            <v>18</v>
          </cell>
          <cell r="C5">
            <v>3</v>
          </cell>
          <cell r="D5" t="str">
            <v>MBB</v>
          </cell>
          <cell r="E5">
            <v>35926</v>
          </cell>
          <cell r="F5">
            <v>3224.33</v>
          </cell>
          <cell r="G5">
            <v>0.97</v>
          </cell>
          <cell r="H5">
            <v>3223.36</v>
          </cell>
        </row>
        <row r="6">
          <cell r="A6" t="str">
            <v>KAMAL</v>
          </cell>
          <cell r="B6">
            <v>18</v>
          </cell>
          <cell r="C6">
            <v>1</v>
          </cell>
          <cell r="D6" t="str">
            <v>MBB</v>
          </cell>
          <cell r="E6">
            <v>35923</v>
          </cell>
          <cell r="F6">
            <v>3898.83</v>
          </cell>
          <cell r="G6">
            <v>1.17</v>
          </cell>
          <cell r="H6">
            <v>3897.66</v>
          </cell>
        </row>
        <row r="7">
          <cell r="A7" t="str">
            <v>KAMAL</v>
          </cell>
          <cell r="B7">
            <v>18</v>
          </cell>
          <cell r="C7">
            <v>2</v>
          </cell>
          <cell r="D7" t="str">
            <v>MBB</v>
          </cell>
          <cell r="E7">
            <v>35927</v>
          </cell>
          <cell r="F7">
            <v>323.07</v>
          </cell>
          <cell r="G7">
            <v>1.57</v>
          </cell>
          <cell r="H7">
            <v>321.5</v>
          </cell>
        </row>
        <row r="8">
          <cell r="A8" t="str">
            <v>LAM</v>
          </cell>
          <cell r="B8">
            <v>18</v>
          </cell>
          <cell r="C8">
            <v>1</v>
          </cell>
          <cell r="D8" t="str">
            <v>MBB</v>
          </cell>
          <cell r="E8">
            <v>35927</v>
          </cell>
          <cell r="F8">
            <v>647.44000000000005</v>
          </cell>
          <cell r="G8">
            <v>1.33</v>
          </cell>
          <cell r="H8">
            <v>646.11</v>
          </cell>
        </row>
        <row r="9">
          <cell r="A9" t="str">
            <v>LAM</v>
          </cell>
          <cell r="B9">
            <v>18</v>
          </cell>
          <cell r="C9">
            <v>2</v>
          </cell>
          <cell r="D9" t="str">
            <v>MBB</v>
          </cell>
          <cell r="E9">
            <v>35923</v>
          </cell>
          <cell r="F9">
            <v>2398.56</v>
          </cell>
          <cell r="G9">
            <v>0.72</v>
          </cell>
          <cell r="H9">
            <v>2397.84</v>
          </cell>
        </row>
        <row r="10">
          <cell r="A10" t="str">
            <v>LAM</v>
          </cell>
          <cell r="B10">
            <v>18</v>
          </cell>
          <cell r="C10">
            <v>3</v>
          </cell>
          <cell r="D10" t="str">
            <v>MBB</v>
          </cell>
          <cell r="E10">
            <v>35921</v>
          </cell>
          <cell r="F10">
            <v>2098.7399999999998</v>
          </cell>
          <cell r="G10">
            <v>0.63</v>
          </cell>
          <cell r="H10">
            <v>2098.11</v>
          </cell>
        </row>
        <row r="11">
          <cell r="A11" t="str">
            <v>MEOR</v>
          </cell>
          <cell r="B11">
            <v>18</v>
          </cell>
          <cell r="C11">
            <v>1</v>
          </cell>
          <cell r="D11" t="str">
            <v>MBB</v>
          </cell>
          <cell r="E11">
            <v>35927</v>
          </cell>
          <cell r="F11">
            <v>736.6</v>
          </cell>
          <cell r="G11">
            <v>0</v>
          </cell>
          <cell r="H11">
            <v>736.6</v>
          </cell>
        </row>
        <row r="12">
          <cell r="A12" t="str">
            <v>MEOR</v>
          </cell>
          <cell r="B12">
            <v>18</v>
          </cell>
          <cell r="C12">
            <v>2</v>
          </cell>
          <cell r="D12" t="str">
            <v>MBB</v>
          </cell>
          <cell r="E12">
            <v>35921</v>
          </cell>
          <cell r="F12">
            <v>2448.52</v>
          </cell>
          <cell r="G12">
            <v>0.74</v>
          </cell>
          <cell r="H12">
            <v>2447.7800000000002</v>
          </cell>
        </row>
        <row r="13">
          <cell r="A13" t="str">
            <v>MEOR</v>
          </cell>
          <cell r="B13">
            <v>18</v>
          </cell>
          <cell r="C13">
            <v>3</v>
          </cell>
          <cell r="D13" t="str">
            <v>MBB</v>
          </cell>
          <cell r="E13">
            <v>35923</v>
          </cell>
          <cell r="F13">
            <v>3497.9</v>
          </cell>
          <cell r="G13">
            <v>1.05</v>
          </cell>
          <cell r="H13">
            <v>3496.85</v>
          </cell>
        </row>
        <row r="14">
          <cell r="A14" t="str">
            <v>RAMLI</v>
          </cell>
          <cell r="B14">
            <v>18</v>
          </cell>
          <cell r="C14">
            <v>1</v>
          </cell>
          <cell r="D14" t="str">
            <v>MBB</v>
          </cell>
          <cell r="E14">
            <v>35922</v>
          </cell>
          <cell r="F14">
            <v>4163.75</v>
          </cell>
          <cell r="G14">
            <v>1.25</v>
          </cell>
          <cell r="H14">
            <v>4162.5</v>
          </cell>
        </row>
        <row r="15">
          <cell r="A15" t="str">
            <v>RAMLI</v>
          </cell>
          <cell r="B15">
            <v>18</v>
          </cell>
          <cell r="C15">
            <v>2</v>
          </cell>
          <cell r="D15" t="str">
            <v>MBB</v>
          </cell>
          <cell r="E15">
            <v>35923</v>
          </cell>
          <cell r="F15">
            <v>940.15</v>
          </cell>
          <cell r="G15">
            <v>1.65</v>
          </cell>
          <cell r="H15">
            <v>938.5</v>
          </cell>
        </row>
        <row r="16">
          <cell r="A16" t="str">
            <v>TARMIZI</v>
          </cell>
          <cell r="B16">
            <v>18</v>
          </cell>
          <cell r="C16">
            <v>1</v>
          </cell>
          <cell r="D16" t="str">
            <v>MBB</v>
          </cell>
          <cell r="E16">
            <v>35926</v>
          </cell>
          <cell r="F16">
            <v>4035.79</v>
          </cell>
          <cell r="G16">
            <v>1.71</v>
          </cell>
          <cell r="H16">
            <v>4034.08</v>
          </cell>
        </row>
        <row r="17">
          <cell r="A17" t="str">
            <v>VASU</v>
          </cell>
          <cell r="B17">
            <v>18</v>
          </cell>
          <cell r="C17">
            <v>1</v>
          </cell>
          <cell r="D17" t="str">
            <v>PAB</v>
          </cell>
          <cell r="E17">
            <v>35923</v>
          </cell>
          <cell r="F17">
            <v>1369</v>
          </cell>
          <cell r="G17">
            <v>1.5</v>
          </cell>
          <cell r="H17">
            <v>1367.5</v>
          </cell>
        </row>
        <row r="18">
          <cell r="A18" t="str">
            <v>VASU</v>
          </cell>
          <cell r="B18">
            <v>18</v>
          </cell>
          <cell r="C18">
            <v>2</v>
          </cell>
          <cell r="D18" t="str">
            <v>PAB</v>
          </cell>
          <cell r="E18">
            <v>35921</v>
          </cell>
          <cell r="F18">
            <v>1399</v>
          </cell>
          <cell r="G18">
            <v>0.5</v>
          </cell>
          <cell r="H18">
            <v>1398.5</v>
          </cell>
        </row>
        <row r="19">
          <cell r="A19" t="str">
            <v>YUSOP</v>
          </cell>
          <cell r="B19">
            <v>18</v>
          </cell>
          <cell r="C19">
            <v>2</v>
          </cell>
          <cell r="D19" t="str">
            <v>BBMB</v>
          </cell>
          <cell r="E19">
            <v>35922</v>
          </cell>
          <cell r="F19">
            <v>1799.46</v>
          </cell>
          <cell r="G19">
            <v>0.54</v>
          </cell>
          <cell r="H19">
            <v>1798.92</v>
          </cell>
        </row>
        <row r="20">
          <cell r="A20" t="str">
            <v>YUSOP</v>
          </cell>
          <cell r="B20">
            <v>18</v>
          </cell>
          <cell r="C20">
            <v>1</v>
          </cell>
          <cell r="D20" t="str">
            <v>MBB</v>
          </cell>
          <cell r="E20">
            <v>35927</v>
          </cell>
          <cell r="F20">
            <v>1662.1</v>
          </cell>
          <cell r="G20">
            <v>0</v>
          </cell>
          <cell r="H20">
            <v>1662.1</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1">
          <cell r="A1" t="str">
            <v>BIS</v>
          </cell>
        </row>
      </sheetData>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2.bin"/><Relationship Id="rId4" Type="http://schemas.openxmlformats.org/officeDocument/2006/relationships/comments" Target="../comments2.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D5D65-849A-412E-A199-4177D7E534E2}">
  <sheetPr>
    <pageSetUpPr fitToPage="1"/>
  </sheetPr>
  <dimension ref="A1:I66"/>
  <sheetViews>
    <sheetView topLeftCell="C7" workbookViewId="0">
      <selection activeCell="H44" sqref="H44"/>
    </sheetView>
  </sheetViews>
  <sheetFormatPr defaultColWidth="9.140625" defaultRowHeight="15.75" x14ac:dyDescent="0.25"/>
  <cols>
    <col min="1" max="1" width="7.42578125" style="21" customWidth="1"/>
    <col min="2" max="2" width="3.42578125" style="21" customWidth="1"/>
    <col min="3" max="3" width="54.42578125" style="21" customWidth="1"/>
    <col min="4" max="4" width="3.85546875" style="21" customWidth="1"/>
    <col min="5" max="5" width="20.42578125" style="21" customWidth="1"/>
    <col min="6" max="6" width="2.42578125" style="21" customWidth="1"/>
    <col min="7" max="7" width="46.28515625" style="21" customWidth="1"/>
    <col min="8" max="8" width="19.140625" style="21" customWidth="1"/>
    <col min="9" max="9" width="27.140625" style="23" bestFit="1" customWidth="1"/>
    <col min="10" max="16384" width="9.140625" style="21"/>
  </cols>
  <sheetData>
    <row r="1" spans="1:7" x14ac:dyDescent="0.25">
      <c r="G1" s="110" t="s">
        <v>20</v>
      </c>
    </row>
    <row r="2" spans="1:7" x14ac:dyDescent="0.25">
      <c r="G2" s="110" t="s">
        <v>21</v>
      </c>
    </row>
    <row r="3" spans="1:7" x14ac:dyDescent="0.25">
      <c r="G3" s="110" t="s">
        <v>40</v>
      </c>
    </row>
    <row r="4" spans="1:7" hidden="1" x14ac:dyDescent="0.25">
      <c r="G4" s="111" t="s">
        <v>41</v>
      </c>
    </row>
    <row r="5" spans="1:7" x14ac:dyDescent="0.25">
      <c r="G5" s="110" t="s">
        <v>42</v>
      </c>
    </row>
    <row r="6" spans="1:7" x14ac:dyDescent="0.25">
      <c r="G6" s="110" t="s">
        <v>43</v>
      </c>
    </row>
    <row r="7" spans="1:7" x14ac:dyDescent="0.25">
      <c r="E7" s="22" t="s">
        <v>44</v>
      </c>
    </row>
    <row r="8" spans="1:7" x14ac:dyDescent="0.25">
      <c r="E8" s="22" t="s">
        <v>7</v>
      </c>
    </row>
    <row r="10" spans="1:7" x14ac:dyDescent="0.25">
      <c r="A10" s="353" t="s">
        <v>22</v>
      </c>
      <c r="B10" s="353"/>
      <c r="C10" s="353"/>
      <c r="D10" s="353"/>
      <c r="E10" s="353"/>
      <c r="F10" s="353"/>
      <c r="G10" s="353"/>
    </row>
    <row r="11" spans="1:7" x14ac:dyDescent="0.25">
      <c r="A11" s="353" t="s">
        <v>45</v>
      </c>
      <c r="B11" s="353"/>
      <c r="C11" s="353"/>
      <c r="D11" s="353"/>
      <c r="E11" s="353"/>
      <c r="F11" s="353"/>
      <c r="G11" s="353"/>
    </row>
    <row r="12" spans="1:7" x14ac:dyDescent="0.25">
      <c r="A12" s="353" t="s">
        <v>46</v>
      </c>
      <c r="B12" s="353"/>
      <c r="C12" s="353"/>
      <c r="D12" s="353"/>
      <c r="E12" s="353"/>
      <c r="F12" s="353"/>
      <c r="G12" s="353"/>
    </row>
    <row r="14" spans="1:7" x14ac:dyDescent="0.25">
      <c r="E14" s="24" t="s">
        <v>47</v>
      </c>
    </row>
    <row r="15" spans="1:7" x14ac:dyDescent="0.25">
      <c r="A15" s="24" t="s">
        <v>1</v>
      </c>
      <c r="E15" s="24" t="s">
        <v>48</v>
      </c>
    </row>
    <row r="16" spans="1:7" x14ac:dyDescent="0.25">
      <c r="A16" s="25" t="s">
        <v>530</v>
      </c>
      <c r="C16" s="25" t="s">
        <v>49</v>
      </c>
      <c r="E16" s="25" t="s">
        <v>50</v>
      </c>
      <c r="G16" s="25" t="s">
        <v>51</v>
      </c>
    </row>
    <row r="17" spans="1:7" x14ac:dyDescent="0.25">
      <c r="C17" s="24"/>
      <c r="E17" s="24" t="s">
        <v>8</v>
      </c>
      <c r="G17" s="24"/>
    </row>
    <row r="18" spans="1:7" x14ac:dyDescent="0.25">
      <c r="C18" s="21" t="s">
        <v>52</v>
      </c>
      <c r="G18" s="24"/>
    </row>
    <row r="19" spans="1:7" x14ac:dyDescent="0.25">
      <c r="A19" s="24">
        <v>1</v>
      </c>
      <c r="C19" s="26">
        <v>45535</v>
      </c>
      <c r="E19" s="27">
        <f>-SUMIFS('3 Plant ADIT Balances by Mo'!$13:$13,'3 Plant ADIT Balances by Mo'!$5:$5,C19)</f>
        <v>84870098.997456998</v>
      </c>
      <c r="G19" s="354" t="s">
        <v>864</v>
      </c>
    </row>
    <row r="20" spans="1:7" x14ac:dyDescent="0.25">
      <c r="A20" s="24">
        <f>+A19+1</f>
        <v>2</v>
      </c>
      <c r="C20" s="26">
        <v>45565</v>
      </c>
      <c r="E20" s="27">
        <f>-SUMIFS('3 Plant ADIT Balances by Mo'!$13:$13,'3 Plant ADIT Balances by Mo'!$5:$5,C20)</f>
        <v>86878516.724350974</v>
      </c>
      <c r="G20" s="355"/>
    </row>
    <row r="21" spans="1:7" x14ac:dyDescent="0.25">
      <c r="A21" s="24">
        <f t="shared" ref="A21:A31" si="0">+A20+1</f>
        <v>3</v>
      </c>
      <c r="C21" s="26">
        <v>45596</v>
      </c>
      <c r="E21" s="27">
        <f>-SUMIFS('3 Plant ADIT Balances by Mo'!$13:$13,'3 Plant ADIT Balances by Mo'!$5:$5,C21)</f>
        <v>85003295.299231991</v>
      </c>
      <c r="G21" s="355"/>
    </row>
    <row r="22" spans="1:7" x14ac:dyDescent="0.25">
      <c r="A22" s="24">
        <f t="shared" si="0"/>
        <v>4</v>
      </c>
      <c r="C22" s="26">
        <v>45626</v>
      </c>
      <c r="E22" s="27">
        <f>-SUMIFS('3 Plant ADIT Balances by Mo'!$13:$13,'3 Plant ADIT Balances by Mo'!$5:$5,C22)</f>
        <v>85869406.254243985</v>
      </c>
      <c r="G22" s="355"/>
    </row>
    <row r="23" spans="1:7" x14ac:dyDescent="0.25">
      <c r="A23" s="24">
        <f t="shared" si="0"/>
        <v>5</v>
      </c>
      <c r="C23" s="26">
        <v>45657</v>
      </c>
      <c r="E23" s="27">
        <f>-SUMIFS('3 Plant ADIT Balances by Mo'!$13:$13,'3 Plant ADIT Balances by Mo'!$5:$5,C23)</f>
        <v>87133669.939849988</v>
      </c>
      <c r="G23" s="355"/>
    </row>
    <row r="24" spans="1:7" x14ac:dyDescent="0.25">
      <c r="A24" s="24">
        <f t="shared" si="0"/>
        <v>6</v>
      </c>
      <c r="C24" s="26">
        <v>45688</v>
      </c>
      <c r="E24" s="27">
        <f>-SUMIFS('3 Plant ADIT Balances by Mo'!$13:$13,'3 Plant ADIT Balances by Mo'!$5:$5,C24)</f>
        <v>89394424.488804981</v>
      </c>
      <c r="G24" s="355"/>
    </row>
    <row r="25" spans="1:7" x14ac:dyDescent="0.25">
      <c r="A25" s="24">
        <f t="shared" si="0"/>
        <v>7</v>
      </c>
      <c r="C25" s="26">
        <v>45716</v>
      </c>
      <c r="E25" s="27">
        <f>-SUMIFS('3 Plant ADIT Balances by Mo'!$13:$13,'3 Plant ADIT Balances by Mo'!$5:$5,C25)</f>
        <v>90648885.211034983</v>
      </c>
      <c r="G25" s="355"/>
    </row>
    <row r="26" spans="1:7" x14ac:dyDescent="0.25">
      <c r="A26" s="24">
        <f t="shared" si="0"/>
        <v>8</v>
      </c>
      <c r="C26" s="26">
        <v>45747</v>
      </c>
      <c r="E26" s="27">
        <f>-SUMIFS('3 Plant ADIT Balances by Mo'!$13:$13,'3 Plant ADIT Balances by Mo'!$5:$5,C26)</f>
        <v>92065960.169518977</v>
      </c>
      <c r="G26" s="355"/>
    </row>
    <row r="27" spans="1:7" x14ac:dyDescent="0.25">
      <c r="A27" s="24">
        <f t="shared" si="0"/>
        <v>9</v>
      </c>
      <c r="C27" s="26">
        <v>45777</v>
      </c>
      <c r="E27" s="27">
        <f>-SUMIFS('3 Plant ADIT Balances by Mo'!$13:$13,'3 Plant ADIT Balances by Mo'!$5:$5,C27)</f>
        <v>94811014.598223999</v>
      </c>
      <c r="G27" s="355"/>
    </row>
    <row r="28" spans="1:7" x14ac:dyDescent="0.25">
      <c r="A28" s="24">
        <f t="shared" si="0"/>
        <v>10</v>
      </c>
      <c r="C28" s="26">
        <v>45808</v>
      </c>
      <c r="E28" s="27">
        <f>-SUMIFS('3 Plant ADIT Balances by Mo'!$13:$13,'3 Plant ADIT Balances by Mo'!$5:$5,C28)</f>
        <v>96575291.852980971</v>
      </c>
      <c r="G28" s="355"/>
    </row>
    <row r="29" spans="1:7" x14ac:dyDescent="0.25">
      <c r="A29" s="24">
        <f t="shared" si="0"/>
        <v>11</v>
      </c>
      <c r="C29" s="26">
        <v>45838</v>
      </c>
      <c r="E29" s="27">
        <f>-SUMIFS('3 Plant ADIT Balances by Mo'!$13:$13,'3 Plant ADIT Balances by Mo'!$5:$5,C29)</f>
        <v>98228511.581221953</v>
      </c>
      <c r="G29" s="355"/>
    </row>
    <row r="30" spans="1:7" x14ac:dyDescent="0.25">
      <c r="A30" s="24">
        <f t="shared" si="0"/>
        <v>12</v>
      </c>
      <c r="C30" s="26">
        <v>45869</v>
      </c>
      <c r="E30" s="27">
        <f>-SUMIFS('3 Plant ADIT Balances by Mo'!$13:$13,'3 Plant ADIT Balances by Mo'!$5:$5,C30)</f>
        <v>100492943.65572996</v>
      </c>
      <c r="G30" s="356"/>
    </row>
    <row r="31" spans="1:7" x14ac:dyDescent="0.25">
      <c r="A31" s="24">
        <f t="shared" si="0"/>
        <v>13</v>
      </c>
      <c r="C31" s="28" t="s">
        <v>53</v>
      </c>
      <c r="E31" s="29">
        <f>-'ADIT 3 Electric Historic'!F18</f>
        <v>102897056.91051896</v>
      </c>
      <c r="G31" s="24" t="str">
        <f>" - "&amp;'ADIT 3 Electric Historic'!P6&amp;", Line "&amp;'ADIT 3 Electric Historic'!A18&amp;", Column "&amp;'ADIT 3 Electric Historic'!F13</f>
        <v xml:space="preserve"> - Page 3 of 17, Line 4, Column (a)</v>
      </c>
    </row>
    <row r="32" spans="1:7" x14ac:dyDescent="0.25">
      <c r="A32" s="24">
        <f t="shared" ref="A32:A65" si="1">+A31+1</f>
        <v>14</v>
      </c>
      <c r="E32" s="27"/>
      <c r="G32" s="24"/>
    </row>
    <row r="33" spans="1:9" x14ac:dyDescent="0.25">
      <c r="A33" s="24">
        <f t="shared" si="1"/>
        <v>15</v>
      </c>
      <c r="C33" s="30" t="s">
        <v>54</v>
      </c>
      <c r="E33" s="346">
        <f>E56</f>
        <v>14603258.943028621</v>
      </c>
      <c r="G33" s="24" t="str">
        <f>"Line "&amp;A56</f>
        <v>Line 38</v>
      </c>
    </row>
    <row r="34" spans="1:9" x14ac:dyDescent="0.25">
      <c r="A34" s="24">
        <f t="shared" si="1"/>
        <v>16</v>
      </c>
      <c r="E34" s="27"/>
      <c r="G34" s="24"/>
    </row>
    <row r="35" spans="1:9" x14ac:dyDescent="0.25">
      <c r="A35" s="24">
        <f>+A34+1</f>
        <v>17</v>
      </c>
      <c r="C35" s="28" t="s">
        <v>55</v>
      </c>
      <c r="E35" s="29">
        <f>E31+E33</f>
        <v>117500315.85354757</v>
      </c>
      <c r="G35" s="24" t="str">
        <f>"Line "&amp;A31&amp;" + Line "&amp;A33</f>
        <v>Line 13 + Line 15</v>
      </c>
    </row>
    <row r="36" spans="1:9" x14ac:dyDescent="0.25">
      <c r="A36" s="24">
        <f t="shared" si="1"/>
        <v>18</v>
      </c>
      <c r="E36" s="27"/>
      <c r="G36" s="24"/>
    </row>
    <row r="37" spans="1:9" x14ac:dyDescent="0.25">
      <c r="A37" s="24">
        <f t="shared" si="1"/>
        <v>19</v>
      </c>
      <c r="C37" s="31" t="s">
        <v>56</v>
      </c>
      <c r="E37" s="27"/>
      <c r="G37" s="24"/>
    </row>
    <row r="38" spans="1:9" x14ac:dyDescent="0.25">
      <c r="A38" s="24">
        <f t="shared" si="1"/>
        <v>20</v>
      </c>
      <c r="C38" s="31" t="s">
        <v>57</v>
      </c>
      <c r="E38" s="346">
        <f>+E65</f>
        <v>17816328.318213169</v>
      </c>
      <c r="G38" s="24" t="str">
        <f>"Line "&amp;A65</f>
        <v>Line 47</v>
      </c>
    </row>
    <row r="39" spans="1:9" x14ac:dyDescent="0.25">
      <c r="A39" s="24">
        <f t="shared" si="1"/>
        <v>21</v>
      </c>
      <c r="C39" s="21" t="s">
        <v>58</v>
      </c>
      <c r="E39" s="27">
        <v>-3740930.6818595231</v>
      </c>
      <c r="G39" s="24" t="s">
        <v>886</v>
      </c>
    </row>
    <row r="40" spans="1:9" x14ac:dyDescent="0.25">
      <c r="A40" s="24">
        <f t="shared" si="1"/>
        <v>22</v>
      </c>
      <c r="C40" s="21" t="s">
        <v>59</v>
      </c>
      <c r="E40" s="347">
        <f>SUM(E38:E39)</f>
        <v>14075397.636353645</v>
      </c>
      <c r="G40" s="24" t="str">
        <f>"Line "&amp;A38&amp;" + Line "&amp;A39</f>
        <v>Line 20 + Line 21</v>
      </c>
    </row>
    <row r="41" spans="1:9" x14ac:dyDescent="0.25">
      <c r="A41" s="24">
        <f t="shared" si="1"/>
        <v>23</v>
      </c>
      <c r="E41" s="27"/>
      <c r="G41" s="24"/>
    </row>
    <row r="42" spans="1:9" x14ac:dyDescent="0.25">
      <c r="A42" s="24">
        <f t="shared" si="1"/>
        <v>24</v>
      </c>
      <c r="C42" s="33" t="s">
        <v>60</v>
      </c>
      <c r="E42" s="348">
        <f>+E35+E40</f>
        <v>131575713.48990121</v>
      </c>
      <c r="G42" s="24" t="str">
        <f>"Line "&amp;A35&amp;" + Line "&amp;A40</f>
        <v>Line 17 + Line 22</v>
      </c>
    </row>
    <row r="43" spans="1:9" x14ac:dyDescent="0.25">
      <c r="A43" s="24">
        <f t="shared" si="1"/>
        <v>25</v>
      </c>
      <c r="C43" s="21" t="s">
        <v>61</v>
      </c>
      <c r="E43" s="346">
        <f>'Electric Proration Adj'!I17</f>
        <v>-7628994.0613478441</v>
      </c>
      <c r="G43" s="24" t="str">
        <f>'Electric Proration Adj'!O6&amp;", Line "&amp;'Electric Proration Adj'!A17&amp;'Electric Proration Adj'!I14</f>
        <v>Page 4 of 17, Line 3(b)</v>
      </c>
    </row>
    <row r="44" spans="1:9" ht="16.5" thickBot="1" x14ac:dyDescent="0.3">
      <c r="A44" s="24">
        <f t="shared" si="1"/>
        <v>26</v>
      </c>
      <c r="C44" s="33" t="s">
        <v>62</v>
      </c>
      <c r="E44" s="34">
        <f>+E42+E43</f>
        <v>123946719.42855337</v>
      </c>
      <c r="G44" s="24" t="str">
        <f>"Line "&amp;A42&amp;" + Line "&amp;A43</f>
        <v>Line 24 + Line 25</v>
      </c>
      <c r="I44" s="23" t="s">
        <v>891</v>
      </c>
    </row>
    <row r="45" spans="1:9" ht="16.5" thickTop="1" x14ac:dyDescent="0.25">
      <c r="A45" s="24">
        <f t="shared" si="1"/>
        <v>27</v>
      </c>
      <c r="G45" s="24"/>
    </row>
    <row r="46" spans="1:9" x14ac:dyDescent="0.25">
      <c r="A46" s="24">
        <f t="shared" si="1"/>
        <v>28</v>
      </c>
      <c r="D46" s="24"/>
      <c r="E46" s="24"/>
      <c r="G46" s="24"/>
    </row>
    <row r="47" spans="1:9" x14ac:dyDescent="0.25">
      <c r="A47" s="24">
        <f t="shared" si="1"/>
        <v>29</v>
      </c>
      <c r="D47" s="24"/>
      <c r="E47" s="24"/>
      <c r="G47" s="24"/>
    </row>
    <row r="48" spans="1:9" x14ac:dyDescent="0.25">
      <c r="A48" s="24">
        <f t="shared" si="1"/>
        <v>30</v>
      </c>
      <c r="C48" s="21" t="s">
        <v>63</v>
      </c>
      <c r="G48" s="24"/>
    </row>
    <row r="49" spans="1:9" x14ac:dyDescent="0.25">
      <c r="A49" s="24">
        <f t="shared" si="1"/>
        <v>31</v>
      </c>
      <c r="C49" s="21" t="s">
        <v>64</v>
      </c>
      <c r="E49" s="27">
        <f>'Elect Tax Depr Summary'!G29</f>
        <v>139909976.54663986</v>
      </c>
      <c r="G49" s="24" t="str">
        <f>'Elect Tax Depr Summary'!M6&amp;", Line "&amp;'Elect Tax Depr Summary'!A29&amp;'Elect Tax Depr Summary'!G18</f>
        <v>Page 5 of 17, Line 9(b)</v>
      </c>
    </row>
    <row r="50" spans="1:9" x14ac:dyDescent="0.25">
      <c r="A50" s="24">
        <f t="shared" si="1"/>
        <v>32</v>
      </c>
      <c r="C50" s="21" t="s">
        <v>65</v>
      </c>
      <c r="E50" s="27">
        <v>61766979.595709927</v>
      </c>
      <c r="G50" s="35" t="s">
        <v>866</v>
      </c>
    </row>
    <row r="51" spans="1:9" x14ac:dyDescent="0.25">
      <c r="A51" s="24">
        <f t="shared" si="1"/>
        <v>33</v>
      </c>
      <c r="C51" s="31" t="s">
        <v>66</v>
      </c>
      <c r="D51" s="27"/>
      <c r="E51" s="32">
        <f>+E49-E50</f>
        <v>78142996.95092994</v>
      </c>
      <c r="G51" s="24" t="str">
        <f>"Line "&amp;A49&amp;" - Line "&amp;A50</f>
        <v>Line 31 - Line 32</v>
      </c>
    </row>
    <row r="52" spans="1:9" x14ac:dyDescent="0.25">
      <c r="A52" s="24">
        <f t="shared" si="1"/>
        <v>34</v>
      </c>
      <c r="C52" s="21" t="s">
        <v>67</v>
      </c>
      <c r="E52" s="36">
        <v>0.21</v>
      </c>
      <c r="G52" s="24" t="s">
        <v>68</v>
      </c>
    </row>
    <row r="53" spans="1:9" x14ac:dyDescent="0.25">
      <c r="A53" s="24">
        <f t="shared" si="1"/>
        <v>35</v>
      </c>
      <c r="C53" s="31" t="s">
        <v>69</v>
      </c>
      <c r="E53" s="27">
        <f>+E51*E52</f>
        <v>16410029.359695287</v>
      </c>
      <c r="G53" s="24" t="str">
        <f>"Line "&amp;A51&amp;" x Line "&amp;A52</f>
        <v>Line 33 x Line 34</v>
      </c>
    </row>
    <row r="54" spans="1:9" x14ac:dyDescent="0.25">
      <c r="A54" s="24">
        <f t="shared" si="1"/>
        <v>36</v>
      </c>
      <c r="C54" s="37" t="s">
        <v>70</v>
      </c>
      <c r="E54" s="27">
        <v>0</v>
      </c>
      <c r="G54" s="24" t="s">
        <v>68</v>
      </c>
    </row>
    <row r="55" spans="1:9" x14ac:dyDescent="0.25">
      <c r="A55" s="24">
        <f t="shared" si="1"/>
        <v>37</v>
      </c>
      <c r="C55" s="37" t="s">
        <v>71</v>
      </c>
      <c r="E55" s="27">
        <v>-1806770.4166666667</v>
      </c>
      <c r="G55" s="24" t="s">
        <v>887</v>
      </c>
    </row>
    <row r="56" spans="1:9" ht="16.5" thickBot="1" x14ac:dyDescent="0.3">
      <c r="A56" s="24">
        <f t="shared" si="1"/>
        <v>38</v>
      </c>
      <c r="C56" s="21" t="s">
        <v>72</v>
      </c>
      <c r="E56" s="38">
        <f>SUM(E53:E55)</f>
        <v>14603258.943028621</v>
      </c>
      <c r="G56" s="39" t="str">
        <f>"Sum of Lines "&amp;A53&amp;" thru "&amp;A55</f>
        <v>Sum of Lines 35 thru 37</v>
      </c>
    </row>
    <row r="57" spans="1:9" ht="16.5" thickTop="1" x14ac:dyDescent="0.25">
      <c r="A57" s="24">
        <f t="shared" si="1"/>
        <v>39</v>
      </c>
      <c r="G57" s="24"/>
    </row>
    <row r="58" spans="1:9" x14ac:dyDescent="0.25">
      <c r="A58" s="24">
        <f t="shared" si="1"/>
        <v>40</v>
      </c>
      <c r="C58" s="21" t="s">
        <v>73</v>
      </c>
      <c r="G58" s="24"/>
    </row>
    <row r="59" spans="1:9" x14ac:dyDescent="0.25">
      <c r="A59" s="24">
        <f t="shared" si="1"/>
        <v>41</v>
      </c>
      <c r="C59" s="21" t="s">
        <v>64</v>
      </c>
      <c r="E59" s="27">
        <f>'Elect Tax Depr Summary'!I29</f>
        <v>153605015.65815794</v>
      </c>
      <c r="G59" s="24" t="str">
        <f>'Elect Tax Depr Summary'!M6&amp;", Line "&amp;'Elect Tax Depr Summary'!A29&amp;'Elect Tax Depr Summary'!I18</f>
        <v>Page 5 of 17, Line 9(c)</v>
      </c>
    </row>
    <row r="60" spans="1:9" x14ac:dyDescent="0.25">
      <c r="A60" s="24">
        <f t="shared" si="1"/>
        <v>42</v>
      </c>
      <c r="C60" s="21" t="s">
        <v>65</v>
      </c>
      <c r="E60" s="346">
        <f>68845317-79960</f>
        <v>68765357</v>
      </c>
      <c r="G60" s="35" t="s">
        <v>867</v>
      </c>
      <c r="I60" s="23" t="s">
        <v>892</v>
      </c>
    </row>
    <row r="61" spans="1:9" x14ac:dyDescent="0.25">
      <c r="A61" s="24">
        <f t="shared" si="1"/>
        <v>43</v>
      </c>
      <c r="C61" s="31" t="s">
        <v>66</v>
      </c>
      <c r="D61" s="27"/>
      <c r="E61" s="32">
        <f>+E59-E60</f>
        <v>84839658.658157945</v>
      </c>
      <c r="G61" s="24" t="str">
        <f>"Line "&amp;A59&amp;" - Line "&amp;A60</f>
        <v>Line 41 - Line 42</v>
      </c>
    </row>
    <row r="62" spans="1:9" x14ac:dyDescent="0.25">
      <c r="A62" s="24">
        <f t="shared" si="1"/>
        <v>44</v>
      </c>
      <c r="C62" s="21" t="s">
        <v>67</v>
      </c>
      <c r="E62" s="36">
        <v>0.21</v>
      </c>
      <c r="G62" s="24" t="s">
        <v>68</v>
      </c>
    </row>
    <row r="63" spans="1:9" x14ac:dyDescent="0.25">
      <c r="A63" s="24">
        <f t="shared" si="1"/>
        <v>45</v>
      </c>
      <c r="C63" s="31" t="s">
        <v>69</v>
      </c>
      <c r="E63" s="27">
        <f>+E61*E62</f>
        <v>17816328.318213169</v>
      </c>
      <c r="G63" s="24" t="str">
        <f>"Line "&amp;A61&amp;" x Line "&amp;A62</f>
        <v>Line 43 x Line 44</v>
      </c>
    </row>
    <row r="64" spans="1:9" x14ac:dyDescent="0.25">
      <c r="A64" s="24">
        <f t="shared" si="1"/>
        <v>46</v>
      </c>
      <c r="C64" s="37" t="s">
        <v>70</v>
      </c>
      <c r="E64" s="27">
        <v>0</v>
      </c>
      <c r="G64" s="24" t="s">
        <v>68</v>
      </c>
    </row>
    <row r="65" spans="1:7" ht="16.5" thickBot="1" x14ac:dyDescent="0.3">
      <c r="A65" s="24">
        <f t="shared" si="1"/>
        <v>47</v>
      </c>
      <c r="C65" s="21" t="s">
        <v>72</v>
      </c>
      <c r="E65" s="349">
        <f>SUM(E63:E64)</f>
        <v>17816328.318213169</v>
      </c>
      <c r="G65" s="39" t="str">
        <f>"Sum of Lines "&amp;A63&amp;" thru "&amp;A64</f>
        <v>Sum of Lines 45 thru 46</v>
      </c>
    </row>
    <row r="66" spans="1:7" ht="16.5" thickTop="1" x14ac:dyDescent="0.25"/>
  </sheetData>
  <mergeCells count="4">
    <mergeCell ref="A10:G10"/>
    <mergeCell ref="A11:G11"/>
    <mergeCell ref="A12:G12"/>
    <mergeCell ref="G19:G30"/>
  </mergeCells>
  <printOptions horizontalCentered="1"/>
  <pageMargins left="0.75" right="0.75" top="0.75" bottom="0.75" header="0.3" footer="0.3"/>
  <pageSetup scale="5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86144-DDD8-4F69-991F-73D5B5B1C069}">
  <sheetPr>
    <pageSetUpPr fitToPage="1"/>
  </sheetPr>
  <dimension ref="A1:H40"/>
  <sheetViews>
    <sheetView workbookViewId="0">
      <selection sqref="A1:H6"/>
    </sheetView>
  </sheetViews>
  <sheetFormatPr defaultColWidth="9.140625" defaultRowHeight="15.75" x14ac:dyDescent="0.25"/>
  <cols>
    <col min="1" max="1" width="5.85546875" style="21" customWidth="1"/>
    <col min="2" max="2" width="3.85546875" style="21" customWidth="1"/>
    <col min="3" max="3" width="58.28515625" style="21" customWidth="1"/>
    <col min="4" max="4" width="39.7109375" style="21" customWidth="1"/>
    <col min="5" max="5" width="3.5703125" style="21" customWidth="1"/>
    <col min="6" max="6" width="18.42578125" style="21" customWidth="1"/>
    <col min="7" max="7" width="2.7109375" style="21" customWidth="1"/>
    <col min="8" max="8" width="18.42578125" style="21" customWidth="1"/>
    <col min="9" max="16384" width="9.140625" style="21"/>
  </cols>
  <sheetData>
    <row r="1" spans="1:8" x14ac:dyDescent="0.25">
      <c r="A1" s="115"/>
      <c r="B1" s="115"/>
      <c r="C1" s="115"/>
      <c r="D1" s="115"/>
      <c r="E1" s="115"/>
      <c r="F1" s="132"/>
      <c r="G1" s="132"/>
      <c r="H1" s="110" t="s">
        <v>20</v>
      </c>
    </row>
    <row r="2" spans="1:8" x14ac:dyDescent="0.25">
      <c r="A2" s="115"/>
      <c r="B2" s="115"/>
      <c r="C2" s="115"/>
      <c r="D2" s="115"/>
      <c r="E2" s="115"/>
      <c r="F2" s="132"/>
      <c r="G2" s="132"/>
      <c r="H2" s="110" t="str">
        <f>+'ADIT 1 Electric'!$G$2</f>
        <v>d/b/a RHODE ISLAND ENERGY</v>
      </c>
    </row>
    <row r="3" spans="1:8" x14ac:dyDescent="0.25">
      <c r="A3" s="115"/>
      <c r="B3" s="115"/>
      <c r="C3" s="115"/>
      <c r="D3" s="115"/>
      <c r="E3" s="115"/>
      <c r="F3" s="132"/>
      <c r="G3" s="132"/>
      <c r="H3" s="110" t="str">
        <f>+'ADIT 1 Electric'!$G$3</f>
        <v>RIPUC Docket No. 25-45-GE</v>
      </c>
    </row>
    <row r="4" spans="1:8" hidden="1" x14ac:dyDescent="0.25">
      <c r="A4" s="115"/>
      <c r="B4" s="115"/>
      <c r="C4" s="115"/>
      <c r="D4" s="115"/>
      <c r="E4" s="115"/>
      <c r="F4" s="132"/>
      <c r="G4" s="132"/>
      <c r="H4" s="110" t="str">
        <f>+'ADIT 1 Electric'!$G$4</f>
        <v>Compliance Attachment 2</v>
      </c>
    </row>
    <row r="5" spans="1:8" x14ac:dyDescent="0.25">
      <c r="A5" s="115"/>
      <c r="B5" s="115"/>
      <c r="C5" s="115"/>
      <c r="D5" s="115"/>
      <c r="E5" s="115"/>
      <c r="F5" s="132"/>
      <c r="G5" s="132"/>
      <c r="H5" s="110" t="str">
        <f>+'ADIT 1 Electric'!$G$5</f>
        <v>Schedule NH-3-ELEC</v>
      </c>
    </row>
    <row r="6" spans="1:8" x14ac:dyDescent="0.25">
      <c r="A6" s="115"/>
      <c r="B6" s="115"/>
      <c r="C6" s="115"/>
      <c r="D6" s="115"/>
      <c r="E6" s="115"/>
      <c r="F6" s="132"/>
      <c r="G6" s="132"/>
      <c r="H6" s="110" t="s">
        <v>259</v>
      </c>
    </row>
    <row r="7" spans="1:8" x14ac:dyDescent="0.25">
      <c r="A7" s="59"/>
      <c r="B7" s="59"/>
      <c r="C7" s="59"/>
      <c r="D7" s="59"/>
      <c r="E7" s="59"/>
      <c r="F7" s="133"/>
      <c r="G7" s="133"/>
      <c r="H7" s="59"/>
    </row>
    <row r="8" spans="1:8" x14ac:dyDescent="0.25">
      <c r="A8" s="117"/>
      <c r="B8" s="117"/>
      <c r="C8" s="117"/>
      <c r="D8" s="117"/>
      <c r="E8" s="117"/>
      <c r="F8" s="117"/>
      <c r="G8" s="117"/>
      <c r="H8" s="117"/>
    </row>
    <row r="9" spans="1:8" x14ac:dyDescent="0.25">
      <c r="A9" s="145"/>
      <c r="B9" s="145"/>
      <c r="C9" s="146"/>
      <c r="D9" s="146"/>
      <c r="E9" s="146"/>
      <c r="F9" s="146"/>
      <c r="G9" s="146"/>
      <c r="H9" s="146"/>
    </row>
    <row r="10" spans="1:8" x14ac:dyDescent="0.25">
      <c r="A10" s="353" t="str">
        <f>+'ADIT 1 Electric'!$A$10</f>
        <v>The Narragansett Electric Company d/b/a Rhode Island Energy</v>
      </c>
      <c r="B10" s="353"/>
      <c r="C10" s="353"/>
      <c r="D10" s="353"/>
      <c r="E10" s="353"/>
      <c r="F10" s="353"/>
      <c r="G10" s="353"/>
      <c r="H10" s="353"/>
    </row>
    <row r="11" spans="1:8" x14ac:dyDescent="0.25">
      <c r="A11" s="60" t="str">
        <f>+'2026-07-31 Tax Depr-3YR'!A11</f>
        <v xml:space="preserve"> Calculation of Tax Depreciation and Repairs Deduction on 3-Year Straight-Line Property (IT)</v>
      </c>
      <c r="B11" s="146"/>
      <c r="C11" s="146"/>
      <c r="D11" s="146"/>
      <c r="E11" s="146"/>
      <c r="F11" s="146"/>
      <c r="G11" s="146"/>
      <c r="H11" s="146"/>
    </row>
    <row r="12" spans="1:8" x14ac:dyDescent="0.25">
      <c r="A12" s="146" t="s">
        <v>260</v>
      </c>
      <c r="B12" s="146"/>
      <c r="C12" s="146"/>
      <c r="D12" s="146"/>
      <c r="E12" s="146"/>
      <c r="F12" s="146"/>
      <c r="G12" s="146"/>
      <c r="H12" s="146"/>
    </row>
    <row r="13" spans="1:8" x14ac:dyDescent="0.25">
      <c r="A13" s="121"/>
      <c r="B13" s="121"/>
      <c r="C13" s="121"/>
      <c r="D13" s="121"/>
      <c r="E13" s="121"/>
      <c r="F13" s="146"/>
      <c r="H13" s="146"/>
    </row>
    <row r="14" spans="1:8" x14ac:dyDescent="0.25">
      <c r="A14" s="121"/>
      <c r="B14" s="121"/>
      <c r="C14" s="121"/>
      <c r="D14" s="121"/>
      <c r="E14" s="121"/>
      <c r="F14" s="146"/>
      <c r="H14" s="146"/>
    </row>
    <row r="15" spans="1:8" x14ac:dyDescent="0.25">
      <c r="A15" s="24" t="s">
        <v>1</v>
      </c>
      <c r="B15" s="121"/>
      <c r="C15" s="121"/>
      <c r="D15" s="121"/>
      <c r="E15" s="121"/>
      <c r="F15" s="24" t="s">
        <v>136</v>
      </c>
      <c r="G15" s="24"/>
      <c r="H15" s="62" t="s">
        <v>137</v>
      </c>
    </row>
    <row r="16" spans="1:8" x14ac:dyDescent="0.25">
      <c r="A16" s="25" t="s">
        <v>530</v>
      </c>
      <c r="B16" s="121"/>
      <c r="C16" s="121"/>
      <c r="D16" s="148" t="s">
        <v>86</v>
      </c>
      <c r="E16" s="121"/>
      <c r="F16" s="63">
        <f>+'2027-07-31 Tax Depr-3YR'!H16</f>
        <v>46965</v>
      </c>
      <c r="H16" s="63">
        <f>EDATE(F16,12)</f>
        <v>47330</v>
      </c>
    </row>
    <row r="17" spans="1:8" x14ac:dyDescent="0.25">
      <c r="A17" s="147"/>
      <c r="B17" s="147"/>
      <c r="C17" s="121"/>
      <c r="E17" s="121"/>
      <c r="F17" s="148" t="s">
        <v>8</v>
      </c>
      <c r="H17" s="148" t="s">
        <v>9</v>
      </c>
    </row>
    <row r="18" spans="1:8" x14ac:dyDescent="0.25">
      <c r="A18" s="148"/>
      <c r="B18" s="148"/>
      <c r="C18" s="149"/>
      <c r="D18" s="149"/>
      <c r="E18" s="150"/>
      <c r="F18" s="151"/>
      <c r="H18" s="151"/>
    </row>
    <row r="19" spans="1:8" x14ac:dyDescent="0.25">
      <c r="A19" s="148"/>
      <c r="B19" s="148"/>
      <c r="C19" s="150" t="s">
        <v>234</v>
      </c>
      <c r="D19" s="150"/>
      <c r="E19" s="150"/>
      <c r="F19" s="121"/>
      <c r="H19" s="152"/>
    </row>
    <row r="20" spans="1:8" x14ac:dyDescent="0.25">
      <c r="A20" s="148">
        <v>1</v>
      </c>
      <c r="B20" s="148"/>
      <c r="C20" s="121" t="s">
        <v>235</v>
      </c>
      <c r="D20" s="148" t="s">
        <v>261</v>
      </c>
      <c r="E20" s="148"/>
      <c r="F20" s="152">
        <v>74486709</v>
      </c>
      <c r="H20" s="152"/>
    </row>
    <row r="21" spans="1:8" x14ac:dyDescent="0.25">
      <c r="A21" s="148">
        <f>+A20+1</f>
        <v>2</v>
      </c>
      <c r="B21" s="148"/>
      <c r="C21" s="121"/>
      <c r="D21" s="121"/>
      <c r="E21" s="148"/>
      <c r="F21" s="153"/>
      <c r="H21" s="152"/>
    </row>
    <row r="22" spans="1:8" x14ac:dyDescent="0.25">
      <c r="A22" s="148">
        <f t="shared" ref="A22:A35" si="0">+A21+1</f>
        <v>3</v>
      </c>
      <c r="B22" s="148"/>
      <c r="C22" s="121" t="s">
        <v>262</v>
      </c>
      <c r="D22" s="121"/>
      <c r="E22" s="148"/>
      <c r="F22" s="152">
        <f>SUM(F20:F21)</f>
        <v>74486709</v>
      </c>
      <c r="H22" s="152"/>
    </row>
    <row r="23" spans="1:8" x14ac:dyDescent="0.25">
      <c r="A23" s="148">
        <f t="shared" si="0"/>
        <v>4</v>
      </c>
      <c r="B23" s="148"/>
      <c r="C23" s="121" t="s">
        <v>240</v>
      </c>
      <c r="D23" s="148" t="s">
        <v>241</v>
      </c>
      <c r="E23" s="148"/>
      <c r="F23" s="154">
        <v>0</v>
      </c>
      <c r="H23" s="160"/>
    </row>
    <row r="24" spans="1:8" x14ac:dyDescent="0.25">
      <c r="A24" s="148">
        <f t="shared" si="0"/>
        <v>5</v>
      </c>
      <c r="B24" s="148"/>
      <c r="C24" s="121" t="s">
        <v>234</v>
      </c>
      <c r="D24" s="148" t="s">
        <v>242</v>
      </c>
      <c r="E24" s="148"/>
      <c r="F24" s="152">
        <f>+F22*F23</f>
        <v>0</v>
      </c>
      <c r="H24" s="152"/>
    </row>
    <row r="25" spans="1:8" x14ac:dyDescent="0.25">
      <c r="A25" s="148">
        <f t="shared" si="0"/>
        <v>6</v>
      </c>
      <c r="B25" s="148"/>
      <c r="C25" s="121"/>
      <c r="D25" s="121"/>
      <c r="E25" s="148"/>
      <c r="F25" s="121"/>
      <c r="H25" s="121"/>
    </row>
    <row r="26" spans="1:8" x14ac:dyDescent="0.25">
      <c r="A26" s="148">
        <f t="shared" si="0"/>
        <v>7</v>
      </c>
      <c r="B26" s="148"/>
      <c r="C26" s="150" t="s">
        <v>243</v>
      </c>
      <c r="D26" s="150"/>
      <c r="E26" s="147"/>
      <c r="F26" s="121"/>
      <c r="H26" s="121"/>
    </row>
    <row r="27" spans="1:8" x14ac:dyDescent="0.25">
      <c r="A27" s="148">
        <f t="shared" si="0"/>
        <v>8</v>
      </c>
      <c r="B27" s="148"/>
      <c r="C27" s="121" t="s">
        <v>235</v>
      </c>
      <c r="D27" s="148" t="s">
        <v>245</v>
      </c>
      <c r="E27" s="148"/>
      <c r="F27" s="152">
        <f>+F20</f>
        <v>74486709</v>
      </c>
    </row>
    <row r="28" spans="1:8" x14ac:dyDescent="0.25">
      <c r="A28" s="148">
        <f t="shared" si="0"/>
        <v>9</v>
      </c>
      <c r="B28" s="148"/>
      <c r="C28" s="121" t="s">
        <v>246</v>
      </c>
      <c r="D28" s="148" t="s">
        <v>95</v>
      </c>
      <c r="E28" s="148"/>
      <c r="F28" s="152">
        <f>-+F24</f>
        <v>0</v>
      </c>
    </row>
    <row r="29" spans="1:8" x14ac:dyDescent="0.25">
      <c r="A29" s="148">
        <f t="shared" si="0"/>
        <v>10</v>
      </c>
      <c r="B29" s="148"/>
      <c r="C29" s="121" t="s">
        <v>247</v>
      </c>
      <c r="D29" s="148" t="s">
        <v>257</v>
      </c>
      <c r="E29" s="148"/>
      <c r="F29" s="155">
        <f>SUM(F27:F28)</f>
        <v>74486709</v>
      </c>
      <c r="H29" s="152">
        <f>+F29</f>
        <v>74486709</v>
      </c>
    </row>
    <row r="30" spans="1:8" x14ac:dyDescent="0.25">
      <c r="A30" s="148">
        <f t="shared" si="0"/>
        <v>11</v>
      </c>
      <c r="B30" s="148"/>
      <c r="C30" s="121" t="s">
        <v>249</v>
      </c>
      <c r="D30" s="148" t="str">
        <f>'Elect Tax Depr Summary'!M6</f>
        <v>Page 5 of 17</v>
      </c>
      <c r="E30" s="148"/>
      <c r="F30" s="156">
        <f>+'Elect Tax Depr Summary'!E$33</f>
        <v>0.16666666666666666</v>
      </c>
      <c r="G30" s="148"/>
      <c r="H30" s="156">
        <f>+'Elect Tax Depr Summary'!G$33</f>
        <v>0.33333333333333331</v>
      </c>
    </row>
    <row r="31" spans="1:8" x14ac:dyDescent="0.25">
      <c r="A31" s="148">
        <f t="shared" si="0"/>
        <v>12</v>
      </c>
      <c r="B31" s="148"/>
      <c r="C31" s="121" t="s">
        <v>243</v>
      </c>
      <c r="D31" s="148" t="s">
        <v>258</v>
      </c>
      <c r="E31" s="148"/>
      <c r="F31" s="152">
        <f>ROUND(F29*F30,0)</f>
        <v>12414452</v>
      </c>
      <c r="H31" s="152">
        <f>ROUND(H29*H30,0)</f>
        <v>24828903</v>
      </c>
    </row>
    <row r="32" spans="1:8" x14ac:dyDescent="0.25">
      <c r="A32" s="148">
        <f t="shared" si="0"/>
        <v>13</v>
      </c>
      <c r="B32" s="148"/>
      <c r="C32" s="121"/>
      <c r="D32" s="148"/>
      <c r="E32" s="148"/>
      <c r="F32" s="121"/>
      <c r="H32" s="121"/>
    </row>
    <row r="33" spans="1:8" x14ac:dyDescent="0.25">
      <c r="A33" s="148">
        <f t="shared" si="0"/>
        <v>14</v>
      </c>
      <c r="B33" s="148"/>
      <c r="C33" s="121" t="s">
        <v>230</v>
      </c>
      <c r="D33" s="148" t="s">
        <v>251</v>
      </c>
      <c r="E33" s="148"/>
      <c r="F33" s="152">
        <v>0</v>
      </c>
      <c r="H33" s="152"/>
    </row>
    <row r="34" spans="1:8" x14ac:dyDescent="0.25">
      <c r="A34" s="148">
        <f t="shared" si="0"/>
        <v>15</v>
      </c>
      <c r="B34" s="148"/>
      <c r="C34" s="121"/>
      <c r="D34" s="121"/>
      <c r="E34" s="148"/>
      <c r="F34" s="157"/>
      <c r="H34" s="157"/>
    </row>
    <row r="35" spans="1:8" ht="16.5" thickBot="1" x14ac:dyDescent="0.3">
      <c r="A35" s="148">
        <f t="shared" si="0"/>
        <v>16</v>
      </c>
      <c r="B35" s="148"/>
      <c r="C35" s="121" t="s">
        <v>197</v>
      </c>
      <c r="D35" s="148" t="s">
        <v>263</v>
      </c>
      <c r="E35" s="148"/>
      <c r="F35" s="158">
        <f>+F31+F24+F33</f>
        <v>12414452</v>
      </c>
      <c r="H35" s="158">
        <f>+H31+H24+H33</f>
        <v>24828903</v>
      </c>
    </row>
    <row r="36" spans="1:8" ht="16.5" thickTop="1" x14ac:dyDescent="0.25"/>
    <row r="37" spans="1:8" x14ac:dyDescent="0.25">
      <c r="A37" s="91"/>
    </row>
    <row r="38" spans="1:8" x14ac:dyDescent="0.25">
      <c r="A38" s="148"/>
      <c r="B38" s="148"/>
    </row>
    <row r="39" spans="1:8" x14ac:dyDescent="0.25">
      <c r="A39" s="148"/>
    </row>
    <row r="40" spans="1:8" x14ac:dyDescent="0.25">
      <c r="A40" s="148"/>
    </row>
  </sheetData>
  <mergeCells count="1">
    <mergeCell ref="A10:H10"/>
  </mergeCells>
  <pageMargins left="0.7" right="0.7" top="0.75" bottom="0.75" header="0.3" footer="0.3"/>
  <pageSetup scale="7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D06B2-BF30-4C56-9426-F399913AC04A}">
  <sheetPr>
    <pageSetUpPr fitToPage="1"/>
  </sheetPr>
  <dimension ref="A1:F40"/>
  <sheetViews>
    <sheetView workbookViewId="0">
      <selection sqref="A1:F6"/>
    </sheetView>
  </sheetViews>
  <sheetFormatPr defaultColWidth="9.140625" defaultRowHeight="15.75" x14ac:dyDescent="0.25"/>
  <cols>
    <col min="1" max="1" width="5.85546875" style="30" customWidth="1"/>
    <col min="2" max="2" width="3.85546875" style="30" customWidth="1"/>
    <col min="3" max="3" width="63.5703125" style="30" customWidth="1"/>
    <col min="4" max="4" width="39.28515625" style="30" customWidth="1"/>
    <col min="5" max="5" width="3.5703125" style="30" customWidth="1"/>
    <col min="6" max="6" width="18.42578125" style="30" customWidth="1"/>
    <col min="7" max="16384" width="9.140625" style="30"/>
  </cols>
  <sheetData>
    <row r="1" spans="1:6" x14ac:dyDescent="0.25">
      <c r="A1" s="115"/>
      <c r="B1" s="115"/>
      <c r="C1" s="115"/>
      <c r="D1" s="115"/>
      <c r="E1" s="115"/>
      <c r="F1" s="110" t="s">
        <v>20</v>
      </c>
    </row>
    <row r="2" spans="1:6" x14ac:dyDescent="0.25">
      <c r="A2" s="115"/>
      <c r="B2" s="115"/>
      <c r="C2" s="115"/>
      <c r="D2" s="115"/>
      <c r="E2" s="115"/>
      <c r="F2" s="110" t="str">
        <f>+'ADIT 1 Electric'!$G$2</f>
        <v>d/b/a RHODE ISLAND ENERGY</v>
      </c>
    </row>
    <row r="3" spans="1:6" x14ac:dyDescent="0.25">
      <c r="A3" s="115"/>
      <c r="B3" s="115"/>
      <c r="C3" s="115"/>
      <c r="D3" s="115"/>
      <c r="E3" s="115"/>
      <c r="F3" s="110" t="str">
        <f>+'ADIT 1 Electric'!$G$3</f>
        <v>RIPUC Docket No. 25-45-GE</v>
      </c>
    </row>
    <row r="4" spans="1:6" hidden="1" x14ac:dyDescent="0.25">
      <c r="A4" s="115"/>
      <c r="B4" s="115"/>
      <c r="C4" s="115"/>
      <c r="D4" s="115"/>
      <c r="E4" s="115"/>
      <c r="F4" s="110" t="str">
        <f>+'ADIT 1 Electric'!$G$4</f>
        <v>Compliance Attachment 2</v>
      </c>
    </row>
    <row r="5" spans="1:6" x14ac:dyDescent="0.25">
      <c r="A5" s="115"/>
      <c r="B5" s="115"/>
      <c r="C5" s="115"/>
      <c r="D5" s="115"/>
      <c r="E5" s="115"/>
      <c r="F5" s="110" t="str">
        <f>+'ADIT 1 Electric'!$G$5</f>
        <v>Schedule NH-3-ELEC</v>
      </c>
    </row>
    <row r="6" spans="1:6" x14ac:dyDescent="0.25">
      <c r="A6" s="115"/>
      <c r="B6" s="115"/>
      <c r="C6" s="115"/>
      <c r="D6" s="115"/>
      <c r="E6" s="115"/>
      <c r="F6" s="110" t="s">
        <v>264</v>
      </c>
    </row>
    <row r="7" spans="1:6" x14ac:dyDescent="0.25">
      <c r="A7" s="59"/>
      <c r="B7" s="59"/>
      <c r="C7" s="59"/>
      <c r="D7" s="59"/>
      <c r="E7" s="59"/>
      <c r="F7" s="59"/>
    </row>
    <row r="8" spans="1:6" x14ac:dyDescent="0.25">
      <c r="A8" s="117"/>
      <c r="B8" s="117"/>
      <c r="C8" s="117"/>
      <c r="D8" s="117"/>
      <c r="E8" s="117"/>
      <c r="F8" s="117"/>
    </row>
    <row r="9" spans="1:6" x14ac:dyDescent="0.25">
      <c r="A9" s="145"/>
      <c r="B9" s="145"/>
      <c r="C9" s="146"/>
      <c r="D9" s="146"/>
      <c r="E9" s="146"/>
      <c r="F9" s="146"/>
    </row>
    <row r="10" spans="1:6" x14ac:dyDescent="0.25">
      <c r="A10" s="351" t="str">
        <f>+'ADIT 1 Electric'!$A$10</f>
        <v>The Narragansett Electric Company d/b/a Rhode Island Energy</v>
      </c>
      <c r="B10" s="351"/>
      <c r="C10" s="351"/>
      <c r="D10" s="351"/>
      <c r="E10" s="351"/>
      <c r="F10" s="351"/>
    </row>
    <row r="11" spans="1:6" x14ac:dyDescent="0.25">
      <c r="A11" s="118" t="str">
        <f>+'2026-07-31 Tax Depr-3YR'!A11</f>
        <v xml:space="preserve"> Calculation of Tax Depreciation and Repairs Deduction on 3-Year Straight-Line Property (IT)</v>
      </c>
      <c r="B11" s="146"/>
      <c r="C11" s="146"/>
      <c r="D11" s="146"/>
      <c r="E11" s="146"/>
      <c r="F11" s="146"/>
    </row>
    <row r="12" spans="1:6" x14ac:dyDescent="0.25">
      <c r="A12" s="146" t="s">
        <v>265</v>
      </c>
      <c r="B12" s="146"/>
      <c r="C12" s="146"/>
      <c r="D12" s="146"/>
      <c r="E12" s="146"/>
      <c r="F12" s="146"/>
    </row>
    <row r="13" spans="1:6" x14ac:dyDescent="0.25">
      <c r="A13" s="121"/>
      <c r="B13" s="121"/>
      <c r="C13" s="121"/>
      <c r="D13" s="121"/>
      <c r="E13" s="121"/>
      <c r="F13" s="146"/>
    </row>
    <row r="14" spans="1:6" x14ac:dyDescent="0.25">
      <c r="A14" s="121"/>
      <c r="B14" s="121"/>
      <c r="C14" s="121"/>
      <c r="D14" s="121"/>
      <c r="E14" s="121"/>
      <c r="F14" s="146"/>
    </row>
    <row r="15" spans="1:6" x14ac:dyDescent="0.25">
      <c r="A15" s="45" t="s">
        <v>1</v>
      </c>
      <c r="B15" s="121"/>
      <c r="C15" s="121"/>
      <c r="D15" s="121"/>
      <c r="E15" s="121"/>
      <c r="F15" s="62" t="s">
        <v>137</v>
      </c>
    </row>
    <row r="16" spans="1:6" x14ac:dyDescent="0.25">
      <c r="A16" s="123" t="s">
        <v>530</v>
      </c>
      <c r="B16" s="121"/>
      <c r="C16" s="121"/>
      <c r="D16" s="148" t="s">
        <v>86</v>
      </c>
      <c r="E16" s="121"/>
      <c r="F16" s="124">
        <f>+'2028-07-31 Tax Depr-3YR'!H16</f>
        <v>47330</v>
      </c>
    </row>
    <row r="17" spans="1:6" x14ac:dyDescent="0.25">
      <c r="A17" s="147"/>
      <c r="B17" s="147"/>
      <c r="C17" s="121"/>
      <c r="E17" s="121"/>
      <c r="F17" s="148" t="s">
        <v>8</v>
      </c>
    </row>
    <row r="18" spans="1:6" x14ac:dyDescent="0.25">
      <c r="A18" s="148"/>
      <c r="B18" s="148"/>
      <c r="C18" s="149"/>
      <c r="D18" s="149"/>
      <c r="E18" s="150"/>
      <c r="F18" s="151"/>
    </row>
    <row r="19" spans="1:6" x14ac:dyDescent="0.25">
      <c r="A19" s="148"/>
      <c r="B19" s="148"/>
      <c r="C19" s="150" t="s">
        <v>234</v>
      </c>
      <c r="D19" s="150"/>
      <c r="E19" s="150"/>
      <c r="F19" s="152"/>
    </row>
    <row r="20" spans="1:6" x14ac:dyDescent="0.25">
      <c r="A20" s="148">
        <v>1</v>
      </c>
      <c r="B20" s="148"/>
      <c r="C20" s="121" t="s">
        <v>235</v>
      </c>
      <c r="D20" s="148" t="s">
        <v>266</v>
      </c>
      <c r="E20" s="148"/>
      <c r="F20" s="152">
        <v>16705014</v>
      </c>
    </row>
    <row r="21" spans="1:6" x14ac:dyDescent="0.25">
      <c r="A21" s="148">
        <f>+A20+1</f>
        <v>2</v>
      </c>
      <c r="B21" s="148"/>
      <c r="C21" s="121"/>
      <c r="D21" s="121"/>
      <c r="E21" s="148"/>
      <c r="F21" s="153"/>
    </row>
    <row r="22" spans="1:6" x14ac:dyDescent="0.25">
      <c r="A22" s="148">
        <f t="shared" ref="A22:A35" si="0">+A21+1</f>
        <v>3</v>
      </c>
      <c r="B22" s="148"/>
      <c r="C22" s="121" t="s">
        <v>262</v>
      </c>
      <c r="D22" s="121"/>
      <c r="E22" s="148"/>
      <c r="F22" s="152">
        <f>SUM(F20:F21)</f>
        <v>16705014</v>
      </c>
    </row>
    <row r="23" spans="1:6" x14ac:dyDescent="0.25">
      <c r="A23" s="148">
        <f t="shared" si="0"/>
        <v>4</v>
      </c>
      <c r="B23" s="148"/>
      <c r="C23" s="121" t="s">
        <v>240</v>
      </c>
      <c r="D23" s="148" t="s">
        <v>241</v>
      </c>
      <c r="E23" s="148"/>
      <c r="F23" s="154">
        <v>0</v>
      </c>
    </row>
    <row r="24" spans="1:6" x14ac:dyDescent="0.25">
      <c r="A24" s="148">
        <f t="shared" si="0"/>
        <v>5</v>
      </c>
      <c r="B24" s="148"/>
      <c r="C24" s="121" t="s">
        <v>234</v>
      </c>
      <c r="D24" s="148" t="s">
        <v>242</v>
      </c>
      <c r="E24" s="148"/>
      <c r="F24" s="152">
        <f>+F22*F23</f>
        <v>0</v>
      </c>
    </row>
    <row r="25" spans="1:6" x14ac:dyDescent="0.25">
      <c r="A25" s="148">
        <f t="shared" si="0"/>
        <v>6</v>
      </c>
      <c r="B25" s="148"/>
      <c r="C25" s="121"/>
      <c r="D25" s="121"/>
      <c r="E25" s="148"/>
      <c r="F25" s="121"/>
    </row>
    <row r="26" spans="1:6" x14ac:dyDescent="0.25">
      <c r="A26" s="148">
        <f t="shared" si="0"/>
        <v>7</v>
      </c>
      <c r="B26" s="148"/>
      <c r="C26" s="150" t="s">
        <v>243</v>
      </c>
      <c r="D26" s="150"/>
      <c r="E26" s="147"/>
      <c r="F26" s="121"/>
    </row>
    <row r="27" spans="1:6" x14ac:dyDescent="0.25">
      <c r="A27" s="148">
        <f t="shared" si="0"/>
        <v>8</v>
      </c>
      <c r="B27" s="148"/>
      <c r="C27" s="121" t="s">
        <v>235</v>
      </c>
      <c r="D27" s="148" t="s">
        <v>245</v>
      </c>
      <c r="E27" s="148"/>
      <c r="F27" s="152">
        <f>+F20</f>
        <v>16705014</v>
      </c>
    </row>
    <row r="28" spans="1:6" x14ac:dyDescent="0.25">
      <c r="A28" s="148">
        <f t="shared" si="0"/>
        <v>9</v>
      </c>
      <c r="B28" s="148"/>
      <c r="C28" s="121" t="s">
        <v>246</v>
      </c>
      <c r="D28" s="148" t="s">
        <v>95</v>
      </c>
      <c r="E28" s="148"/>
      <c r="F28" s="152">
        <f>-+F24</f>
        <v>0</v>
      </c>
    </row>
    <row r="29" spans="1:6" x14ac:dyDescent="0.25">
      <c r="A29" s="148">
        <f t="shared" si="0"/>
        <v>10</v>
      </c>
      <c r="B29" s="148"/>
      <c r="C29" s="121" t="s">
        <v>267</v>
      </c>
      <c r="D29" s="148" t="s">
        <v>257</v>
      </c>
      <c r="E29" s="148"/>
      <c r="F29" s="155">
        <f>SUM(F27:F28)</f>
        <v>16705014</v>
      </c>
    </row>
    <row r="30" spans="1:6" x14ac:dyDescent="0.25">
      <c r="A30" s="148">
        <f t="shared" si="0"/>
        <v>11</v>
      </c>
      <c r="B30" s="148"/>
      <c r="C30" s="121" t="s">
        <v>249</v>
      </c>
      <c r="D30" s="148" t="str">
        <f>'Elect Tax Depr Summary'!M6</f>
        <v>Page 5 of 17</v>
      </c>
      <c r="E30" s="148"/>
      <c r="F30" s="156">
        <f>+'Elect Tax Depr Summary'!E$33</f>
        <v>0.16666666666666666</v>
      </c>
    </row>
    <row r="31" spans="1:6" x14ac:dyDescent="0.25">
      <c r="A31" s="148">
        <f t="shared" si="0"/>
        <v>12</v>
      </c>
      <c r="B31" s="148"/>
      <c r="C31" s="121" t="s">
        <v>243</v>
      </c>
      <c r="D31" s="148" t="s">
        <v>258</v>
      </c>
      <c r="E31" s="148"/>
      <c r="F31" s="152">
        <f>ROUND(F29*F30,0)</f>
        <v>2784169</v>
      </c>
    </row>
    <row r="32" spans="1:6" x14ac:dyDescent="0.25">
      <c r="A32" s="148">
        <f t="shared" si="0"/>
        <v>13</v>
      </c>
      <c r="B32" s="148"/>
      <c r="C32" s="121"/>
      <c r="D32" s="148"/>
      <c r="E32" s="148"/>
      <c r="F32" s="121"/>
    </row>
    <row r="33" spans="1:6" x14ac:dyDescent="0.25">
      <c r="A33" s="148">
        <f t="shared" si="0"/>
        <v>14</v>
      </c>
      <c r="B33" s="148"/>
      <c r="C33" s="121" t="s">
        <v>230</v>
      </c>
      <c r="D33" s="148" t="s">
        <v>251</v>
      </c>
      <c r="E33" s="148"/>
      <c r="F33" s="152">
        <v>0</v>
      </c>
    </row>
    <row r="34" spans="1:6" x14ac:dyDescent="0.25">
      <c r="A34" s="148">
        <f t="shared" si="0"/>
        <v>15</v>
      </c>
      <c r="B34" s="148"/>
      <c r="C34" s="121"/>
      <c r="D34" s="121"/>
      <c r="E34" s="148"/>
      <c r="F34" s="157"/>
    </row>
    <row r="35" spans="1:6" ht="16.5" thickBot="1" x14ac:dyDescent="0.3">
      <c r="A35" s="148">
        <f t="shared" si="0"/>
        <v>16</v>
      </c>
      <c r="B35" s="148"/>
      <c r="C35" s="121" t="s">
        <v>197</v>
      </c>
      <c r="D35" s="148" t="s">
        <v>263</v>
      </c>
      <c r="E35" s="148"/>
      <c r="F35" s="158">
        <f>+F31+F24+F33</f>
        <v>2784169</v>
      </c>
    </row>
    <row r="36" spans="1:6" ht="16.5" thickTop="1" x14ac:dyDescent="0.25"/>
    <row r="37" spans="1:6" x14ac:dyDescent="0.25">
      <c r="A37" s="161"/>
    </row>
    <row r="38" spans="1:6" x14ac:dyDescent="0.25">
      <c r="A38" s="148"/>
      <c r="B38" s="148"/>
    </row>
    <row r="39" spans="1:6" x14ac:dyDescent="0.25">
      <c r="A39" s="148"/>
    </row>
    <row r="40" spans="1:6" x14ac:dyDescent="0.25">
      <c r="A40" s="148"/>
    </row>
  </sheetData>
  <mergeCells count="1">
    <mergeCell ref="A10:F10"/>
  </mergeCells>
  <pageMargins left="0.7" right="0.7" top="0.75" bottom="0.75" header="0.3" footer="0.3"/>
  <pageSetup scale="8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A25C9-D08E-4955-B6B4-C596B14EAE8F}">
  <sheetPr>
    <pageSetUpPr fitToPage="1"/>
  </sheetPr>
  <dimension ref="A1:Q61"/>
  <sheetViews>
    <sheetView workbookViewId="0">
      <selection sqref="A1:O6"/>
    </sheetView>
  </sheetViews>
  <sheetFormatPr defaultColWidth="9.140625" defaultRowHeight="15.75" x14ac:dyDescent="0.25"/>
  <cols>
    <col min="1" max="1" width="11.85546875" style="21" customWidth="1"/>
    <col min="2" max="2" width="3.85546875" style="21" customWidth="1"/>
    <col min="3" max="3" width="54.85546875" style="21" customWidth="1"/>
    <col min="4" max="4" width="5.5703125" style="21" customWidth="1"/>
    <col min="5" max="5" width="16" style="21" customWidth="1"/>
    <col min="6" max="6" width="3" style="21" customWidth="1"/>
    <col min="7" max="7" width="17.5703125" style="21" customWidth="1"/>
    <col min="8" max="8" width="3.28515625" style="21" customWidth="1"/>
    <col min="9" max="9" width="18.140625" style="21" customWidth="1"/>
    <col min="10" max="10" width="3" style="21" customWidth="1"/>
    <col min="11" max="11" width="16.7109375" style="21" customWidth="1"/>
    <col min="12" max="12" width="3" style="21" customWidth="1"/>
    <col min="13" max="13" width="19.5703125" style="21" customWidth="1"/>
    <col min="14" max="14" width="2.7109375" style="21" customWidth="1"/>
    <col min="15" max="15" width="19.5703125" style="21" customWidth="1"/>
    <col min="16" max="16" width="2.7109375" style="21" customWidth="1"/>
    <col min="17" max="17" width="92.7109375" style="21" customWidth="1"/>
    <col min="18" max="16384" width="9.140625" style="21"/>
  </cols>
  <sheetData>
    <row r="1" spans="1:17" x14ac:dyDescent="0.25">
      <c r="A1" s="115"/>
      <c r="B1" s="115"/>
      <c r="C1" s="115"/>
      <c r="D1" s="115"/>
      <c r="E1" s="132"/>
      <c r="F1" s="115"/>
      <c r="G1" s="115"/>
      <c r="H1" s="115"/>
      <c r="I1" s="115"/>
      <c r="J1" s="115"/>
      <c r="K1" s="115"/>
      <c r="L1" s="115"/>
      <c r="M1" s="115"/>
      <c r="N1" s="115"/>
      <c r="O1" s="110" t="s">
        <v>20</v>
      </c>
      <c r="P1" s="59"/>
    </row>
    <row r="2" spans="1:17" x14ac:dyDescent="0.25">
      <c r="A2" s="115"/>
      <c r="B2" s="115"/>
      <c r="C2" s="115"/>
      <c r="D2" s="115"/>
      <c r="E2" s="132"/>
      <c r="F2" s="115"/>
      <c r="G2" s="115"/>
      <c r="H2" s="115"/>
      <c r="I2" s="115"/>
      <c r="J2" s="115"/>
      <c r="K2" s="115"/>
      <c r="L2" s="115"/>
      <c r="M2" s="115"/>
      <c r="N2" s="115"/>
      <c r="O2" s="110" t="str">
        <f>+'ADIT 1 Electric'!$G$2</f>
        <v>d/b/a RHODE ISLAND ENERGY</v>
      </c>
      <c r="P2" s="59"/>
    </row>
    <row r="3" spans="1:17" x14ac:dyDescent="0.25">
      <c r="A3" s="115"/>
      <c r="B3" s="115"/>
      <c r="C3" s="115"/>
      <c r="D3" s="115"/>
      <c r="E3" s="132"/>
      <c r="F3" s="115"/>
      <c r="G3" s="115"/>
      <c r="H3" s="115"/>
      <c r="I3" s="115"/>
      <c r="J3" s="115"/>
      <c r="K3" s="115"/>
      <c r="L3" s="115"/>
      <c r="M3" s="115"/>
      <c r="N3" s="115"/>
      <c r="O3" s="110" t="str">
        <f>+'ADIT 1 Electric'!$G$3</f>
        <v>RIPUC Docket No. 25-45-GE</v>
      </c>
      <c r="P3" s="59"/>
    </row>
    <row r="4" spans="1:17" hidden="1" x14ac:dyDescent="0.25">
      <c r="A4" s="115"/>
      <c r="B4" s="115"/>
      <c r="C4" s="115"/>
      <c r="D4" s="115"/>
      <c r="E4" s="132"/>
      <c r="F4" s="115"/>
      <c r="G4" s="115"/>
      <c r="H4" s="115"/>
      <c r="I4" s="115"/>
      <c r="J4" s="115"/>
      <c r="K4" s="115"/>
      <c r="L4" s="115"/>
      <c r="M4" s="115"/>
      <c r="N4" s="115"/>
      <c r="O4" s="110" t="str">
        <f>+'ADIT 1 Electric'!$G$4</f>
        <v>Compliance Attachment 2</v>
      </c>
      <c r="P4" s="59"/>
    </row>
    <row r="5" spans="1:17" x14ac:dyDescent="0.25">
      <c r="A5" s="115"/>
      <c r="B5" s="115"/>
      <c r="C5" s="115"/>
      <c r="D5" s="115"/>
      <c r="E5" s="132"/>
      <c r="F5" s="115"/>
      <c r="G5" s="115"/>
      <c r="H5" s="115"/>
      <c r="I5" s="115"/>
      <c r="J5" s="115"/>
      <c r="K5" s="115"/>
      <c r="L5" s="115"/>
      <c r="M5" s="115"/>
      <c r="N5" s="115"/>
      <c r="O5" s="110" t="str">
        <f>+'ADIT 1 Electric'!$G$5</f>
        <v>Schedule NH-3-ELEC</v>
      </c>
      <c r="P5" s="59"/>
    </row>
    <row r="6" spans="1:17" x14ac:dyDescent="0.25">
      <c r="A6" s="115"/>
      <c r="B6" s="115"/>
      <c r="C6" s="115"/>
      <c r="D6" s="115"/>
      <c r="E6" s="132"/>
      <c r="F6" s="115"/>
      <c r="G6" s="115"/>
      <c r="H6" s="115"/>
      <c r="I6" s="115"/>
      <c r="J6" s="115"/>
      <c r="K6" s="115"/>
      <c r="L6" s="115"/>
      <c r="M6" s="115"/>
      <c r="N6" s="115"/>
      <c r="O6" s="110" t="s">
        <v>268</v>
      </c>
      <c r="P6" s="59"/>
    </row>
    <row r="7" spans="1:17" x14ac:dyDescent="0.25">
      <c r="A7" s="59"/>
      <c r="B7" s="59"/>
      <c r="C7" s="59"/>
      <c r="D7" s="59"/>
      <c r="E7" s="133"/>
      <c r="F7" s="59"/>
      <c r="G7" s="59"/>
      <c r="H7" s="59"/>
      <c r="I7" s="59"/>
      <c r="J7" s="59"/>
      <c r="K7" s="59"/>
      <c r="L7" s="59"/>
      <c r="M7" s="59"/>
      <c r="N7" s="59"/>
      <c r="O7" s="59"/>
      <c r="P7" s="59"/>
    </row>
    <row r="8" spans="1:17" x14ac:dyDescent="0.25">
      <c r="A8" s="117"/>
      <c r="B8" s="117"/>
      <c r="C8" s="117"/>
      <c r="D8" s="117"/>
      <c r="E8" s="117"/>
      <c r="F8" s="117"/>
      <c r="G8" s="117"/>
      <c r="H8" s="117"/>
      <c r="I8" s="117"/>
      <c r="J8" s="117"/>
      <c r="K8" s="117"/>
      <c r="L8" s="117"/>
      <c r="M8" s="117"/>
      <c r="N8" s="117"/>
      <c r="O8" s="117"/>
      <c r="P8" s="117"/>
    </row>
    <row r="9" spans="1:17" x14ac:dyDescent="0.25">
      <c r="A9" s="117"/>
      <c r="B9" s="117"/>
      <c r="C9" s="117"/>
      <c r="D9" s="117"/>
      <c r="E9" s="117"/>
      <c r="F9" s="117"/>
      <c r="G9" s="117"/>
      <c r="H9" s="117"/>
      <c r="I9" s="117"/>
      <c r="J9" s="117"/>
      <c r="K9" s="117"/>
      <c r="L9" s="117"/>
      <c r="M9" s="117"/>
      <c r="N9" s="117"/>
      <c r="O9" s="117"/>
      <c r="P9" s="117"/>
    </row>
    <row r="10" spans="1:17" x14ac:dyDescent="0.25">
      <c r="A10" s="353" t="str">
        <f>+'ADIT 1 Electric'!$A$10</f>
        <v>The Narragansett Electric Company d/b/a Rhode Island Energy</v>
      </c>
      <c r="B10" s="353"/>
      <c r="C10" s="353"/>
      <c r="D10" s="353"/>
      <c r="E10" s="353"/>
      <c r="F10" s="353"/>
      <c r="G10" s="353"/>
      <c r="H10" s="353"/>
      <c r="I10" s="353"/>
      <c r="J10" s="353"/>
      <c r="K10" s="353"/>
      <c r="L10" s="353"/>
      <c r="M10" s="353"/>
      <c r="N10" s="353"/>
      <c r="O10" s="353"/>
      <c r="P10" s="119"/>
    </row>
    <row r="11" spans="1:17" x14ac:dyDescent="0.25">
      <c r="A11" s="60" t="s">
        <v>269</v>
      </c>
      <c r="B11" s="119"/>
      <c r="C11" s="119"/>
      <c r="D11" s="119"/>
      <c r="E11" s="119"/>
      <c r="F11" s="119"/>
      <c r="G11" s="119"/>
      <c r="H11" s="119"/>
      <c r="I11" s="119"/>
      <c r="J11" s="119"/>
      <c r="K11" s="119"/>
      <c r="L11" s="119"/>
      <c r="M11" s="119"/>
      <c r="N11" s="119"/>
      <c r="O11" s="119"/>
      <c r="P11" s="119"/>
    </row>
    <row r="12" spans="1:17" x14ac:dyDescent="0.25">
      <c r="A12" s="60" t="s">
        <v>196</v>
      </c>
      <c r="B12" s="119"/>
      <c r="C12" s="119"/>
      <c r="D12" s="119"/>
      <c r="E12" s="119"/>
      <c r="F12" s="119"/>
      <c r="G12" s="119"/>
      <c r="H12" s="119"/>
      <c r="I12" s="119"/>
      <c r="J12" s="119"/>
      <c r="K12" s="119"/>
      <c r="L12" s="119"/>
      <c r="M12" s="119"/>
      <c r="N12" s="119"/>
      <c r="O12" s="119"/>
      <c r="P12" s="119"/>
    </row>
    <row r="13" spans="1:17" x14ac:dyDescent="0.25">
      <c r="A13" s="117"/>
      <c r="B13" s="117"/>
      <c r="C13" s="117"/>
      <c r="D13" s="117"/>
      <c r="E13" s="120"/>
      <c r="F13" s="120"/>
      <c r="G13" s="120"/>
      <c r="H13" s="120"/>
      <c r="I13" s="120"/>
      <c r="J13" s="120"/>
      <c r="K13" s="120"/>
      <c r="L13" s="120"/>
      <c r="M13" s="120"/>
      <c r="N13" s="120"/>
      <c r="O13" s="120"/>
      <c r="P13" s="120"/>
    </row>
    <row r="14" spans="1:17" x14ac:dyDescent="0.25">
      <c r="A14" s="117"/>
      <c r="B14" s="117"/>
      <c r="C14" s="117"/>
      <c r="D14" s="117"/>
      <c r="E14" s="120"/>
      <c r="F14" s="120"/>
      <c r="G14" s="120"/>
      <c r="H14" s="120"/>
      <c r="I14" s="120"/>
      <c r="J14" s="120"/>
      <c r="K14" s="120"/>
      <c r="L14" s="120"/>
      <c r="M14" s="120"/>
      <c r="N14" s="120"/>
      <c r="O14" s="120"/>
      <c r="P14" s="120"/>
    </row>
    <row r="15" spans="1:17" x14ac:dyDescent="0.25">
      <c r="A15" s="117"/>
      <c r="B15" s="117"/>
      <c r="C15" s="117"/>
      <c r="D15" s="117"/>
      <c r="E15" s="120"/>
      <c r="F15" s="120"/>
      <c r="G15" s="120"/>
      <c r="H15" s="120"/>
      <c r="I15" s="358" t="s">
        <v>197</v>
      </c>
      <c r="J15" s="359"/>
      <c r="K15" s="359"/>
      <c r="L15" s="359"/>
      <c r="M15" s="359"/>
      <c r="N15" s="359"/>
      <c r="O15" s="360"/>
      <c r="P15" s="120"/>
      <c r="Q15" s="162"/>
    </row>
    <row r="16" spans="1:17" x14ac:dyDescent="0.25">
      <c r="A16" s="24" t="s">
        <v>1</v>
      </c>
      <c r="B16" s="61"/>
      <c r="C16" s="64" t="s">
        <v>210</v>
      </c>
      <c r="D16" s="64"/>
      <c r="E16" s="62" t="s">
        <v>211</v>
      </c>
      <c r="F16" s="72"/>
      <c r="G16" s="62" t="s">
        <v>180</v>
      </c>
      <c r="H16" s="72"/>
      <c r="I16" s="15" t="s">
        <v>198</v>
      </c>
      <c r="J16" s="121"/>
      <c r="K16" s="24" t="s">
        <v>135</v>
      </c>
      <c r="L16" s="121"/>
      <c r="M16" s="24" t="s">
        <v>136</v>
      </c>
      <c r="N16" s="24"/>
      <c r="O16" s="62" t="s">
        <v>137</v>
      </c>
      <c r="P16" s="24"/>
      <c r="Q16" s="162"/>
    </row>
    <row r="17" spans="1:17" x14ac:dyDescent="0.25">
      <c r="A17" s="25" t="s">
        <v>530</v>
      </c>
      <c r="B17" s="15"/>
      <c r="C17" s="25" t="s">
        <v>212</v>
      </c>
      <c r="D17" s="64"/>
      <c r="E17" s="63" t="s">
        <v>213</v>
      </c>
      <c r="F17" s="62"/>
      <c r="G17" s="63" t="s">
        <v>214</v>
      </c>
      <c r="H17" s="134"/>
      <c r="I17" s="63">
        <v>46234</v>
      </c>
      <c r="K17" s="63">
        <f>EDATE(I17,12)</f>
        <v>46599</v>
      </c>
      <c r="L17" s="125"/>
      <c r="M17" s="63">
        <f>EDATE(K17,12)</f>
        <v>46965</v>
      </c>
      <c r="O17" s="63">
        <f>EDATE(M17,12)</f>
        <v>47330</v>
      </c>
      <c r="Q17" s="162" t="s">
        <v>880</v>
      </c>
    </row>
    <row r="18" spans="1:17" x14ac:dyDescent="0.25">
      <c r="A18" s="117"/>
      <c r="B18" s="117"/>
      <c r="C18" s="117"/>
      <c r="D18" s="117"/>
      <c r="E18" s="135" t="s">
        <v>8</v>
      </c>
      <c r="F18" s="135"/>
      <c r="G18" s="15" t="s">
        <v>9</v>
      </c>
      <c r="H18" s="15"/>
      <c r="I18" s="15" t="s">
        <v>10</v>
      </c>
      <c r="K18" s="15" t="s">
        <v>25</v>
      </c>
      <c r="M18" s="15" t="s">
        <v>11</v>
      </c>
      <c r="O18" s="15" t="s">
        <v>12</v>
      </c>
      <c r="Q18" s="162"/>
    </row>
    <row r="19" spans="1:17" x14ac:dyDescent="0.25">
      <c r="A19" s="126">
        <v>1</v>
      </c>
      <c r="B19" s="117"/>
      <c r="C19" s="136" t="s">
        <v>215</v>
      </c>
      <c r="D19" s="137"/>
      <c r="E19" s="127">
        <f>'2026-07-31 Tax Depr-20YR'!F20</f>
        <v>74766083</v>
      </c>
      <c r="F19" s="129"/>
      <c r="G19" s="127">
        <f>'2026-07-31 Tax Depr-20YR'!F24</f>
        <v>29996152.499600001</v>
      </c>
      <c r="H19" s="127"/>
      <c r="I19" s="127">
        <f>SUM(G19:H19)</f>
        <v>29996152.499600001</v>
      </c>
      <c r="J19" s="127"/>
      <c r="K19" s="127"/>
      <c r="L19" s="127"/>
      <c r="M19" s="127"/>
      <c r="O19" s="138"/>
    </row>
    <row r="20" spans="1:17" x14ac:dyDescent="0.25">
      <c r="A20" s="126">
        <f t="shared" ref="A20:A31" si="0">+A19+1</f>
        <v>2</v>
      </c>
      <c r="B20" s="117"/>
      <c r="C20" s="136" t="s">
        <v>216</v>
      </c>
      <c r="D20" s="137"/>
      <c r="E20" s="127"/>
      <c r="F20" s="129"/>
      <c r="G20" s="127"/>
      <c r="H20" s="127"/>
      <c r="I20" s="127">
        <f>'2026-07-31 Tax Depr-20YR'!F31</f>
        <v>1678872</v>
      </c>
      <c r="J20" s="127"/>
      <c r="K20" s="127">
        <f>'2026-07-31 Tax Depr-20YR'!H31</f>
        <v>3231941</v>
      </c>
      <c r="L20" s="127"/>
      <c r="M20" s="127">
        <f>'2026-07-31 Tax Depr-20YR'!J31</f>
        <v>2989288</v>
      </c>
      <c r="O20" s="127">
        <f>'2026-07-31 Tax Depr-20YR'!L31</f>
        <v>2765439</v>
      </c>
    </row>
    <row r="21" spans="1:17" x14ac:dyDescent="0.25">
      <c r="A21" s="126">
        <f t="shared" si="0"/>
        <v>3</v>
      </c>
      <c r="B21" s="117"/>
      <c r="C21" s="136" t="s">
        <v>217</v>
      </c>
      <c r="D21" s="137"/>
      <c r="E21" s="127"/>
      <c r="F21" s="129"/>
      <c r="G21" s="127"/>
      <c r="H21" s="127"/>
      <c r="I21" s="127">
        <f>'2026-07-31 Tax Depr-20YR'!F33</f>
        <v>9338283.7666999996</v>
      </c>
      <c r="J21" s="127"/>
      <c r="K21" s="127"/>
      <c r="L21" s="127"/>
      <c r="M21" s="127"/>
      <c r="O21" s="127"/>
    </row>
    <row r="22" spans="1:17" x14ac:dyDescent="0.25">
      <c r="A22" s="126">
        <f t="shared" si="0"/>
        <v>4</v>
      </c>
      <c r="B22" s="117"/>
      <c r="C22" s="98" t="s">
        <v>218</v>
      </c>
      <c r="D22" s="137"/>
      <c r="E22" s="127">
        <f>'2027-07-31 Tax Depr-20YR'!F20</f>
        <v>81563000</v>
      </c>
      <c r="F22" s="129"/>
      <c r="G22" s="129">
        <f>'2027-07-31 Tax Depr-20YR'!F24</f>
        <v>32723075.600000001</v>
      </c>
      <c r="H22" s="127"/>
      <c r="I22" s="127"/>
      <c r="J22" s="127"/>
      <c r="K22" s="127">
        <f>SUM(G22:H22)</f>
        <v>32723075.600000001</v>
      </c>
      <c r="L22" s="127"/>
      <c r="M22" s="127"/>
      <c r="O22" s="127"/>
    </row>
    <row r="23" spans="1:17" x14ac:dyDescent="0.25">
      <c r="A23" s="126">
        <f t="shared" si="0"/>
        <v>5</v>
      </c>
      <c r="B23" s="117"/>
      <c r="C23" s="98" t="s">
        <v>219</v>
      </c>
      <c r="D23" s="137"/>
      <c r="E23" s="127"/>
      <c r="F23" s="129"/>
      <c r="G23" s="129"/>
      <c r="H23" s="127"/>
      <c r="I23" s="127"/>
      <c r="J23" s="127"/>
      <c r="K23" s="127">
        <f>'2027-07-31 Tax Depr-20YR'!F31</f>
        <v>1831497.165</v>
      </c>
      <c r="L23" s="127"/>
      <c r="M23" s="127">
        <f>'2027-07-31 Tax Depr-20YR'!H31</f>
        <v>3525754.1424360001</v>
      </c>
      <c r="O23" s="127">
        <f>'2027-07-31 Tax Depr-20YR'!J31</f>
        <v>3261041.7521879999</v>
      </c>
    </row>
    <row r="24" spans="1:17" x14ac:dyDescent="0.25">
      <c r="A24" s="126">
        <f t="shared" si="0"/>
        <v>6</v>
      </c>
      <c r="B24" s="117"/>
      <c r="C24" s="98" t="s">
        <v>220</v>
      </c>
      <c r="D24" s="137"/>
      <c r="E24" s="127"/>
      <c r="F24" s="129"/>
      <c r="G24" s="129"/>
      <c r="H24" s="127"/>
      <c r="I24" s="127"/>
      <c r="J24" s="127"/>
      <c r="K24" s="127">
        <f>'2027-07-31 Tax Depr-20YR'!F33</f>
        <v>10187218.699999999</v>
      </c>
      <c r="L24" s="127"/>
      <c r="M24" s="127"/>
      <c r="O24" s="127"/>
    </row>
    <row r="25" spans="1:17" x14ac:dyDescent="0.25">
      <c r="A25" s="126">
        <f t="shared" si="0"/>
        <v>7</v>
      </c>
      <c r="B25" s="117"/>
      <c r="C25" s="98" t="s">
        <v>221</v>
      </c>
      <c r="D25" s="137"/>
      <c r="E25" s="127">
        <f>'2028-07-31 Tax Depr-20YR'!F20</f>
        <v>0</v>
      </c>
      <c r="F25" s="129"/>
      <c r="G25" s="129">
        <f>'2028-07-31 Tax Depr-20YR'!F24</f>
        <v>0</v>
      </c>
      <c r="H25" s="127"/>
      <c r="I25" s="127"/>
      <c r="J25" s="127"/>
      <c r="K25" s="127"/>
      <c r="L25" s="127"/>
      <c r="M25" s="127">
        <f>SUM(G25:H25)</f>
        <v>0</v>
      </c>
      <c r="O25" s="127"/>
    </row>
    <row r="26" spans="1:17" x14ac:dyDescent="0.25">
      <c r="A26" s="126">
        <f t="shared" si="0"/>
        <v>8</v>
      </c>
      <c r="B26" s="117"/>
      <c r="C26" s="98" t="s">
        <v>222</v>
      </c>
      <c r="D26" s="137"/>
      <c r="E26" s="127"/>
      <c r="F26" s="129"/>
      <c r="G26" s="129"/>
      <c r="H26" s="127"/>
      <c r="I26" s="127"/>
      <c r="J26" s="127"/>
      <c r="K26" s="127"/>
      <c r="L26" s="127"/>
      <c r="M26" s="127">
        <f>'2028-07-31 Tax Depr-20YR'!F31</f>
        <v>0</v>
      </c>
      <c r="O26" s="127">
        <f>'2028-07-31 Tax Depr-20YR'!$H$31</f>
        <v>0</v>
      </c>
    </row>
    <row r="27" spans="1:17" x14ac:dyDescent="0.25">
      <c r="A27" s="126">
        <f t="shared" si="0"/>
        <v>9</v>
      </c>
      <c r="B27" s="117"/>
      <c r="C27" s="98" t="s">
        <v>223</v>
      </c>
      <c r="D27" s="137"/>
      <c r="E27" s="127"/>
      <c r="F27" s="129"/>
      <c r="G27" s="129"/>
      <c r="H27" s="127"/>
      <c r="I27" s="127"/>
      <c r="J27" s="127"/>
      <c r="K27" s="127"/>
      <c r="L27" s="127"/>
      <c r="M27" s="127">
        <f>'2028-07-31 Tax Depr-20YR'!F33</f>
        <v>0</v>
      </c>
    </row>
    <row r="28" spans="1:17" x14ac:dyDescent="0.25">
      <c r="A28" s="126">
        <f t="shared" si="0"/>
        <v>10</v>
      </c>
      <c r="B28" s="117"/>
      <c r="C28" s="98" t="s">
        <v>224</v>
      </c>
      <c r="D28" s="137"/>
      <c r="E28" s="127">
        <f>'2029-07-31 Tax Depr-20YR'!F20</f>
        <v>0</v>
      </c>
      <c r="F28" s="129"/>
      <c r="G28" s="129">
        <f>'2029-07-31 Tax Depr-20YR'!F24</f>
        <v>0</v>
      </c>
      <c r="H28" s="127"/>
      <c r="I28" s="127"/>
      <c r="J28" s="127"/>
      <c r="K28" s="127"/>
      <c r="L28" s="127"/>
      <c r="M28" s="127"/>
      <c r="O28" s="127">
        <f>SUM(G28:H28)</f>
        <v>0</v>
      </c>
    </row>
    <row r="29" spans="1:17" x14ac:dyDescent="0.25">
      <c r="A29" s="126">
        <f t="shared" si="0"/>
        <v>11</v>
      </c>
      <c r="B29" s="117"/>
      <c r="C29" s="98" t="s">
        <v>225</v>
      </c>
      <c r="D29" s="137"/>
      <c r="E29" s="127"/>
      <c r="F29" s="129"/>
      <c r="G29" s="129"/>
      <c r="H29" s="127"/>
      <c r="I29" s="127"/>
      <c r="J29" s="127"/>
      <c r="K29" s="127"/>
      <c r="L29" s="127"/>
      <c r="M29" s="127"/>
      <c r="O29" s="127">
        <f>'2029-07-31 Tax Depr-20YR'!F31</f>
        <v>0</v>
      </c>
    </row>
    <row r="30" spans="1:17" x14ac:dyDescent="0.25">
      <c r="A30" s="126">
        <f t="shared" si="0"/>
        <v>12</v>
      </c>
      <c r="B30" s="117"/>
      <c r="C30" s="98" t="s">
        <v>226</v>
      </c>
      <c r="D30" s="137"/>
      <c r="E30" s="127"/>
      <c r="F30" s="129"/>
      <c r="G30" s="129"/>
      <c r="H30" s="127"/>
      <c r="I30" s="127"/>
      <c r="J30" s="127"/>
      <c r="K30" s="127"/>
      <c r="L30" s="127"/>
      <c r="M30" s="127"/>
      <c r="O30" s="127">
        <f>'2029-07-31 Tax Depr-20YR'!F33</f>
        <v>0</v>
      </c>
    </row>
    <row r="31" spans="1:17" ht="16.5" thickBot="1" x14ac:dyDescent="0.3">
      <c r="A31" s="126">
        <f t="shared" si="0"/>
        <v>13</v>
      </c>
      <c r="B31" s="117"/>
      <c r="C31" s="64" t="s">
        <v>139</v>
      </c>
      <c r="D31" s="117"/>
      <c r="E31" s="128">
        <f>SUM(E19:E30)</f>
        <v>156329083</v>
      </c>
      <c r="F31" s="129"/>
      <c r="G31" s="128">
        <f>SUM(G19:G30)</f>
        <v>62719228.099600002</v>
      </c>
      <c r="H31" s="129"/>
      <c r="I31" s="128">
        <f>SUM(I19:I30)</f>
        <v>41013308.2663</v>
      </c>
      <c r="J31" s="129"/>
      <c r="K31" s="128">
        <f>SUM(K19:K30)</f>
        <v>47973732.465000004</v>
      </c>
      <c r="L31" s="129"/>
      <c r="M31" s="128">
        <f>SUM(M19:M30)</f>
        <v>6515042.1424359996</v>
      </c>
      <c r="O31" s="128">
        <f>SUM(O19:O30)</f>
        <v>6026480.7521879999</v>
      </c>
    </row>
    <row r="32" spans="1:17" ht="16.5" thickTop="1" x14ac:dyDescent="0.25">
      <c r="A32" s="117"/>
      <c r="B32" s="117"/>
      <c r="C32" s="117"/>
      <c r="D32" s="117"/>
      <c r="E32" s="120"/>
      <c r="F32" s="120"/>
      <c r="G32" s="120"/>
      <c r="H32" s="120"/>
      <c r="I32" s="120"/>
      <c r="J32" s="120"/>
      <c r="K32" s="120"/>
      <c r="L32" s="120"/>
      <c r="M32" s="120"/>
      <c r="O32" s="120"/>
    </row>
    <row r="33" spans="1:16" x14ac:dyDescent="0.25">
      <c r="A33" s="126"/>
      <c r="B33" s="117" t="s">
        <v>227</v>
      </c>
      <c r="C33" s="117"/>
      <c r="D33" s="117"/>
      <c r="E33" s="120"/>
      <c r="F33" s="120"/>
      <c r="G33" s="120"/>
      <c r="H33" s="120"/>
      <c r="I33" s="120"/>
      <c r="J33" s="120"/>
      <c r="K33" s="120"/>
      <c r="L33" s="120"/>
      <c r="M33" s="120"/>
      <c r="O33" s="120"/>
    </row>
    <row r="34" spans="1:16" x14ac:dyDescent="0.25">
      <c r="A34" s="126">
        <f>+A31+1</f>
        <v>14</v>
      </c>
      <c r="B34" s="117"/>
      <c r="C34" s="117" t="s">
        <v>228</v>
      </c>
      <c r="D34" s="117"/>
      <c r="E34" s="120"/>
      <c r="F34" s="120"/>
      <c r="G34" s="120"/>
      <c r="H34" s="120"/>
      <c r="I34" s="120">
        <f>+I20+I23+I26+I29</f>
        <v>1678872</v>
      </c>
      <c r="J34" s="139"/>
      <c r="K34" s="120">
        <f>+K20+K23+K26+K29</f>
        <v>5063438.165</v>
      </c>
      <c r="L34" s="139"/>
      <c r="M34" s="120">
        <f>+M20+M23+M26+M29</f>
        <v>6515042.1424359996</v>
      </c>
      <c r="N34" s="140"/>
      <c r="O34" s="120">
        <f>+O20+O23+O26+O29</f>
        <v>6026480.7521879999</v>
      </c>
      <c r="P34" s="140"/>
    </row>
    <row r="35" spans="1:16" x14ac:dyDescent="0.25">
      <c r="A35" s="126">
        <f>+A34+1</f>
        <v>15</v>
      </c>
      <c r="B35" s="117"/>
      <c r="C35" s="117" t="s">
        <v>229</v>
      </c>
      <c r="D35" s="117"/>
      <c r="E35" s="120"/>
      <c r="F35" s="120"/>
      <c r="G35" s="120"/>
      <c r="H35" s="120"/>
      <c r="I35" s="120">
        <f>+I19+I22+I25+I28</f>
        <v>29996152.499600001</v>
      </c>
      <c r="J35" s="139"/>
      <c r="K35" s="120">
        <f>+K19+K22+K25+K28</f>
        <v>32723075.600000001</v>
      </c>
      <c r="L35" s="139"/>
      <c r="M35" s="120">
        <f>+M19+M22+M25+M28</f>
        <v>0</v>
      </c>
      <c r="N35" s="140"/>
      <c r="O35" s="120">
        <f>+O19+O22+O25+O28</f>
        <v>0</v>
      </c>
      <c r="P35" s="140"/>
    </row>
    <row r="36" spans="1:16" x14ac:dyDescent="0.25">
      <c r="A36" s="126">
        <f>+A35+1</f>
        <v>16</v>
      </c>
      <c r="B36" s="117"/>
      <c r="C36" s="117" t="s">
        <v>230</v>
      </c>
      <c r="D36" s="117"/>
      <c r="E36" s="120"/>
      <c r="F36" s="120"/>
      <c r="G36" s="120"/>
      <c r="H36" s="120"/>
      <c r="I36" s="120">
        <f>+I21+I24+I27+I30</f>
        <v>9338283.7666999996</v>
      </c>
      <c r="J36" s="139"/>
      <c r="K36" s="120">
        <f>+K21+K24+K27+K30</f>
        <v>10187218.699999999</v>
      </c>
      <c r="L36" s="139"/>
      <c r="M36" s="120">
        <f>+M21+M24+M27+M30</f>
        <v>0</v>
      </c>
      <c r="N36" s="140"/>
      <c r="O36" s="120">
        <f>+O21+O24+O27+O30</f>
        <v>0</v>
      </c>
      <c r="P36" s="140"/>
    </row>
    <row r="37" spans="1:16" ht="16.5" thickBot="1" x14ac:dyDescent="0.3">
      <c r="A37" s="126">
        <f>+A36+1</f>
        <v>17</v>
      </c>
      <c r="B37" s="117"/>
      <c r="C37" s="126" t="s">
        <v>139</v>
      </c>
      <c r="D37" s="117"/>
      <c r="E37" s="120"/>
      <c r="F37" s="120"/>
      <c r="G37" s="120"/>
      <c r="H37" s="120"/>
      <c r="I37" s="141">
        <f>SUM(I34:I36)</f>
        <v>41013308.2663</v>
      </c>
      <c r="J37" s="139"/>
      <c r="K37" s="141">
        <f>SUM(K34:K36)</f>
        <v>47973732.465000004</v>
      </c>
      <c r="L37" s="139"/>
      <c r="M37" s="141">
        <f>SUM(M34:M36)</f>
        <v>6515042.1424359996</v>
      </c>
      <c r="N37" s="140"/>
      <c r="O37" s="141">
        <f>SUM(O34:O36)</f>
        <v>6026480.7521879999</v>
      </c>
      <c r="P37" s="140"/>
    </row>
    <row r="38" spans="1:16" ht="16.5" thickTop="1" x14ac:dyDescent="0.25">
      <c r="A38" s="117"/>
      <c r="B38" s="117"/>
      <c r="C38" s="117"/>
      <c r="D38" s="117"/>
      <c r="E38" s="120"/>
      <c r="F38" s="120"/>
      <c r="G38" s="120"/>
      <c r="H38" s="120"/>
      <c r="I38" s="120"/>
      <c r="J38" s="120"/>
      <c r="K38" s="120"/>
      <c r="L38" s="120"/>
      <c r="M38" s="120"/>
      <c r="N38" s="120"/>
      <c r="O38" s="120"/>
    </row>
    <row r="39" spans="1:16" x14ac:dyDescent="0.25">
      <c r="A39" s="130" t="s">
        <v>17</v>
      </c>
      <c r="B39" s="15"/>
      <c r="C39" s="69"/>
      <c r="D39" s="69"/>
      <c r="E39" s="142"/>
      <c r="F39" s="142"/>
      <c r="G39" s="142"/>
      <c r="H39" s="134"/>
      <c r="I39" s="131"/>
      <c r="J39" s="131"/>
      <c r="K39" s="131"/>
      <c r="L39" s="131"/>
      <c r="M39" s="72"/>
      <c r="N39" s="72"/>
      <c r="O39" s="72"/>
    </row>
    <row r="40" spans="1:16" x14ac:dyDescent="0.25">
      <c r="A40" s="15"/>
      <c r="B40" s="15"/>
      <c r="C40" s="69"/>
      <c r="D40" s="143"/>
      <c r="E40" s="108"/>
      <c r="F40" s="108"/>
      <c r="G40" s="108"/>
      <c r="H40" s="108"/>
      <c r="I40" s="131"/>
      <c r="J40" s="131"/>
      <c r="K40" s="131"/>
      <c r="L40" s="131"/>
      <c r="M40" s="131"/>
      <c r="N40" s="131"/>
      <c r="O40" s="72"/>
    </row>
    <row r="41" spans="1:16" x14ac:dyDescent="0.25">
      <c r="A41" s="144" t="str">
        <f>A19&amp;$E$18</f>
        <v>1(a)</v>
      </c>
      <c r="B41" s="69" t="str">
        <f>'2026-07-31 Tax Depr-20YR'!L$6&amp;" Line "&amp;'2026-07-31 Tax Depr-20YR'!$A$20&amp;" Column "&amp;'2026-07-31 Tax Depr-20YR'!$F$17</f>
        <v>Page 13 of 17 Line 1 Column (a)</v>
      </c>
      <c r="C41" s="69"/>
      <c r="D41" s="144" t="str">
        <f>A25&amp;$E$18</f>
        <v>7(a)</v>
      </c>
      <c r="E41" s="69" t="str">
        <f>'2028-07-31 Tax Depr-20YR'!H$6&amp;" Line "&amp;'2028-07-31 Tax Depr-20YR'!$A$20&amp;" Column "&amp;'2028-07-31 Tax Depr-20YR'!$F$17</f>
        <v>Page 15 of 17 Line 1 Column (a)</v>
      </c>
      <c r="F41" s="69"/>
      <c r="G41" s="108"/>
      <c r="H41" s="108"/>
      <c r="I41" s="131"/>
      <c r="J41" s="144">
        <f>+A31</f>
        <v>13</v>
      </c>
      <c r="K41" s="69" t="str">
        <f>"Sum of Lines "&amp;A19&amp;"-"&amp;A30</f>
        <v>Sum of Lines 1-12</v>
      </c>
      <c r="L41" s="131"/>
      <c r="M41" s="131"/>
      <c r="N41" s="131"/>
      <c r="O41" s="72"/>
    </row>
    <row r="42" spans="1:16" x14ac:dyDescent="0.25">
      <c r="A42" s="144" t="str">
        <f>A19&amp;$G$18</f>
        <v>1(b)</v>
      </c>
      <c r="B42" s="69" t="str">
        <f>'2026-07-31 Tax Depr-20YR'!L$6&amp;" Line "&amp;'2026-07-31 Tax Depr-20YR'!$A$24&amp;" Column "&amp;'2026-07-31 Tax Depr-20YR'!$F$17</f>
        <v>Page 13 of 17 Line 5 Column (a)</v>
      </c>
      <c r="C42" s="69"/>
      <c r="D42" s="144" t="str">
        <f>A25&amp;$G$18</f>
        <v>7(b)</v>
      </c>
      <c r="E42" s="69" t="str">
        <f>'2028-07-31 Tax Depr-20YR'!H$6&amp;" Line "&amp;'2028-07-31 Tax Depr-20YR'!$A$24&amp;" Column "&amp;'2028-07-31 Tax Depr-20YR'!$F$17</f>
        <v>Page 15 of 17 Line 5 Column (a)</v>
      </c>
      <c r="F42" s="69"/>
      <c r="G42" s="108"/>
      <c r="H42" s="108"/>
      <c r="I42" s="131"/>
      <c r="J42" s="144">
        <f>+A34</f>
        <v>14</v>
      </c>
      <c r="K42" s="69" t="str">
        <f>"Sum of Lines "&amp;A20&amp;", "&amp;A23&amp;", "&amp;A26&amp;", "&amp;A29&amp;""</f>
        <v>Sum of Lines 2, 5, 8, 11</v>
      </c>
      <c r="L42" s="131"/>
      <c r="M42" s="131"/>
      <c r="N42" s="131"/>
      <c r="O42" s="72"/>
    </row>
    <row r="43" spans="1:16" x14ac:dyDescent="0.25">
      <c r="A43" s="144" t="str">
        <f>A19&amp;I$18</f>
        <v>1(c)</v>
      </c>
      <c r="B43" s="69" t="str">
        <f>"Line "&amp;A19&amp;$G$18</f>
        <v>Line 1(b)</v>
      </c>
      <c r="C43" s="69"/>
      <c r="D43" s="144" t="str">
        <f>A25&amp;$M$18</f>
        <v>7(e)</v>
      </c>
      <c r="E43" s="69" t="str">
        <f>"Line "&amp;A25&amp;$G$18</f>
        <v>Line 7(b)</v>
      </c>
      <c r="F43" s="69"/>
      <c r="G43" s="108"/>
      <c r="H43" s="108"/>
      <c r="I43" s="131"/>
      <c r="J43" s="144">
        <f t="shared" ref="J43:J45" si="1">+A35</f>
        <v>15</v>
      </c>
      <c r="K43" s="69" t="str">
        <f>"Sum of Lines "&amp;A19&amp;", "&amp;A22&amp;", "&amp;A25&amp;", "&amp;A28</f>
        <v>Sum of Lines 1, 4, 7, 10</v>
      </c>
      <c r="L43" s="131"/>
      <c r="M43" s="131"/>
      <c r="N43" s="131"/>
      <c r="O43" s="72"/>
    </row>
    <row r="44" spans="1:16" x14ac:dyDescent="0.25">
      <c r="A44" s="144" t="str">
        <f>A20&amp;I$18&amp;" - "&amp;A20&amp;O18</f>
        <v>2(c) - 2(f)</v>
      </c>
      <c r="B44" s="69" t="str">
        <f>'2026-07-31 Tax Depr-20YR'!L6&amp;" Line "&amp;'2026-07-31 Tax Depr-20YR'!A31&amp;" Columns "&amp;'2026-07-31 Tax Depr-20YR'!F17&amp; " through "&amp;'2026-07-31 Tax Depr-20YR'!L17</f>
        <v>Page 13 of 17 Line 12 Columns (a) through (d)</v>
      </c>
      <c r="C44" s="69"/>
      <c r="D44" s="144" t="str">
        <f>A26&amp;M$18&amp;" - "&amp;A26&amp;O18</f>
        <v>8(e) - 8(f)</v>
      </c>
      <c r="E44" s="69" t="str">
        <f>'2028-07-31 Tax Depr-20YR'!J$6&amp;" Line "&amp;'2028-07-31 Tax Depr-20YR'!$A$31&amp;" Column "&amp;'2028-07-31 Tax Depr-20YR'!$F$17&amp; " through "&amp;'2028-07-31 Tax Depr-20YR'!H17</f>
        <v xml:space="preserve"> Line 12 Column (a) through (b)</v>
      </c>
      <c r="F44" s="69"/>
      <c r="G44" s="108"/>
      <c r="H44" s="108"/>
      <c r="I44" s="131"/>
      <c r="J44" s="144">
        <f t="shared" si="1"/>
        <v>16</v>
      </c>
      <c r="K44" s="69" t="str">
        <f>"Sum of Lines "&amp;A21&amp;", "&amp;A24&amp;", "&amp;A27&amp;", "&amp;A30</f>
        <v>Sum of Lines 3, 6, 9, 12</v>
      </c>
      <c r="L44" s="131"/>
      <c r="M44" s="131"/>
      <c r="N44" s="131"/>
      <c r="O44" s="72"/>
    </row>
    <row r="45" spans="1:16" x14ac:dyDescent="0.25">
      <c r="A45" s="144" t="str">
        <f>A21&amp;$I$18</f>
        <v>3(c)</v>
      </c>
      <c r="B45" s="69" t="str">
        <f>'2026-07-31 Tax Depr-20YR'!L$6&amp;" Line "&amp;'2026-07-31 Tax Depr-20YR'!$A$33&amp;" Column "&amp;'2026-07-31 Tax Depr-20YR'!$F$17</f>
        <v>Page 13 of 17 Line 14 Column (a)</v>
      </c>
      <c r="C45" s="69"/>
      <c r="D45" s="144" t="str">
        <f>A27&amp;$M$18</f>
        <v>9(e)</v>
      </c>
      <c r="E45" s="69" t="str">
        <f>'2028-07-31 Tax Depr-20YR'!H$6&amp;" Line "&amp;'2028-07-31 Tax Depr-20YR'!$A$33&amp;" Column "&amp;'2028-07-31 Tax Depr-20YR'!$F$17</f>
        <v>Page 15 of 17 Line 14 Column (a)</v>
      </c>
      <c r="F45" s="69"/>
      <c r="G45" s="108"/>
      <c r="H45" s="108"/>
      <c r="I45" s="131"/>
      <c r="J45" s="144">
        <f t="shared" si="1"/>
        <v>17</v>
      </c>
      <c r="K45" s="69" t="str">
        <f>"Sum of Lines "&amp;A34&amp;" thru "&amp;A36</f>
        <v>Sum of Lines 14 thru 16</v>
      </c>
      <c r="L45" s="131"/>
      <c r="M45" s="131"/>
      <c r="N45" s="131"/>
      <c r="O45" s="72"/>
    </row>
    <row r="46" spans="1:16" x14ac:dyDescent="0.25">
      <c r="A46" s="144" t="str">
        <f>A22&amp;$E$18</f>
        <v>4(a)</v>
      </c>
      <c r="B46" s="69" t="str">
        <f>'2027-07-31 Tax Depr-20YR'!J$6&amp;" Line "&amp;'2027-07-31 Tax Depr-20YR'!$A$20&amp;" Column "&amp;'2027-07-31 Tax Depr-20YR'!$F$17</f>
        <v>Page 14 of 17 Line 1 Column (a)</v>
      </c>
      <c r="C46" s="69"/>
      <c r="D46" s="144" t="str">
        <f>A28&amp;$E$18</f>
        <v>10(a)</v>
      </c>
      <c r="E46" s="69" t="str">
        <f>'2029-07-31 Tax Depr-20YR'!F$6&amp;" Line "&amp;'2029-07-31 Tax Depr-20YR'!$A$20&amp;" Column "&amp;'2029-07-31 Tax Depr-20YR'!$F$17</f>
        <v>Page 16 of 17 Line 1 Column (a)</v>
      </c>
      <c r="F46" s="108"/>
      <c r="G46" s="108"/>
      <c r="H46" s="108"/>
      <c r="I46" s="131"/>
      <c r="J46" s="131"/>
      <c r="K46" s="131"/>
      <c r="L46" s="131"/>
      <c r="M46" s="131"/>
      <c r="N46" s="131"/>
      <c r="O46" s="72"/>
    </row>
    <row r="47" spans="1:16" x14ac:dyDescent="0.25">
      <c r="A47" s="144" t="str">
        <f>A22&amp;$G$18</f>
        <v>4(b)</v>
      </c>
      <c r="B47" s="69" t="str">
        <f>'2027-07-31 Tax Depr-20YR'!J$6&amp;" Line "&amp;'2027-07-31 Tax Depr-20YR'!$A$24&amp;" Column "&amp;'2027-07-31 Tax Depr-20YR'!$F$17</f>
        <v>Page 14 of 17 Line 5 Column (a)</v>
      </c>
      <c r="C47" s="69"/>
      <c r="D47" s="144" t="str">
        <f>A28&amp;$G$18</f>
        <v>10(b)</v>
      </c>
      <c r="E47" s="69" t="str">
        <f>'2029-07-31 Tax Depr-20YR'!F$6&amp;" Line "&amp;'2029-07-31 Tax Depr-20YR'!$A$24&amp;" Column "&amp;'2029-07-31 Tax Depr-20YR'!$F$17</f>
        <v>Page 16 of 17 Line 5 Column (a)</v>
      </c>
      <c r="F47" s="108"/>
      <c r="G47" s="108"/>
      <c r="H47" s="108"/>
      <c r="I47" s="131"/>
      <c r="J47" s="131"/>
      <c r="K47" s="131"/>
      <c r="L47" s="131"/>
      <c r="M47" s="131"/>
      <c r="N47" s="131"/>
      <c r="O47" s="72"/>
      <c r="P47" s="72"/>
    </row>
    <row r="48" spans="1:16" x14ac:dyDescent="0.25">
      <c r="A48" s="144" t="str">
        <f>A22&amp;$K$18</f>
        <v>4(d)</v>
      </c>
      <c r="B48" s="69" t="str">
        <f>"Line "&amp;A22&amp;$G$18</f>
        <v>Line 4(b)</v>
      </c>
      <c r="C48" s="69"/>
      <c r="D48" s="144" t="str">
        <f>A28&amp;$O$18</f>
        <v>10(f)</v>
      </c>
      <c r="E48" s="69" t="str">
        <f>"Line "&amp;A28&amp;$G$18</f>
        <v>Line 10(b)</v>
      </c>
      <c r="F48" s="108"/>
      <c r="G48" s="108"/>
      <c r="H48" s="108"/>
      <c r="I48" s="131"/>
      <c r="J48" s="131"/>
      <c r="K48" s="131"/>
      <c r="L48" s="131"/>
      <c r="M48" s="131"/>
      <c r="N48" s="131"/>
      <c r="O48" s="72"/>
      <c r="P48" s="72"/>
    </row>
    <row r="49" spans="1:16" x14ac:dyDescent="0.25">
      <c r="A49" s="144" t="str">
        <f>A23&amp;K$18&amp;" - "&amp;A23&amp;O18</f>
        <v>5(d) - 5(f)</v>
      </c>
      <c r="B49" s="69" t="str">
        <f>'2027-07-31 Tax Depr-20YR'!J$6&amp;" Line "&amp;'2027-07-31 Tax Depr-20YR'!$A$31&amp;" Column "&amp;'2027-07-31 Tax Depr-20YR'!$F$17&amp; " through "&amp;'2027-07-31 Tax Depr-20YR'!J17</f>
        <v>Page 14 of 17 Line 12 Column (a) through (c)</v>
      </c>
      <c r="C49" s="69"/>
      <c r="D49" s="144" t="str">
        <f>A29&amp;O$18</f>
        <v>11(f)</v>
      </c>
      <c r="E49" s="69" t="str">
        <f>'2029-07-31 Tax Depr-20YR'!F$6&amp;" Line "&amp;'2029-07-31 Tax Depr-20YR'!$A$31&amp;" Column "&amp;'2029-07-31 Tax Depr-20YR'!$F$17</f>
        <v>Page 16 of 17 Line 12 Column (a)</v>
      </c>
      <c r="F49" s="108"/>
      <c r="G49" s="108"/>
      <c r="H49" s="108"/>
      <c r="I49" s="131"/>
      <c r="J49" s="131"/>
      <c r="K49" s="131"/>
      <c r="L49" s="131"/>
      <c r="M49" s="131"/>
      <c r="N49" s="131"/>
      <c r="O49" s="72"/>
      <c r="P49" s="72"/>
    </row>
    <row r="50" spans="1:16" x14ac:dyDescent="0.25">
      <c r="A50" s="144" t="str">
        <f>A24&amp;$K$18</f>
        <v>6(d)</v>
      </c>
      <c r="B50" s="69" t="str">
        <f>'2027-07-31 Tax Depr-20YR'!J$6&amp;" Line "&amp;'2027-07-31 Tax Depr-20YR'!$A$33&amp;" Column "&amp;'2027-07-31 Tax Depr-20YR'!$F$17</f>
        <v>Page 14 of 17 Line 14 Column (a)</v>
      </c>
      <c r="C50" s="69"/>
      <c r="D50" s="144" t="str">
        <f>A30&amp;$O$18</f>
        <v>12(f)</v>
      </c>
      <c r="E50" s="69" t="str">
        <f>'2029-07-31 Tax Depr-20YR'!F$6&amp;" Line "&amp;'2029-07-31 Tax Depr-20YR'!$A$33&amp;" Column "&amp;'2029-07-31 Tax Depr-20YR'!$F$17</f>
        <v>Page 16 of 17 Line 14 Column (a)</v>
      </c>
      <c r="F50" s="108"/>
      <c r="G50" s="108"/>
      <c r="H50" s="108"/>
      <c r="I50" s="131"/>
      <c r="J50" s="120"/>
      <c r="K50" s="120"/>
      <c r="L50" s="120"/>
      <c r="M50" s="120"/>
      <c r="N50" s="131"/>
      <c r="O50" s="72"/>
      <c r="P50" s="72"/>
    </row>
    <row r="51" spans="1:16" x14ac:dyDescent="0.25">
      <c r="D51" s="64"/>
      <c r="E51" s="131"/>
      <c r="F51" s="108"/>
      <c r="G51" s="108"/>
      <c r="H51" s="108"/>
      <c r="I51" s="131"/>
      <c r="J51" s="120"/>
      <c r="K51" s="120"/>
      <c r="L51" s="120"/>
      <c r="M51" s="120"/>
      <c r="N51" s="131"/>
      <c r="O51" s="72"/>
      <c r="P51" s="72"/>
    </row>
    <row r="52" spans="1:16" x14ac:dyDescent="0.25">
      <c r="D52" s="64"/>
      <c r="E52" s="131"/>
      <c r="F52" s="108"/>
      <c r="G52" s="108"/>
      <c r="H52" s="108"/>
      <c r="I52" s="131"/>
      <c r="J52" s="120"/>
      <c r="K52" s="120"/>
      <c r="L52" s="120"/>
      <c r="M52" s="120"/>
      <c r="N52" s="131"/>
      <c r="O52" s="72"/>
      <c r="P52" s="72"/>
    </row>
    <row r="53" spans="1:16" x14ac:dyDescent="0.25">
      <c r="D53" s="64"/>
      <c r="E53" s="131"/>
      <c r="F53" s="108"/>
      <c r="G53" s="108"/>
      <c r="H53" s="108"/>
      <c r="I53" s="131"/>
      <c r="J53" s="117"/>
      <c r="K53" s="117"/>
      <c r="L53" s="117"/>
      <c r="M53" s="117"/>
      <c r="N53" s="131"/>
      <c r="O53" s="72"/>
      <c r="P53" s="72"/>
    </row>
    <row r="54" spans="1:16" x14ac:dyDescent="0.25">
      <c r="D54" s="64"/>
      <c r="E54" s="131"/>
      <c r="F54" s="108"/>
      <c r="G54" s="108"/>
      <c r="H54" s="108"/>
      <c r="I54" s="131"/>
      <c r="J54" s="117"/>
      <c r="K54" s="117"/>
      <c r="L54" s="117"/>
      <c r="M54" s="117"/>
      <c r="N54" s="131"/>
      <c r="O54" s="72"/>
      <c r="P54" s="72"/>
    </row>
    <row r="55" spans="1:16" x14ac:dyDescent="0.25">
      <c r="D55" s="117"/>
      <c r="E55" s="131"/>
      <c r="F55" s="120"/>
      <c r="G55" s="120"/>
      <c r="H55" s="120"/>
      <c r="I55" s="120"/>
      <c r="J55" s="117"/>
      <c r="K55" s="117"/>
      <c r="L55" s="117"/>
      <c r="M55" s="117"/>
      <c r="N55" s="120"/>
      <c r="O55" s="120"/>
      <c r="P55" s="120"/>
    </row>
    <row r="56" spans="1:16" x14ac:dyDescent="0.25">
      <c r="D56" s="117"/>
      <c r="E56" s="131"/>
      <c r="F56" s="120"/>
      <c r="G56" s="120"/>
      <c r="H56" s="120"/>
      <c r="I56" s="120"/>
      <c r="J56" s="117"/>
      <c r="K56" s="117"/>
      <c r="L56" s="117"/>
      <c r="M56" s="117"/>
      <c r="N56" s="120"/>
      <c r="O56" s="120"/>
      <c r="P56" s="120"/>
    </row>
    <row r="57" spans="1:16" x14ac:dyDescent="0.25">
      <c r="A57" s="126"/>
      <c r="B57" s="69"/>
      <c r="C57" s="69"/>
      <c r="D57" s="117"/>
      <c r="E57" s="131"/>
      <c r="F57" s="120"/>
      <c r="G57" s="120"/>
      <c r="H57" s="120"/>
      <c r="I57" s="120"/>
      <c r="N57" s="120"/>
      <c r="O57" s="120"/>
      <c r="P57" s="120"/>
    </row>
    <row r="58" spans="1:16" x14ac:dyDescent="0.25">
      <c r="A58" s="15"/>
      <c r="B58" s="69"/>
      <c r="C58" s="69"/>
      <c r="D58" s="117"/>
      <c r="E58" s="131"/>
      <c r="F58" s="117"/>
      <c r="G58" s="117"/>
      <c r="H58" s="117"/>
      <c r="I58" s="117"/>
      <c r="N58" s="117"/>
      <c r="O58" s="117"/>
      <c r="P58" s="117"/>
    </row>
    <row r="59" spans="1:16" x14ac:dyDescent="0.25">
      <c r="A59" s="126"/>
      <c r="B59" s="69"/>
      <c r="C59" s="69"/>
      <c r="D59" s="117"/>
      <c r="E59" s="131"/>
      <c r="F59" s="117"/>
      <c r="G59" s="117"/>
      <c r="H59" s="117"/>
      <c r="I59" s="117"/>
      <c r="N59" s="117"/>
      <c r="O59" s="117"/>
      <c r="P59" s="117"/>
    </row>
    <row r="60" spans="1:16" x14ac:dyDescent="0.25">
      <c r="A60" s="126"/>
      <c r="B60" s="69"/>
      <c r="C60" s="69"/>
      <c r="D60" s="117"/>
      <c r="E60" s="117"/>
      <c r="F60" s="117"/>
      <c r="G60" s="117"/>
      <c r="H60" s="117"/>
      <c r="I60" s="117"/>
      <c r="N60" s="117"/>
      <c r="O60" s="117"/>
      <c r="P60" s="117"/>
    </row>
    <row r="61" spans="1:16" x14ac:dyDescent="0.25">
      <c r="A61" s="126"/>
      <c r="B61" s="117"/>
      <c r="C61" s="117"/>
      <c r="D61" s="117"/>
      <c r="E61" s="117"/>
      <c r="F61" s="117"/>
      <c r="G61" s="117"/>
      <c r="H61" s="117"/>
      <c r="I61" s="117"/>
      <c r="N61" s="117"/>
      <c r="O61" s="117"/>
      <c r="P61" s="117"/>
    </row>
  </sheetData>
  <mergeCells count="2">
    <mergeCell ref="I15:O15"/>
    <mergeCell ref="A10:O10"/>
  </mergeCells>
  <pageMargins left="0.7" right="0.7" top="0.75" bottom="0.75" header="0.3" footer="0.3"/>
  <pageSetup scale="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E9271-5CF4-48D1-AE3E-83898FA4BA6D}">
  <sheetPr>
    <pageSetUpPr fitToPage="1"/>
  </sheetPr>
  <dimension ref="A1:N39"/>
  <sheetViews>
    <sheetView topLeftCell="C1" workbookViewId="0">
      <selection activeCell="C1" sqref="C1:L6"/>
    </sheetView>
  </sheetViews>
  <sheetFormatPr defaultColWidth="9.140625" defaultRowHeight="15.75" x14ac:dyDescent="0.25"/>
  <cols>
    <col min="1" max="2" width="4.42578125" style="21" customWidth="1"/>
    <col min="3" max="3" width="63.5703125" style="21" customWidth="1"/>
    <col min="4" max="4" width="37" style="21" customWidth="1"/>
    <col min="5" max="5" width="3.7109375" style="21" customWidth="1"/>
    <col min="6" max="6" width="16.28515625" style="21" customWidth="1"/>
    <col min="7" max="7" width="3.7109375" style="21" customWidth="1"/>
    <col min="8" max="8" width="15.7109375" style="21" customWidth="1"/>
    <col min="9" max="9" width="3.7109375" style="21" customWidth="1"/>
    <col min="10" max="10" width="17.28515625" style="21" customWidth="1"/>
    <col min="11" max="11" width="2.7109375" style="21" customWidth="1"/>
    <col min="12" max="12" width="17" style="21" customWidth="1"/>
    <col min="13" max="16384" width="9.140625" style="21"/>
  </cols>
  <sheetData>
    <row r="1" spans="1:14" x14ac:dyDescent="0.25">
      <c r="A1" s="59"/>
      <c r="B1" s="59"/>
      <c r="C1" s="115"/>
      <c r="D1" s="115"/>
      <c r="E1" s="115"/>
      <c r="F1" s="115"/>
      <c r="G1" s="115"/>
      <c r="H1" s="115"/>
      <c r="I1" s="115"/>
      <c r="J1" s="132"/>
      <c r="K1" s="132"/>
      <c r="L1" s="110" t="s">
        <v>20</v>
      </c>
    </row>
    <row r="2" spans="1:14" x14ac:dyDescent="0.25">
      <c r="A2" s="59"/>
      <c r="B2" s="59"/>
      <c r="C2" s="115"/>
      <c r="D2" s="115"/>
      <c r="E2" s="115"/>
      <c r="F2" s="115"/>
      <c r="G2" s="115"/>
      <c r="H2" s="115"/>
      <c r="I2" s="115"/>
      <c r="J2" s="132"/>
      <c r="K2" s="132"/>
      <c r="L2" s="110" t="str">
        <f>+'ADIT 1 Electric'!$G$2</f>
        <v>d/b/a RHODE ISLAND ENERGY</v>
      </c>
    </row>
    <row r="3" spans="1:14" x14ac:dyDescent="0.25">
      <c r="A3" s="59"/>
      <c r="B3" s="59"/>
      <c r="C3" s="115"/>
      <c r="D3" s="115"/>
      <c r="E3" s="115"/>
      <c r="F3" s="115"/>
      <c r="G3" s="115"/>
      <c r="H3" s="115"/>
      <c r="I3" s="115"/>
      <c r="J3" s="132"/>
      <c r="K3" s="132"/>
      <c r="L3" s="110" t="str">
        <f>+'ADIT 1 Electric'!$G$3</f>
        <v>RIPUC Docket No. 25-45-GE</v>
      </c>
    </row>
    <row r="4" spans="1:14" hidden="1" x14ac:dyDescent="0.25">
      <c r="A4" s="59"/>
      <c r="B4" s="59"/>
      <c r="C4" s="115"/>
      <c r="D4" s="115"/>
      <c r="E4" s="115"/>
      <c r="F4" s="115"/>
      <c r="G4" s="115"/>
      <c r="H4" s="115"/>
      <c r="I4" s="115"/>
      <c r="J4" s="132"/>
      <c r="K4" s="132"/>
      <c r="L4" s="110" t="str">
        <f>+'ADIT 1 Electric'!$G$4</f>
        <v>Compliance Attachment 2</v>
      </c>
    </row>
    <row r="5" spans="1:14" x14ac:dyDescent="0.25">
      <c r="A5" s="59"/>
      <c r="B5" s="59"/>
      <c r="C5" s="115"/>
      <c r="D5" s="115"/>
      <c r="E5" s="115"/>
      <c r="F5" s="115"/>
      <c r="G5" s="115"/>
      <c r="H5" s="115"/>
      <c r="I5" s="115"/>
      <c r="J5" s="132"/>
      <c r="K5" s="132"/>
      <c r="L5" s="110" t="str">
        <f>+'ADIT 1 Electric'!$G$5</f>
        <v>Schedule NH-3-ELEC</v>
      </c>
    </row>
    <row r="6" spans="1:14" x14ac:dyDescent="0.25">
      <c r="A6" s="59"/>
      <c r="B6" s="59"/>
      <c r="C6" s="115"/>
      <c r="D6" s="115"/>
      <c r="E6" s="115"/>
      <c r="F6" s="115"/>
      <c r="G6" s="115"/>
      <c r="H6" s="115"/>
      <c r="I6" s="115"/>
      <c r="J6" s="132"/>
      <c r="K6" s="132"/>
      <c r="L6" s="110" t="s">
        <v>270</v>
      </c>
    </row>
    <row r="7" spans="1:14" x14ac:dyDescent="0.25">
      <c r="A7" s="59"/>
      <c r="B7" s="59"/>
      <c r="C7" s="59"/>
      <c r="D7" s="59"/>
      <c r="E7" s="59"/>
      <c r="F7" s="59"/>
      <c r="G7" s="59"/>
      <c r="H7" s="59"/>
      <c r="I7" s="59"/>
      <c r="J7" s="133"/>
      <c r="K7" s="133"/>
      <c r="L7" s="59"/>
    </row>
    <row r="8" spans="1:14" x14ac:dyDescent="0.25">
      <c r="A8" s="117"/>
      <c r="B8" s="117"/>
      <c r="C8" s="117"/>
      <c r="D8" s="117"/>
      <c r="E8" s="117"/>
      <c r="F8" s="117"/>
      <c r="G8" s="117"/>
      <c r="H8" s="117"/>
      <c r="I8" s="117"/>
      <c r="J8" s="117"/>
      <c r="K8" s="117"/>
      <c r="L8" s="117"/>
    </row>
    <row r="9" spans="1:14" x14ac:dyDescent="0.25">
      <c r="A9" s="145"/>
      <c r="B9" s="145"/>
      <c r="C9" s="146"/>
      <c r="D9" s="146"/>
      <c r="E9" s="146"/>
      <c r="F9" s="146"/>
      <c r="G9" s="146"/>
      <c r="H9" s="146"/>
      <c r="I9" s="146"/>
      <c r="J9" s="146"/>
      <c r="K9" s="146"/>
      <c r="L9" s="146"/>
    </row>
    <row r="10" spans="1:14" x14ac:dyDescent="0.25">
      <c r="A10" s="353" t="str">
        <f>+'ADIT 1 Electric'!$A$10</f>
        <v>The Narragansett Electric Company d/b/a Rhode Island Energy</v>
      </c>
      <c r="B10" s="353"/>
      <c r="C10" s="353"/>
      <c r="D10" s="353"/>
      <c r="E10" s="353"/>
      <c r="F10" s="353"/>
      <c r="G10" s="353"/>
      <c r="H10" s="353"/>
      <c r="I10" s="353"/>
      <c r="J10" s="353"/>
      <c r="K10" s="353"/>
      <c r="L10" s="353"/>
    </row>
    <row r="11" spans="1:14" x14ac:dyDescent="0.25">
      <c r="A11" s="146" t="s">
        <v>271</v>
      </c>
      <c r="B11" s="146"/>
      <c r="C11" s="146"/>
      <c r="D11" s="146"/>
      <c r="E11" s="146"/>
      <c r="F11" s="146"/>
      <c r="G11" s="146"/>
      <c r="H11" s="146"/>
      <c r="I11" s="146"/>
      <c r="J11" s="146"/>
      <c r="K11" s="146"/>
      <c r="L11" s="146"/>
    </row>
    <row r="12" spans="1:14" x14ac:dyDescent="0.25">
      <c r="A12" s="146" t="s">
        <v>233</v>
      </c>
      <c r="B12" s="146"/>
      <c r="C12" s="146"/>
      <c r="D12" s="146"/>
      <c r="E12" s="146"/>
      <c r="F12" s="146"/>
      <c r="G12" s="146"/>
      <c r="H12" s="146"/>
      <c r="I12" s="146"/>
      <c r="J12" s="146"/>
      <c r="K12" s="146"/>
      <c r="L12" s="146"/>
    </row>
    <row r="13" spans="1:14" x14ac:dyDescent="0.25">
      <c r="A13" s="121"/>
      <c r="B13" s="121"/>
      <c r="C13" s="121"/>
      <c r="D13" s="121"/>
      <c r="E13" s="121"/>
      <c r="F13" s="121"/>
      <c r="G13" s="121"/>
      <c r="H13" s="121"/>
      <c r="I13" s="121"/>
      <c r="J13" s="146"/>
      <c r="K13" s="146"/>
      <c r="L13" s="146"/>
    </row>
    <row r="14" spans="1:14" x14ac:dyDescent="0.25">
      <c r="A14" s="121"/>
      <c r="B14" s="121"/>
      <c r="C14" s="121"/>
      <c r="D14" s="121"/>
      <c r="E14" s="121"/>
      <c r="F14" s="121"/>
      <c r="G14" s="121"/>
      <c r="H14" s="121"/>
      <c r="I14" s="121"/>
      <c r="J14" s="146"/>
      <c r="K14" s="146"/>
      <c r="L14" s="146"/>
    </row>
    <row r="15" spans="1:14" x14ac:dyDescent="0.25">
      <c r="A15" s="24" t="s">
        <v>1</v>
      </c>
      <c r="B15" s="121"/>
      <c r="C15" s="121"/>
      <c r="D15" s="121"/>
      <c r="E15" s="121"/>
      <c r="F15" s="15" t="s">
        <v>198</v>
      </c>
      <c r="G15" s="121"/>
      <c r="H15" s="24" t="s">
        <v>135</v>
      </c>
      <c r="I15" s="121"/>
      <c r="J15" s="24" t="s">
        <v>136</v>
      </c>
      <c r="K15" s="24"/>
      <c r="L15" s="62" t="s">
        <v>137</v>
      </c>
    </row>
    <row r="16" spans="1:14" x14ac:dyDescent="0.25">
      <c r="A16" s="25" t="s">
        <v>530</v>
      </c>
      <c r="B16" s="121"/>
      <c r="C16" s="121"/>
      <c r="D16" s="25" t="s">
        <v>86</v>
      </c>
      <c r="E16" s="121"/>
      <c r="F16" s="63">
        <v>46234</v>
      </c>
      <c r="H16" s="63">
        <f>EDATE(F16,12)</f>
        <v>46599</v>
      </c>
      <c r="I16" s="121"/>
      <c r="J16" s="63">
        <f>EDATE(H16,12)</f>
        <v>46965</v>
      </c>
      <c r="L16" s="63">
        <f>EDATE(J16,12)</f>
        <v>47330</v>
      </c>
      <c r="N16" s="163" t="s">
        <v>272</v>
      </c>
    </row>
    <row r="17" spans="1:14" x14ac:dyDescent="0.25">
      <c r="A17" s="147"/>
      <c r="B17" s="147"/>
      <c r="C17" s="121"/>
      <c r="E17" s="121"/>
      <c r="F17" s="148" t="s">
        <v>8</v>
      </c>
      <c r="G17" s="148"/>
      <c r="H17" s="148" t="s">
        <v>9</v>
      </c>
      <c r="I17" s="121"/>
      <c r="J17" s="148" t="s">
        <v>10</v>
      </c>
      <c r="K17" s="121"/>
      <c r="L17" s="148" t="s">
        <v>25</v>
      </c>
    </row>
    <row r="18" spans="1:14" x14ac:dyDescent="0.25">
      <c r="A18" s="148"/>
      <c r="B18" s="148"/>
      <c r="C18" s="149"/>
      <c r="D18" s="150"/>
      <c r="E18" s="150"/>
      <c r="F18" s="150"/>
      <c r="G18" s="150"/>
      <c r="H18" s="150"/>
      <c r="I18" s="150"/>
      <c r="J18" s="151"/>
      <c r="K18" s="151"/>
      <c r="L18" s="151"/>
    </row>
    <row r="19" spans="1:14" x14ac:dyDescent="0.25">
      <c r="A19" s="148"/>
      <c r="B19" s="148"/>
      <c r="C19" s="150" t="s">
        <v>234</v>
      </c>
      <c r="D19" s="150"/>
      <c r="E19" s="150"/>
      <c r="F19" s="150"/>
      <c r="G19" s="150"/>
    </row>
    <row r="20" spans="1:14" x14ac:dyDescent="0.25">
      <c r="A20" s="148">
        <f t="shared" ref="A20:A35" si="0">+A19+1</f>
        <v>1</v>
      </c>
      <c r="B20" s="148"/>
      <c r="C20" s="121" t="s">
        <v>235</v>
      </c>
      <c r="D20" s="98" t="s">
        <v>273</v>
      </c>
      <c r="E20" s="148"/>
      <c r="F20" s="152">
        <v>74766083</v>
      </c>
      <c r="G20" s="148"/>
    </row>
    <row r="21" spans="1:14" x14ac:dyDescent="0.25">
      <c r="A21" s="148">
        <f t="shared" si="0"/>
        <v>2</v>
      </c>
      <c r="B21" s="148"/>
      <c r="C21" s="121" t="s">
        <v>237</v>
      </c>
      <c r="D21" s="148"/>
      <c r="E21" s="148"/>
      <c r="F21" s="153">
        <v>0</v>
      </c>
      <c r="G21" s="148"/>
    </row>
    <row r="22" spans="1:14" x14ac:dyDescent="0.25">
      <c r="A22" s="148">
        <f t="shared" si="0"/>
        <v>3</v>
      </c>
      <c r="B22" s="148"/>
      <c r="C22" s="121" t="s">
        <v>238</v>
      </c>
      <c r="D22" s="148" t="s">
        <v>239</v>
      </c>
      <c r="E22" s="148"/>
      <c r="F22" s="152">
        <f>SUM(F20:F21)</f>
        <v>74766083</v>
      </c>
      <c r="G22" s="148"/>
    </row>
    <row r="23" spans="1:14" x14ac:dyDescent="0.25">
      <c r="A23" s="148">
        <f t="shared" si="0"/>
        <v>4</v>
      </c>
      <c r="B23" s="148"/>
      <c r="C23" s="121" t="s">
        <v>240</v>
      </c>
      <c r="D23" s="148" t="s">
        <v>241</v>
      </c>
      <c r="E23" s="148"/>
      <c r="F23" s="154">
        <f>+'10 Electric Repairs Rate'!$G$16</f>
        <v>0.4012</v>
      </c>
      <c r="G23" s="148"/>
      <c r="N23" s="163" t="s">
        <v>274</v>
      </c>
    </row>
    <row r="24" spans="1:14" x14ac:dyDescent="0.25">
      <c r="A24" s="148">
        <f t="shared" si="0"/>
        <v>5</v>
      </c>
      <c r="B24" s="148"/>
      <c r="C24" s="121" t="s">
        <v>234</v>
      </c>
      <c r="D24" s="148" t="s">
        <v>242</v>
      </c>
      <c r="E24" s="148"/>
      <c r="F24" s="152">
        <f>+F22*F23</f>
        <v>29996152.499600001</v>
      </c>
      <c r="G24" s="148"/>
    </row>
    <row r="25" spans="1:14" x14ac:dyDescent="0.25">
      <c r="A25" s="148">
        <f t="shared" si="0"/>
        <v>6</v>
      </c>
      <c r="B25" s="148"/>
      <c r="C25" s="121"/>
      <c r="D25" s="148"/>
      <c r="E25" s="148"/>
      <c r="F25" s="121"/>
      <c r="G25" s="148"/>
    </row>
    <row r="26" spans="1:14" x14ac:dyDescent="0.25">
      <c r="A26" s="148">
        <f t="shared" si="0"/>
        <v>7</v>
      </c>
      <c r="B26" s="148"/>
      <c r="C26" s="150" t="s">
        <v>243</v>
      </c>
      <c r="D26" s="147"/>
      <c r="E26" s="147"/>
      <c r="F26" s="121"/>
      <c r="G26" s="147"/>
    </row>
    <row r="27" spans="1:14" x14ac:dyDescent="0.25">
      <c r="A27" s="148">
        <f t="shared" si="0"/>
        <v>8</v>
      </c>
      <c r="B27" s="148"/>
      <c r="C27" s="121" t="s">
        <v>244</v>
      </c>
      <c r="D27" s="148" t="s">
        <v>245</v>
      </c>
      <c r="E27" s="148"/>
      <c r="F27" s="152">
        <f>+F20</f>
        <v>74766083</v>
      </c>
      <c r="G27" s="148"/>
    </row>
    <row r="28" spans="1:14" x14ac:dyDescent="0.25">
      <c r="A28" s="148">
        <f t="shared" si="0"/>
        <v>9</v>
      </c>
      <c r="B28" s="148"/>
      <c r="C28" s="121" t="s">
        <v>246</v>
      </c>
      <c r="D28" s="148" t="s">
        <v>95</v>
      </c>
      <c r="E28" s="148"/>
      <c r="F28" s="152">
        <f>-+F24</f>
        <v>-29996152.499600001</v>
      </c>
      <c r="G28" s="148"/>
    </row>
    <row r="29" spans="1:14" x14ac:dyDescent="0.25">
      <c r="A29" s="148">
        <f t="shared" si="0"/>
        <v>10</v>
      </c>
      <c r="B29" s="148"/>
      <c r="C29" s="121" t="s">
        <v>267</v>
      </c>
      <c r="D29" s="148" t="s">
        <v>248</v>
      </c>
      <c r="E29" s="148"/>
      <c r="F29" s="155">
        <f>SUM(F27:F28)</f>
        <v>44769930.500399999</v>
      </c>
      <c r="G29" s="148"/>
      <c r="H29" s="152">
        <f>+F29</f>
        <v>44769930.500399999</v>
      </c>
      <c r="I29" s="148"/>
      <c r="J29" s="152">
        <f>+H29</f>
        <v>44769930.500399999</v>
      </c>
      <c r="L29" s="152">
        <f>+J29</f>
        <v>44769930.500399999</v>
      </c>
    </row>
    <row r="30" spans="1:14" x14ac:dyDescent="0.25">
      <c r="A30" s="148">
        <f t="shared" si="0"/>
        <v>11</v>
      </c>
      <c r="B30" s="148"/>
      <c r="C30" s="121" t="s">
        <v>275</v>
      </c>
      <c r="D30" s="148"/>
      <c r="E30" s="148"/>
      <c r="F30" s="156">
        <v>3.7499999999999999E-2</v>
      </c>
      <c r="G30" s="148"/>
      <c r="H30" s="156">
        <v>7.2190000000000004E-2</v>
      </c>
      <c r="I30" s="148"/>
      <c r="J30" s="156">
        <v>6.6769999999999996E-2</v>
      </c>
      <c r="L30" s="156">
        <v>6.1769999999999999E-2</v>
      </c>
    </row>
    <row r="31" spans="1:14" x14ac:dyDescent="0.25">
      <c r="A31" s="148">
        <f t="shared" si="0"/>
        <v>12</v>
      </c>
      <c r="B31" s="148"/>
      <c r="C31" s="121" t="s">
        <v>243</v>
      </c>
      <c r="D31" s="148" t="s">
        <v>250</v>
      </c>
      <c r="E31" s="148"/>
      <c r="F31" s="152">
        <f>ROUND(F29*F30,0)</f>
        <v>1678872</v>
      </c>
      <c r="G31" s="148"/>
      <c r="H31" s="152">
        <f>ROUND(H29*H30,0)</f>
        <v>3231941</v>
      </c>
      <c r="I31" s="148"/>
      <c r="J31" s="152">
        <f>ROUND(J29*J30,0)</f>
        <v>2989288</v>
      </c>
      <c r="L31" s="152">
        <f>ROUND(L29*L30,0)</f>
        <v>2765439</v>
      </c>
    </row>
    <row r="32" spans="1:14" x14ac:dyDescent="0.25">
      <c r="A32" s="148">
        <f t="shared" si="0"/>
        <v>13</v>
      </c>
      <c r="B32" s="148"/>
      <c r="C32" s="121"/>
      <c r="D32" s="148"/>
      <c r="E32" s="148"/>
      <c r="F32" s="121"/>
      <c r="G32" s="148"/>
      <c r="H32" s="121"/>
      <c r="I32" s="148"/>
      <c r="J32" s="121"/>
      <c r="L32" s="121"/>
    </row>
    <row r="33" spans="1:12" x14ac:dyDescent="0.25">
      <c r="A33" s="148">
        <f t="shared" si="0"/>
        <v>14</v>
      </c>
      <c r="B33" s="148"/>
      <c r="C33" s="121" t="s">
        <v>230</v>
      </c>
      <c r="D33" s="97" t="s">
        <v>871</v>
      </c>
      <c r="E33" s="148"/>
      <c r="F33" s="100">
        <v>9338283.7666999996</v>
      </c>
      <c r="G33" s="148"/>
      <c r="H33" s="152"/>
      <c r="I33" s="148"/>
      <c r="J33" s="152"/>
      <c r="L33" s="152"/>
    </row>
    <row r="34" spans="1:12" x14ac:dyDescent="0.25">
      <c r="A34" s="148">
        <f t="shared" si="0"/>
        <v>15</v>
      </c>
      <c r="B34" s="148"/>
      <c r="C34" s="121"/>
      <c r="D34" s="148"/>
      <c r="E34" s="148"/>
      <c r="F34" s="157"/>
      <c r="G34" s="148"/>
      <c r="H34" s="157"/>
      <c r="I34" s="148"/>
      <c r="J34" s="157"/>
      <c r="L34" s="157"/>
    </row>
    <row r="35" spans="1:12" ht="16.5" thickBot="1" x14ac:dyDescent="0.3">
      <c r="A35" s="148">
        <f t="shared" si="0"/>
        <v>16</v>
      </c>
      <c r="B35" s="148"/>
      <c r="C35" s="121" t="s">
        <v>197</v>
      </c>
      <c r="D35" s="148" t="s">
        <v>252</v>
      </c>
      <c r="E35" s="148"/>
      <c r="F35" s="158">
        <f>+F31+F24+F33</f>
        <v>41013308.2663</v>
      </c>
      <c r="G35" s="148"/>
      <c r="H35" s="158">
        <f>+H31+H24+H33</f>
        <v>3231941</v>
      </c>
      <c r="I35" s="148"/>
      <c r="J35" s="158">
        <f>+J31+J24+J33</f>
        <v>2989288</v>
      </c>
      <c r="L35" s="158">
        <f>+L31+L24+L33</f>
        <v>2765439</v>
      </c>
    </row>
    <row r="36" spans="1:12" ht="16.5" thickTop="1" x14ac:dyDescent="0.25"/>
    <row r="37" spans="1:12" x14ac:dyDescent="0.25">
      <c r="A37" s="91"/>
    </row>
    <row r="38" spans="1:12" x14ac:dyDescent="0.25">
      <c r="A38" s="148"/>
      <c r="B38" s="148"/>
    </row>
    <row r="39" spans="1:12" x14ac:dyDescent="0.25">
      <c r="A39" s="148"/>
    </row>
  </sheetData>
  <mergeCells count="1">
    <mergeCell ref="A10:L10"/>
  </mergeCells>
  <pageMargins left="0.7" right="0.7" top="0.75" bottom="0.75" header="0.3" footer="0.3"/>
  <pageSetup scale="5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68EB6-3551-4B31-BC16-122F8B1393AC}">
  <sheetPr>
    <pageSetUpPr fitToPage="1"/>
  </sheetPr>
  <dimension ref="A1:J39"/>
  <sheetViews>
    <sheetView topLeftCell="C1" workbookViewId="0">
      <selection activeCell="C1" sqref="C1:J6"/>
    </sheetView>
  </sheetViews>
  <sheetFormatPr defaultColWidth="9.140625" defaultRowHeight="15.75" x14ac:dyDescent="0.25"/>
  <cols>
    <col min="1" max="2" width="4.7109375" style="21" customWidth="1"/>
    <col min="3" max="3" width="62.85546875" style="21" customWidth="1"/>
    <col min="4" max="4" width="40.7109375" style="21" customWidth="1"/>
    <col min="5" max="5" width="3.28515625" style="21" customWidth="1"/>
    <col min="6" max="6" width="17.28515625" style="21" customWidth="1"/>
    <col min="7" max="7" width="2.7109375" style="21" customWidth="1"/>
    <col min="8" max="8" width="17.5703125" style="21" customWidth="1"/>
    <col min="9" max="9" width="2.7109375" style="21" customWidth="1"/>
    <col min="10" max="10" width="17.5703125" style="21" customWidth="1"/>
    <col min="11" max="16384" width="9.140625" style="21"/>
  </cols>
  <sheetData>
    <row r="1" spans="1:10" x14ac:dyDescent="0.25">
      <c r="A1" s="59"/>
      <c r="B1" s="59"/>
      <c r="C1" s="115"/>
      <c r="D1" s="115"/>
      <c r="E1" s="115"/>
      <c r="F1" s="132"/>
      <c r="G1" s="132"/>
      <c r="H1" s="115"/>
      <c r="I1" s="132"/>
      <c r="J1" s="110" t="s">
        <v>20</v>
      </c>
    </row>
    <row r="2" spans="1:10" x14ac:dyDescent="0.25">
      <c r="A2" s="59"/>
      <c r="B2" s="59"/>
      <c r="C2" s="115"/>
      <c r="D2" s="115"/>
      <c r="E2" s="115"/>
      <c r="F2" s="132"/>
      <c r="G2" s="132"/>
      <c r="H2" s="115"/>
      <c r="I2" s="132"/>
      <c r="J2" s="110" t="str">
        <f>+'ADIT 1 Electric'!$G$2</f>
        <v>d/b/a RHODE ISLAND ENERGY</v>
      </c>
    </row>
    <row r="3" spans="1:10" x14ac:dyDescent="0.25">
      <c r="A3" s="59"/>
      <c r="B3" s="59"/>
      <c r="C3" s="115"/>
      <c r="D3" s="115"/>
      <c r="E3" s="115"/>
      <c r="F3" s="132"/>
      <c r="G3" s="132"/>
      <c r="H3" s="115"/>
      <c r="I3" s="132"/>
      <c r="J3" s="110" t="str">
        <f>+'ADIT 1 Electric'!$G$3</f>
        <v>RIPUC Docket No. 25-45-GE</v>
      </c>
    </row>
    <row r="4" spans="1:10" hidden="1" x14ac:dyDescent="0.25">
      <c r="A4" s="59"/>
      <c r="B4" s="59"/>
      <c r="C4" s="115"/>
      <c r="D4" s="115"/>
      <c r="E4" s="115"/>
      <c r="F4" s="132"/>
      <c r="G4" s="132"/>
      <c r="H4" s="115"/>
      <c r="I4" s="132"/>
      <c r="J4" s="110" t="str">
        <f>+'ADIT 1 Electric'!$G$4</f>
        <v>Compliance Attachment 2</v>
      </c>
    </row>
    <row r="5" spans="1:10" x14ac:dyDescent="0.25">
      <c r="A5" s="59"/>
      <c r="B5" s="59"/>
      <c r="C5" s="115"/>
      <c r="D5" s="115"/>
      <c r="E5" s="115"/>
      <c r="F5" s="132"/>
      <c r="G5" s="132"/>
      <c r="H5" s="115"/>
      <c r="I5" s="132"/>
      <c r="J5" s="110" t="str">
        <f>+'ADIT 1 Electric'!$G$5</f>
        <v>Schedule NH-3-ELEC</v>
      </c>
    </row>
    <row r="6" spans="1:10" x14ac:dyDescent="0.25">
      <c r="A6" s="59"/>
      <c r="B6" s="59"/>
      <c r="C6" s="115"/>
      <c r="D6" s="115"/>
      <c r="E6" s="115"/>
      <c r="F6" s="132"/>
      <c r="G6" s="132"/>
      <c r="H6" s="115"/>
      <c r="I6" s="132"/>
      <c r="J6" s="110" t="s">
        <v>276</v>
      </c>
    </row>
    <row r="7" spans="1:10" x14ac:dyDescent="0.25">
      <c r="A7" s="59"/>
      <c r="B7" s="59"/>
      <c r="C7" s="59"/>
      <c r="D7" s="59"/>
      <c r="E7" s="59"/>
      <c r="F7" s="133"/>
      <c r="G7" s="133"/>
      <c r="H7" s="59"/>
      <c r="I7" s="133"/>
      <c r="J7" s="59"/>
    </row>
    <row r="8" spans="1:10" x14ac:dyDescent="0.25">
      <c r="A8" s="117"/>
      <c r="B8" s="117"/>
      <c r="C8" s="117"/>
      <c r="D8" s="117"/>
      <c r="E8" s="117"/>
      <c r="F8" s="117"/>
      <c r="G8" s="117"/>
      <c r="H8" s="117"/>
      <c r="I8" s="117"/>
      <c r="J8" s="117"/>
    </row>
    <row r="9" spans="1:10" x14ac:dyDescent="0.25">
      <c r="A9" s="117"/>
      <c r="B9" s="117"/>
      <c r="C9" s="117"/>
      <c r="D9" s="117"/>
      <c r="E9" s="117"/>
      <c r="F9" s="117"/>
      <c r="G9" s="117"/>
      <c r="H9" s="117"/>
      <c r="I9" s="117"/>
      <c r="J9" s="117"/>
    </row>
    <row r="10" spans="1:10" x14ac:dyDescent="0.25">
      <c r="A10" s="353" t="str">
        <f>+'ADIT 1 Electric'!$A$10</f>
        <v>The Narragansett Electric Company d/b/a Rhode Island Energy</v>
      </c>
      <c r="B10" s="353"/>
      <c r="C10" s="353"/>
      <c r="D10" s="353"/>
      <c r="E10" s="353"/>
      <c r="F10" s="353"/>
      <c r="G10" s="353"/>
      <c r="H10" s="353"/>
      <c r="I10" s="353"/>
      <c r="J10" s="353"/>
    </row>
    <row r="11" spans="1:10" x14ac:dyDescent="0.25">
      <c r="A11" s="60" t="str">
        <f>+'2026-07-31 Tax Depr-20YR'!A11</f>
        <v xml:space="preserve"> Calculation of Tax Depreciation and Repairs Deduction on 20-Year MACRS Property</v>
      </c>
      <c r="B11" s="60"/>
      <c r="C11" s="146"/>
      <c r="D11" s="146"/>
      <c r="E11" s="146"/>
      <c r="F11" s="146"/>
      <c r="G11" s="146"/>
      <c r="H11" s="146"/>
      <c r="I11" s="146"/>
      <c r="J11" s="146"/>
    </row>
    <row r="12" spans="1:10" x14ac:dyDescent="0.25">
      <c r="A12" s="146" t="s">
        <v>254</v>
      </c>
      <c r="B12" s="146"/>
      <c r="C12" s="146"/>
      <c r="D12" s="146"/>
      <c r="E12" s="146"/>
      <c r="F12" s="146"/>
      <c r="G12" s="146"/>
      <c r="H12" s="146"/>
      <c r="I12" s="146"/>
      <c r="J12" s="146"/>
    </row>
    <row r="13" spans="1:10" x14ac:dyDescent="0.25">
      <c r="A13" s="60"/>
      <c r="B13" s="60"/>
      <c r="C13" s="146"/>
      <c r="D13" s="146"/>
      <c r="E13" s="146"/>
      <c r="F13" s="146"/>
      <c r="G13" s="146"/>
      <c r="H13" s="146"/>
      <c r="I13" s="146"/>
      <c r="J13" s="146"/>
    </row>
    <row r="14" spans="1:10" x14ac:dyDescent="0.25">
      <c r="A14" s="60"/>
      <c r="B14" s="60"/>
      <c r="C14" s="146"/>
      <c r="D14" s="146"/>
      <c r="E14" s="146"/>
      <c r="F14" s="146"/>
      <c r="G14" s="146"/>
      <c r="H14" s="146"/>
      <c r="I14" s="146"/>
      <c r="J14" s="146"/>
    </row>
    <row r="15" spans="1:10" x14ac:dyDescent="0.25">
      <c r="A15" s="24" t="s">
        <v>1</v>
      </c>
      <c r="B15" s="60"/>
      <c r="C15" s="146"/>
      <c r="D15" s="146"/>
      <c r="E15" s="146"/>
      <c r="F15" s="24" t="s">
        <v>135</v>
      </c>
      <c r="G15" s="146"/>
      <c r="H15" s="24" t="s">
        <v>136</v>
      </c>
      <c r="I15" s="24"/>
      <c r="J15" s="62" t="s">
        <v>137</v>
      </c>
    </row>
    <row r="16" spans="1:10" x14ac:dyDescent="0.25">
      <c r="A16" s="25" t="s">
        <v>530</v>
      </c>
      <c r="B16" s="60"/>
      <c r="C16" s="146"/>
      <c r="D16" s="25" t="s">
        <v>86</v>
      </c>
      <c r="E16" s="146"/>
      <c r="F16" s="63">
        <f>+'2026-07-31 Tax Depr-20YR'!H16</f>
        <v>46599</v>
      </c>
      <c r="G16" s="146"/>
      <c r="H16" s="63">
        <f>EDATE(F16,12)</f>
        <v>46965</v>
      </c>
      <c r="J16" s="63">
        <f>EDATE(H16,12)</f>
        <v>47330</v>
      </c>
    </row>
    <row r="17" spans="1:10" x14ac:dyDescent="0.25">
      <c r="A17" s="147"/>
      <c r="B17" s="147"/>
      <c r="C17" s="121"/>
      <c r="E17" s="121"/>
      <c r="F17" s="148" t="s">
        <v>8</v>
      </c>
      <c r="H17" s="159" t="s">
        <v>9</v>
      </c>
      <c r="J17" s="159" t="s">
        <v>10</v>
      </c>
    </row>
    <row r="18" spans="1:10" x14ac:dyDescent="0.25">
      <c r="A18" s="148"/>
      <c r="B18" s="148"/>
      <c r="C18" s="149"/>
      <c r="D18" s="149"/>
      <c r="E18" s="150"/>
      <c r="F18" s="151"/>
      <c r="H18" s="151"/>
      <c r="J18" s="121"/>
    </row>
    <row r="19" spans="1:10" x14ac:dyDescent="0.25">
      <c r="A19" s="148"/>
      <c r="B19" s="148"/>
      <c r="C19" s="150" t="s">
        <v>234</v>
      </c>
      <c r="D19" s="150"/>
      <c r="E19" s="150"/>
      <c r="F19" s="152"/>
      <c r="H19" s="152"/>
      <c r="J19" s="121"/>
    </row>
    <row r="20" spans="1:10" x14ac:dyDescent="0.25">
      <c r="A20" s="148">
        <v>1</v>
      </c>
      <c r="B20" s="148"/>
      <c r="C20" s="121" t="s">
        <v>235</v>
      </c>
      <c r="D20" s="97" t="s">
        <v>277</v>
      </c>
      <c r="E20" s="148"/>
      <c r="F20" s="100">
        <v>81563000</v>
      </c>
      <c r="H20" s="152"/>
      <c r="J20" s="152"/>
    </row>
    <row r="21" spans="1:10" x14ac:dyDescent="0.25">
      <c r="A21" s="148">
        <f>+A20+1</f>
        <v>2</v>
      </c>
      <c r="B21" s="148"/>
      <c r="C21" s="121"/>
      <c r="D21" s="121"/>
      <c r="E21" s="148"/>
      <c r="F21" s="153"/>
    </row>
    <row r="22" spans="1:10" x14ac:dyDescent="0.25">
      <c r="A22" s="148">
        <f t="shared" ref="A22:A35" si="0">+A21+1</f>
        <v>3</v>
      </c>
      <c r="B22" s="148"/>
      <c r="C22" s="121" t="s">
        <v>256</v>
      </c>
      <c r="D22" s="121"/>
      <c r="E22" s="148"/>
      <c r="F22" s="152">
        <f>SUM(F20:F21)</f>
        <v>81563000</v>
      </c>
    </row>
    <row r="23" spans="1:10" x14ac:dyDescent="0.25">
      <c r="A23" s="148">
        <f t="shared" si="0"/>
        <v>4</v>
      </c>
      <c r="B23" s="148"/>
      <c r="C23" s="121" t="s">
        <v>240</v>
      </c>
      <c r="D23" s="148" t="s">
        <v>241</v>
      </c>
      <c r="E23" s="148"/>
      <c r="F23" s="154">
        <f>+'10 Electric Repairs Rate'!$G$16</f>
        <v>0.4012</v>
      </c>
    </row>
    <row r="24" spans="1:10" x14ac:dyDescent="0.25">
      <c r="A24" s="148">
        <f t="shared" si="0"/>
        <v>5</v>
      </c>
      <c r="B24" s="148"/>
      <c r="C24" s="121" t="s">
        <v>234</v>
      </c>
      <c r="D24" s="148" t="s">
        <v>242</v>
      </c>
      <c r="E24" s="148"/>
      <c r="F24" s="152">
        <f>+F22*F23</f>
        <v>32723075.600000001</v>
      </c>
    </row>
    <row r="25" spans="1:10" x14ac:dyDescent="0.25">
      <c r="A25" s="148">
        <f t="shared" si="0"/>
        <v>6</v>
      </c>
      <c r="B25" s="148"/>
      <c r="C25" s="121"/>
      <c r="D25" s="121"/>
      <c r="E25" s="148"/>
      <c r="F25" s="121"/>
    </row>
    <row r="26" spans="1:10" x14ac:dyDescent="0.25">
      <c r="A26" s="148">
        <f t="shared" si="0"/>
        <v>7</v>
      </c>
      <c r="B26" s="148"/>
      <c r="C26" s="150" t="s">
        <v>243</v>
      </c>
      <c r="D26" s="150"/>
      <c r="E26" s="147"/>
      <c r="F26" s="121"/>
    </row>
    <row r="27" spans="1:10" x14ac:dyDescent="0.25">
      <c r="A27" s="148">
        <f t="shared" si="0"/>
        <v>8</v>
      </c>
      <c r="B27" s="148"/>
      <c r="C27" s="121" t="s">
        <v>235</v>
      </c>
      <c r="D27" s="148" t="s">
        <v>245</v>
      </c>
      <c r="E27" s="148"/>
      <c r="F27" s="152">
        <f>+F20</f>
        <v>81563000</v>
      </c>
    </row>
    <row r="28" spans="1:10" x14ac:dyDescent="0.25">
      <c r="A28" s="148">
        <f t="shared" si="0"/>
        <v>9</v>
      </c>
      <c r="B28" s="148"/>
      <c r="C28" s="121" t="s">
        <v>246</v>
      </c>
      <c r="D28" s="148" t="s">
        <v>95</v>
      </c>
      <c r="E28" s="148"/>
      <c r="F28" s="152">
        <f>-+F24</f>
        <v>-32723075.600000001</v>
      </c>
    </row>
    <row r="29" spans="1:10" x14ac:dyDescent="0.25">
      <c r="A29" s="148">
        <f t="shared" si="0"/>
        <v>10</v>
      </c>
      <c r="B29" s="148"/>
      <c r="C29" s="121" t="s">
        <v>267</v>
      </c>
      <c r="D29" s="148" t="s">
        <v>257</v>
      </c>
      <c r="E29" s="148"/>
      <c r="F29" s="155">
        <f>SUM(F27:F28)</f>
        <v>48839924.399999999</v>
      </c>
      <c r="H29" s="152">
        <f>+F29</f>
        <v>48839924.399999999</v>
      </c>
      <c r="J29" s="152">
        <f>+H29</f>
        <v>48839924.399999999</v>
      </c>
    </row>
    <row r="30" spans="1:10" x14ac:dyDescent="0.25">
      <c r="A30" s="148">
        <f t="shared" si="0"/>
        <v>11</v>
      </c>
      <c r="B30" s="148"/>
      <c r="C30" s="121" t="s">
        <v>275</v>
      </c>
      <c r="D30" s="148"/>
      <c r="E30" s="148"/>
      <c r="F30" s="156">
        <v>3.7499999999999999E-2</v>
      </c>
      <c r="H30" s="156">
        <v>7.2190000000000004E-2</v>
      </c>
      <c r="J30" s="156">
        <v>6.6769999999999996E-2</v>
      </c>
    </row>
    <row r="31" spans="1:10" x14ac:dyDescent="0.25">
      <c r="A31" s="148">
        <f t="shared" si="0"/>
        <v>12</v>
      </c>
      <c r="B31" s="148"/>
      <c r="C31" s="121" t="s">
        <v>243</v>
      </c>
      <c r="D31" s="148" t="s">
        <v>258</v>
      </c>
      <c r="E31" s="148"/>
      <c r="F31" s="152">
        <f>ROUND(F29*F30,7)</f>
        <v>1831497.165</v>
      </c>
      <c r="H31" s="152">
        <f>ROUND(H29*H30,7)</f>
        <v>3525754.1424360001</v>
      </c>
      <c r="J31" s="152">
        <f>ROUND(J29*J30,7)</f>
        <v>3261041.7521879999</v>
      </c>
    </row>
    <row r="32" spans="1:10" x14ac:dyDescent="0.25">
      <c r="A32" s="148">
        <f t="shared" si="0"/>
        <v>13</v>
      </c>
      <c r="B32" s="148"/>
      <c r="C32" s="121"/>
      <c r="D32" s="148"/>
      <c r="E32" s="148"/>
      <c r="F32" s="121"/>
      <c r="H32" s="121"/>
      <c r="J32" s="121"/>
    </row>
    <row r="33" spans="1:10" x14ac:dyDescent="0.25">
      <c r="A33" s="148">
        <f t="shared" si="0"/>
        <v>14</v>
      </c>
      <c r="B33" s="148"/>
      <c r="C33" s="121" t="s">
        <v>230</v>
      </c>
      <c r="D33" s="97" t="s">
        <v>872</v>
      </c>
      <c r="E33" s="148"/>
      <c r="F33" s="100">
        <v>10187218.699999999</v>
      </c>
      <c r="H33" s="152"/>
      <c r="J33" s="152"/>
    </row>
    <row r="34" spans="1:10" x14ac:dyDescent="0.25">
      <c r="A34" s="148">
        <f t="shared" si="0"/>
        <v>15</v>
      </c>
      <c r="B34" s="148"/>
      <c r="C34" s="121"/>
      <c r="D34" s="121"/>
      <c r="E34" s="148"/>
      <c r="F34" s="157"/>
      <c r="H34" s="157"/>
      <c r="J34" s="157"/>
    </row>
    <row r="35" spans="1:10" ht="16.5" thickBot="1" x14ac:dyDescent="0.3">
      <c r="A35" s="148">
        <f t="shared" si="0"/>
        <v>16</v>
      </c>
      <c r="B35" s="148"/>
      <c r="C35" s="121" t="s">
        <v>197</v>
      </c>
      <c r="D35" s="148" t="s">
        <v>252</v>
      </c>
      <c r="E35" s="148"/>
      <c r="F35" s="158">
        <f>+F31+F24+F33</f>
        <v>44741791.465000004</v>
      </c>
      <c r="H35" s="158">
        <f>+H31+H24+H33</f>
        <v>3525754.1424360001</v>
      </c>
      <c r="J35" s="158">
        <f>+J31+J24+J33</f>
        <v>3261041.7521879999</v>
      </c>
    </row>
    <row r="36" spans="1:10" ht="16.5" thickTop="1" x14ac:dyDescent="0.25"/>
    <row r="37" spans="1:10" x14ac:dyDescent="0.25">
      <c r="A37" s="91"/>
    </row>
    <row r="38" spans="1:10" x14ac:dyDescent="0.25">
      <c r="A38" s="148"/>
      <c r="B38" s="148"/>
    </row>
    <row r="39" spans="1:10" x14ac:dyDescent="0.25">
      <c r="A39" s="148"/>
    </row>
  </sheetData>
  <mergeCells count="1">
    <mergeCell ref="A10:J10"/>
  </mergeCells>
  <pageMargins left="0.7" right="0.7" top="0.75" bottom="0.75" header="0.3" footer="0.3"/>
  <pageSetup scale="6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35BCF-EA75-40C8-B99B-B15F7387D837}">
  <sheetPr>
    <pageSetUpPr fitToPage="1"/>
  </sheetPr>
  <dimension ref="A1:H40"/>
  <sheetViews>
    <sheetView workbookViewId="0">
      <selection sqref="A1:H6"/>
    </sheetView>
  </sheetViews>
  <sheetFormatPr defaultColWidth="9.140625" defaultRowHeight="15.75" x14ac:dyDescent="0.25"/>
  <cols>
    <col min="1" max="1" width="5.85546875" style="21" customWidth="1"/>
    <col min="2" max="2" width="3.85546875" style="21" customWidth="1"/>
    <col min="3" max="3" width="64" style="21" customWidth="1"/>
    <col min="4" max="4" width="39.7109375" style="21" customWidth="1"/>
    <col min="5" max="5" width="3.5703125" style="21" customWidth="1"/>
    <col min="6" max="6" width="18.42578125" style="21" customWidth="1"/>
    <col min="7" max="7" width="2.7109375" style="21" customWidth="1"/>
    <col min="8" max="8" width="18.42578125" style="21" customWidth="1"/>
    <col min="9" max="16384" width="9.140625" style="21"/>
  </cols>
  <sheetData>
    <row r="1" spans="1:8" x14ac:dyDescent="0.25">
      <c r="A1" s="115"/>
      <c r="B1" s="115"/>
      <c r="C1" s="115"/>
      <c r="D1" s="115"/>
      <c r="E1" s="115"/>
      <c r="F1" s="132"/>
      <c r="G1" s="132"/>
      <c r="H1" s="110" t="s">
        <v>20</v>
      </c>
    </row>
    <row r="2" spans="1:8" x14ac:dyDescent="0.25">
      <c r="A2" s="115"/>
      <c r="B2" s="115"/>
      <c r="C2" s="115"/>
      <c r="D2" s="115"/>
      <c r="E2" s="115"/>
      <c r="F2" s="132"/>
      <c r="G2" s="132"/>
      <c r="H2" s="110" t="str">
        <f>+'ADIT 1 Electric'!$G$2</f>
        <v>d/b/a RHODE ISLAND ENERGY</v>
      </c>
    </row>
    <row r="3" spans="1:8" x14ac:dyDescent="0.25">
      <c r="A3" s="115"/>
      <c r="B3" s="115"/>
      <c r="C3" s="115"/>
      <c r="D3" s="115"/>
      <c r="E3" s="115"/>
      <c r="F3" s="132"/>
      <c r="G3" s="132"/>
      <c r="H3" s="110" t="str">
        <f>+'ADIT 1 Electric'!$G$3</f>
        <v>RIPUC Docket No. 25-45-GE</v>
      </c>
    </row>
    <row r="4" spans="1:8" hidden="1" x14ac:dyDescent="0.25">
      <c r="A4" s="115"/>
      <c r="B4" s="115"/>
      <c r="C4" s="115"/>
      <c r="D4" s="115"/>
      <c r="E4" s="115"/>
      <c r="F4" s="132"/>
      <c r="G4" s="132"/>
      <c r="H4" s="110" t="str">
        <f>+'ADIT 1 Electric'!$G$4</f>
        <v>Compliance Attachment 2</v>
      </c>
    </row>
    <row r="5" spans="1:8" x14ac:dyDescent="0.25">
      <c r="A5" s="115"/>
      <c r="B5" s="115"/>
      <c r="C5" s="115"/>
      <c r="D5" s="115"/>
      <c r="E5" s="115"/>
      <c r="F5" s="132"/>
      <c r="G5" s="132"/>
      <c r="H5" s="110" t="str">
        <f>+'ADIT 1 Electric'!$G$5</f>
        <v>Schedule NH-3-ELEC</v>
      </c>
    </row>
    <row r="6" spans="1:8" x14ac:dyDescent="0.25">
      <c r="A6" s="115"/>
      <c r="B6" s="115"/>
      <c r="C6" s="115"/>
      <c r="D6" s="115"/>
      <c r="E6" s="115"/>
      <c r="F6" s="132"/>
      <c r="G6" s="132"/>
      <c r="H6" s="110" t="s">
        <v>278</v>
      </c>
    </row>
    <row r="7" spans="1:8" x14ac:dyDescent="0.25">
      <c r="A7" s="59"/>
      <c r="B7" s="59"/>
      <c r="C7" s="59"/>
      <c r="D7" s="59"/>
      <c r="E7" s="59"/>
      <c r="F7" s="133"/>
      <c r="G7" s="133"/>
      <c r="H7" s="59"/>
    </row>
    <row r="8" spans="1:8" x14ac:dyDescent="0.25">
      <c r="A8" s="117"/>
      <c r="B8" s="117"/>
      <c r="C8" s="117"/>
      <c r="D8" s="117"/>
      <c r="E8" s="117"/>
      <c r="F8" s="117"/>
      <c r="G8" s="117"/>
      <c r="H8" s="117"/>
    </row>
    <row r="9" spans="1:8" x14ac:dyDescent="0.25">
      <c r="A9" s="145"/>
      <c r="B9" s="145"/>
      <c r="C9" s="146"/>
      <c r="D9" s="146"/>
      <c r="E9" s="146"/>
      <c r="F9" s="146"/>
      <c r="G9" s="146"/>
      <c r="H9" s="146"/>
    </row>
    <row r="10" spans="1:8" x14ac:dyDescent="0.25">
      <c r="A10" s="353" t="str">
        <f>+'ADIT 1 Electric'!$A$10</f>
        <v>The Narragansett Electric Company d/b/a Rhode Island Energy</v>
      </c>
      <c r="B10" s="353"/>
      <c r="C10" s="353"/>
      <c r="D10" s="353"/>
      <c r="E10" s="353"/>
      <c r="F10" s="353"/>
      <c r="G10" s="353"/>
      <c r="H10" s="353"/>
    </row>
    <row r="11" spans="1:8" x14ac:dyDescent="0.25">
      <c r="A11" s="60" t="str">
        <f>+'2026-07-31 Tax Depr-20YR'!A11</f>
        <v xml:space="preserve"> Calculation of Tax Depreciation and Repairs Deduction on 20-Year MACRS Property</v>
      </c>
      <c r="B11" s="146"/>
      <c r="C11" s="146"/>
      <c r="D11" s="146"/>
      <c r="E11" s="146"/>
      <c r="F11" s="146"/>
      <c r="G11" s="146"/>
      <c r="H11" s="146"/>
    </row>
    <row r="12" spans="1:8" x14ac:dyDescent="0.25">
      <c r="A12" s="146" t="s">
        <v>260</v>
      </c>
      <c r="B12" s="146"/>
      <c r="C12" s="146"/>
      <c r="D12" s="146"/>
      <c r="E12" s="146"/>
      <c r="F12" s="146"/>
      <c r="G12" s="146"/>
      <c r="H12" s="146"/>
    </row>
    <row r="13" spans="1:8" x14ac:dyDescent="0.25">
      <c r="A13" s="121"/>
      <c r="B13" s="121"/>
      <c r="C13" s="121"/>
      <c r="D13" s="121"/>
      <c r="E13" s="121"/>
      <c r="F13" s="146"/>
      <c r="H13" s="146"/>
    </row>
    <row r="14" spans="1:8" x14ac:dyDescent="0.25">
      <c r="A14" s="121"/>
      <c r="B14" s="121"/>
      <c r="C14" s="121"/>
      <c r="D14" s="121"/>
      <c r="E14" s="121"/>
      <c r="F14" s="146"/>
      <c r="H14" s="146"/>
    </row>
    <row r="15" spans="1:8" x14ac:dyDescent="0.25">
      <c r="A15" s="24" t="s">
        <v>1</v>
      </c>
      <c r="B15" s="60"/>
      <c r="C15" s="146"/>
      <c r="D15" s="146"/>
      <c r="E15" s="121"/>
      <c r="F15" s="24" t="s">
        <v>136</v>
      </c>
      <c r="G15" s="24"/>
      <c r="H15" s="62" t="s">
        <v>137</v>
      </c>
    </row>
    <row r="16" spans="1:8" x14ac:dyDescent="0.25">
      <c r="A16" s="25" t="s">
        <v>530</v>
      </c>
      <c r="B16" s="60"/>
      <c r="C16" s="146"/>
      <c r="D16" s="25" t="s">
        <v>86</v>
      </c>
      <c r="E16" s="121"/>
      <c r="F16" s="63">
        <f>+'2027-07-31 Tax Depr-20YR'!H16</f>
        <v>46965</v>
      </c>
      <c r="H16" s="63">
        <f>EDATE(F16,12)</f>
        <v>47330</v>
      </c>
    </row>
    <row r="17" spans="1:8" x14ac:dyDescent="0.25">
      <c r="A17" s="147"/>
      <c r="B17" s="147"/>
      <c r="C17" s="121"/>
      <c r="E17" s="121"/>
      <c r="F17" s="148" t="s">
        <v>8</v>
      </c>
      <c r="H17" s="148" t="s">
        <v>9</v>
      </c>
    </row>
    <row r="18" spans="1:8" x14ac:dyDescent="0.25">
      <c r="A18" s="148"/>
      <c r="B18" s="148"/>
      <c r="C18" s="149"/>
      <c r="D18" s="149"/>
      <c r="E18" s="150"/>
      <c r="F18" s="151"/>
      <c r="H18" s="151"/>
    </row>
    <row r="19" spans="1:8" x14ac:dyDescent="0.25">
      <c r="A19" s="148"/>
      <c r="B19" s="148"/>
      <c r="C19" s="150" t="s">
        <v>234</v>
      </c>
      <c r="D19" s="150"/>
      <c r="E19" s="150"/>
      <c r="F19" s="121"/>
      <c r="H19" s="152"/>
    </row>
    <row r="20" spans="1:8" x14ac:dyDescent="0.25">
      <c r="A20" s="148">
        <v>1</v>
      </c>
      <c r="B20" s="148"/>
      <c r="C20" s="121" t="s">
        <v>235</v>
      </c>
      <c r="D20" s="97" t="s">
        <v>279</v>
      </c>
      <c r="E20" s="148"/>
      <c r="F20" s="152">
        <v>0</v>
      </c>
      <c r="H20" s="152"/>
    </row>
    <row r="21" spans="1:8" x14ac:dyDescent="0.25">
      <c r="A21" s="148">
        <f>+A20+1</f>
        <v>2</v>
      </c>
      <c r="B21" s="148"/>
      <c r="C21" s="121"/>
      <c r="D21" s="121"/>
      <c r="E21" s="148"/>
      <c r="F21" s="153"/>
      <c r="H21" s="152"/>
    </row>
    <row r="22" spans="1:8" x14ac:dyDescent="0.25">
      <c r="A22" s="148">
        <f t="shared" ref="A22:A35" si="0">+A21+1</f>
        <v>3</v>
      </c>
      <c r="B22" s="148"/>
      <c r="C22" s="121" t="s">
        <v>262</v>
      </c>
      <c r="D22" s="121"/>
      <c r="E22" s="148"/>
      <c r="F22" s="152">
        <f>SUM(F20:F21)</f>
        <v>0</v>
      </c>
      <c r="H22" s="152"/>
    </row>
    <row r="23" spans="1:8" x14ac:dyDescent="0.25">
      <c r="A23" s="148">
        <f t="shared" si="0"/>
        <v>4</v>
      </c>
      <c r="B23" s="148"/>
      <c r="C23" s="121" t="s">
        <v>240</v>
      </c>
      <c r="D23" s="148" t="s">
        <v>241</v>
      </c>
      <c r="E23" s="148"/>
      <c r="F23" s="154">
        <f>+'2026-07-31 Tax Depr-20YR'!F23</f>
        <v>0.4012</v>
      </c>
      <c r="H23" s="160"/>
    </row>
    <row r="24" spans="1:8" x14ac:dyDescent="0.25">
      <c r="A24" s="148">
        <f t="shared" si="0"/>
        <v>5</v>
      </c>
      <c r="B24" s="148"/>
      <c r="C24" s="121" t="s">
        <v>234</v>
      </c>
      <c r="D24" s="148" t="s">
        <v>242</v>
      </c>
      <c r="E24" s="148"/>
      <c r="F24" s="152">
        <f>+F22*F23</f>
        <v>0</v>
      </c>
      <c r="H24" s="152"/>
    </row>
    <row r="25" spans="1:8" x14ac:dyDescent="0.25">
      <c r="A25" s="148">
        <f t="shared" si="0"/>
        <v>6</v>
      </c>
      <c r="B25" s="148"/>
      <c r="C25" s="121"/>
      <c r="D25" s="121"/>
      <c r="E25" s="148"/>
      <c r="F25" s="121"/>
      <c r="H25" s="121"/>
    </row>
    <row r="26" spans="1:8" x14ac:dyDescent="0.25">
      <c r="A26" s="148">
        <f t="shared" si="0"/>
        <v>7</v>
      </c>
      <c r="B26" s="148"/>
      <c r="C26" s="150" t="s">
        <v>243</v>
      </c>
      <c r="D26" s="150"/>
      <c r="E26" s="147"/>
      <c r="F26" s="121"/>
      <c r="H26" s="121"/>
    </row>
    <row r="27" spans="1:8" x14ac:dyDescent="0.25">
      <c r="A27" s="148">
        <f t="shared" si="0"/>
        <v>8</v>
      </c>
      <c r="B27" s="148"/>
      <c r="C27" s="121" t="s">
        <v>235</v>
      </c>
      <c r="D27" s="148" t="s">
        <v>245</v>
      </c>
      <c r="E27" s="148"/>
      <c r="F27" s="152">
        <f>+F20</f>
        <v>0</v>
      </c>
    </row>
    <row r="28" spans="1:8" x14ac:dyDescent="0.25">
      <c r="A28" s="148">
        <f t="shared" si="0"/>
        <v>9</v>
      </c>
      <c r="B28" s="148"/>
      <c r="C28" s="121" t="s">
        <v>246</v>
      </c>
      <c r="D28" s="148" t="s">
        <v>95</v>
      </c>
      <c r="E28" s="148"/>
      <c r="F28" s="152">
        <f>-+F24</f>
        <v>0</v>
      </c>
    </row>
    <row r="29" spans="1:8" x14ac:dyDescent="0.25">
      <c r="A29" s="148">
        <f t="shared" si="0"/>
        <v>10</v>
      </c>
      <c r="B29" s="148"/>
      <c r="C29" s="121" t="s">
        <v>267</v>
      </c>
      <c r="D29" s="148" t="s">
        <v>257</v>
      </c>
      <c r="E29" s="148"/>
      <c r="F29" s="155">
        <f>SUM(F27:F28)</f>
        <v>0</v>
      </c>
      <c r="H29" s="152">
        <f>+F29</f>
        <v>0</v>
      </c>
    </row>
    <row r="30" spans="1:8" x14ac:dyDescent="0.25">
      <c r="A30" s="148">
        <f t="shared" si="0"/>
        <v>11</v>
      </c>
      <c r="B30" s="148"/>
      <c r="C30" s="121" t="s">
        <v>275</v>
      </c>
      <c r="D30" s="148"/>
      <c r="E30" s="148"/>
      <c r="F30" s="156">
        <v>3.7499999999999999E-2</v>
      </c>
      <c r="H30" s="156">
        <v>7.2190000000000004E-2</v>
      </c>
    </row>
    <row r="31" spans="1:8" x14ac:dyDescent="0.25">
      <c r="A31" s="148">
        <f t="shared" si="0"/>
        <v>12</v>
      </c>
      <c r="B31" s="148"/>
      <c r="C31" s="121" t="s">
        <v>243</v>
      </c>
      <c r="D31" s="148" t="s">
        <v>258</v>
      </c>
      <c r="E31" s="148"/>
      <c r="F31" s="152">
        <f>ROUND(F29*F30,0)</f>
        <v>0</v>
      </c>
      <c r="H31" s="152">
        <f>ROUND(H29*H30,0)</f>
        <v>0</v>
      </c>
    </row>
    <row r="32" spans="1:8" x14ac:dyDescent="0.25">
      <c r="A32" s="148">
        <f t="shared" si="0"/>
        <v>13</v>
      </c>
      <c r="B32" s="148"/>
      <c r="C32" s="121"/>
      <c r="D32" s="148"/>
      <c r="E32" s="148"/>
      <c r="F32" s="121"/>
      <c r="H32" s="121"/>
    </row>
    <row r="33" spans="1:8" x14ac:dyDescent="0.25">
      <c r="A33" s="148">
        <f t="shared" si="0"/>
        <v>14</v>
      </c>
      <c r="B33" s="148"/>
      <c r="C33" s="121" t="s">
        <v>230</v>
      </c>
      <c r="D33" s="97" t="s">
        <v>251</v>
      </c>
      <c r="E33" s="148"/>
      <c r="F33" s="100">
        <v>0</v>
      </c>
      <c r="H33" s="152"/>
    </row>
    <row r="34" spans="1:8" x14ac:dyDescent="0.25">
      <c r="A34" s="148">
        <f t="shared" si="0"/>
        <v>15</v>
      </c>
      <c r="B34" s="148"/>
      <c r="C34" s="121"/>
      <c r="D34" s="121"/>
      <c r="E34" s="148"/>
      <c r="F34" s="157"/>
      <c r="H34" s="157"/>
    </row>
    <row r="35" spans="1:8" ht="16.5" thickBot="1" x14ac:dyDescent="0.3">
      <c r="A35" s="148">
        <f t="shared" si="0"/>
        <v>16</v>
      </c>
      <c r="B35" s="148"/>
      <c r="C35" s="121" t="s">
        <v>197</v>
      </c>
      <c r="D35" s="148" t="s">
        <v>263</v>
      </c>
      <c r="E35" s="148"/>
      <c r="F35" s="158">
        <f>+F31+F24+F33</f>
        <v>0</v>
      </c>
      <c r="H35" s="158">
        <f>+H31+H24+H33</f>
        <v>0</v>
      </c>
    </row>
    <row r="36" spans="1:8" ht="16.5" thickTop="1" x14ac:dyDescent="0.25"/>
    <row r="37" spans="1:8" x14ac:dyDescent="0.25">
      <c r="A37" s="91"/>
    </row>
    <row r="38" spans="1:8" x14ac:dyDescent="0.25">
      <c r="A38" s="148"/>
      <c r="B38" s="148"/>
    </row>
    <row r="39" spans="1:8" x14ac:dyDescent="0.25">
      <c r="A39" s="148"/>
    </row>
    <row r="40" spans="1:8" x14ac:dyDescent="0.25">
      <c r="A40" s="148"/>
    </row>
  </sheetData>
  <mergeCells count="1">
    <mergeCell ref="A10:H10"/>
  </mergeCells>
  <pageMargins left="0.7" right="0.7" top="0.75" bottom="0.75" header="0.3" footer="0.3"/>
  <pageSetup scale="7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B347-B65E-4218-BEF4-FBD4F779D994}">
  <sheetPr>
    <pageSetUpPr fitToPage="1"/>
  </sheetPr>
  <dimension ref="A1:F40"/>
  <sheetViews>
    <sheetView workbookViewId="0">
      <selection sqref="A1:F6"/>
    </sheetView>
  </sheetViews>
  <sheetFormatPr defaultColWidth="9.140625" defaultRowHeight="15.75" x14ac:dyDescent="0.25"/>
  <cols>
    <col min="1" max="1" width="5.85546875" style="30" customWidth="1"/>
    <col min="2" max="2" width="3.85546875" style="30" customWidth="1"/>
    <col min="3" max="3" width="63.5703125" style="30" customWidth="1"/>
    <col min="4" max="4" width="39.28515625" style="30" customWidth="1"/>
    <col min="5" max="5" width="3.5703125" style="30" customWidth="1"/>
    <col min="6" max="6" width="18.42578125" style="30" customWidth="1"/>
    <col min="7" max="16384" width="9.140625" style="30"/>
  </cols>
  <sheetData>
    <row r="1" spans="1:6" x14ac:dyDescent="0.25">
      <c r="A1" s="115"/>
      <c r="B1" s="115"/>
      <c r="C1" s="115"/>
      <c r="D1" s="115"/>
      <c r="E1" s="115"/>
      <c r="F1" s="110" t="s">
        <v>20</v>
      </c>
    </row>
    <row r="2" spans="1:6" x14ac:dyDescent="0.25">
      <c r="A2" s="115"/>
      <c r="B2" s="115"/>
      <c r="C2" s="115"/>
      <c r="D2" s="115"/>
      <c r="E2" s="115"/>
      <c r="F2" s="110" t="str">
        <f>+'ADIT 1 Electric'!$G$2</f>
        <v>d/b/a RHODE ISLAND ENERGY</v>
      </c>
    </row>
    <row r="3" spans="1:6" x14ac:dyDescent="0.25">
      <c r="A3" s="115"/>
      <c r="B3" s="115"/>
      <c r="C3" s="115"/>
      <c r="D3" s="115"/>
      <c r="E3" s="115"/>
      <c r="F3" s="110" t="str">
        <f>+'ADIT 1 Electric'!$G$3</f>
        <v>RIPUC Docket No. 25-45-GE</v>
      </c>
    </row>
    <row r="4" spans="1:6" hidden="1" x14ac:dyDescent="0.25">
      <c r="A4" s="115"/>
      <c r="B4" s="115"/>
      <c r="C4" s="115"/>
      <c r="D4" s="115"/>
      <c r="E4" s="115"/>
      <c r="F4" s="110" t="str">
        <f>+'ADIT 1 Electric'!$G$4</f>
        <v>Compliance Attachment 2</v>
      </c>
    </row>
    <row r="5" spans="1:6" x14ac:dyDescent="0.25">
      <c r="A5" s="115"/>
      <c r="B5" s="115"/>
      <c r="C5" s="115"/>
      <c r="D5" s="115"/>
      <c r="E5" s="115"/>
      <c r="F5" s="110" t="str">
        <f>+'ADIT 1 Electric'!$G$5</f>
        <v>Schedule NH-3-ELEC</v>
      </c>
    </row>
    <row r="6" spans="1:6" x14ac:dyDescent="0.25">
      <c r="A6" s="115"/>
      <c r="B6" s="115"/>
      <c r="C6" s="115"/>
      <c r="D6" s="115"/>
      <c r="E6" s="115"/>
      <c r="F6" s="110" t="s">
        <v>280</v>
      </c>
    </row>
    <row r="7" spans="1:6" x14ac:dyDescent="0.25">
      <c r="A7" s="59"/>
      <c r="B7" s="59"/>
      <c r="C7" s="59"/>
      <c r="D7" s="59"/>
      <c r="E7" s="59"/>
      <c r="F7" s="59"/>
    </row>
    <row r="8" spans="1:6" x14ac:dyDescent="0.25">
      <c r="A8" s="117"/>
      <c r="B8" s="117"/>
      <c r="C8" s="117"/>
      <c r="D8" s="117"/>
      <c r="E8" s="117"/>
      <c r="F8" s="117"/>
    </row>
    <row r="9" spans="1:6" x14ac:dyDescent="0.25">
      <c r="A9" s="145"/>
      <c r="B9" s="145"/>
      <c r="C9" s="146"/>
      <c r="D9" s="146"/>
      <c r="E9" s="146"/>
      <c r="F9" s="146"/>
    </row>
    <row r="10" spans="1:6" x14ac:dyDescent="0.25">
      <c r="A10" s="351" t="str">
        <f>+'ADIT 1 Electric'!$A$10</f>
        <v>The Narragansett Electric Company d/b/a Rhode Island Energy</v>
      </c>
      <c r="B10" s="351"/>
      <c r="C10" s="351"/>
      <c r="D10" s="351"/>
      <c r="E10" s="351"/>
      <c r="F10" s="351"/>
    </row>
    <row r="11" spans="1:6" x14ac:dyDescent="0.25">
      <c r="A11" s="118" t="str">
        <f>+'2026-07-31 Tax Depr-20YR'!A11</f>
        <v xml:space="preserve"> Calculation of Tax Depreciation and Repairs Deduction on 20-Year MACRS Property</v>
      </c>
      <c r="B11" s="146"/>
      <c r="C11" s="146"/>
      <c r="D11" s="146"/>
      <c r="E11" s="146"/>
      <c r="F11" s="146"/>
    </row>
    <row r="12" spans="1:6" x14ac:dyDescent="0.25">
      <c r="A12" s="146" t="s">
        <v>265</v>
      </c>
      <c r="B12" s="146"/>
      <c r="C12" s="146"/>
      <c r="D12" s="146"/>
      <c r="E12" s="146"/>
      <c r="F12" s="146"/>
    </row>
    <row r="13" spans="1:6" x14ac:dyDescent="0.25">
      <c r="A13" s="121"/>
      <c r="B13" s="121"/>
      <c r="C13" s="121"/>
      <c r="D13" s="121"/>
      <c r="E13" s="121"/>
      <c r="F13" s="146"/>
    </row>
    <row r="14" spans="1:6" x14ac:dyDescent="0.25">
      <c r="A14" s="121"/>
      <c r="B14" s="121"/>
      <c r="C14" s="121"/>
      <c r="D14" s="121"/>
      <c r="E14" s="121"/>
      <c r="F14" s="146"/>
    </row>
    <row r="15" spans="1:6" x14ac:dyDescent="0.25">
      <c r="A15" s="121"/>
      <c r="B15" s="121"/>
      <c r="C15" s="121"/>
      <c r="D15" s="121"/>
      <c r="E15" s="121"/>
      <c r="F15" s="62" t="s">
        <v>137</v>
      </c>
    </row>
    <row r="16" spans="1:6" x14ac:dyDescent="0.25">
      <c r="A16" s="121"/>
      <c r="B16" s="121"/>
      <c r="C16" s="121"/>
      <c r="D16" s="148" t="s">
        <v>86</v>
      </c>
      <c r="E16" s="121"/>
      <c r="F16" s="124">
        <f>+'2028-07-31 Tax Depr-20YR'!H16</f>
        <v>47330</v>
      </c>
    </row>
    <row r="17" spans="1:6" x14ac:dyDescent="0.25">
      <c r="A17" s="147"/>
      <c r="B17" s="147"/>
      <c r="C17" s="121"/>
      <c r="E17" s="121"/>
      <c r="F17" s="148" t="s">
        <v>8</v>
      </c>
    </row>
    <row r="18" spans="1:6" x14ac:dyDescent="0.25">
      <c r="A18" s="45" t="s">
        <v>1</v>
      </c>
      <c r="B18" s="148"/>
      <c r="C18" s="149"/>
      <c r="D18" s="149"/>
      <c r="E18" s="150"/>
      <c r="F18" s="151"/>
    </row>
    <row r="19" spans="1:6" x14ac:dyDescent="0.25">
      <c r="A19" s="123" t="s">
        <v>530</v>
      </c>
      <c r="B19" s="148"/>
      <c r="C19" s="150" t="s">
        <v>234</v>
      </c>
      <c r="D19" s="150"/>
      <c r="E19" s="150"/>
      <c r="F19" s="152"/>
    </row>
    <row r="20" spans="1:6" x14ac:dyDescent="0.25">
      <c r="A20" s="148">
        <v>1</v>
      </c>
      <c r="B20" s="148"/>
      <c r="C20" s="121" t="s">
        <v>235</v>
      </c>
      <c r="D20" s="97" t="s">
        <v>281</v>
      </c>
      <c r="E20" s="148"/>
      <c r="F20" s="152">
        <v>0</v>
      </c>
    </row>
    <row r="21" spans="1:6" x14ac:dyDescent="0.25">
      <c r="A21" s="148">
        <f>+A20+1</f>
        <v>2</v>
      </c>
      <c r="B21" s="148"/>
      <c r="C21" s="121"/>
      <c r="D21" s="121"/>
      <c r="E21" s="148"/>
      <c r="F21" s="153"/>
    </row>
    <row r="22" spans="1:6" x14ac:dyDescent="0.25">
      <c r="A22" s="148">
        <f t="shared" ref="A22:A35" si="0">+A21+1</f>
        <v>3</v>
      </c>
      <c r="B22" s="148"/>
      <c r="C22" s="121" t="s">
        <v>262</v>
      </c>
      <c r="D22" s="121"/>
      <c r="E22" s="148"/>
      <c r="F22" s="152">
        <f>SUM(F20:F21)</f>
        <v>0</v>
      </c>
    </row>
    <row r="23" spans="1:6" x14ac:dyDescent="0.25">
      <c r="A23" s="148">
        <f t="shared" si="0"/>
        <v>4</v>
      </c>
      <c r="B23" s="148"/>
      <c r="C23" s="121" t="s">
        <v>240</v>
      </c>
      <c r="D23" s="148" t="s">
        <v>241</v>
      </c>
      <c r="E23" s="148"/>
      <c r="F23" s="154">
        <f>+'2026-07-31 Tax Depr-20YR'!F23</f>
        <v>0.4012</v>
      </c>
    </row>
    <row r="24" spans="1:6" x14ac:dyDescent="0.25">
      <c r="A24" s="148">
        <f t="shared" si="0"/>
        <v>5</v>
      </c>
      <c r="B24" s="148"/>
      <c r="C24" s="121" t="s">
        <v>234</v>
      </c>
      <c r="D24" s="148" t="s">
        <v>242</v>
      </c>
      <c r="E24" s="148"/>
      <c r="F24" s="152">
        <f>+F22*F23</f>
        <v>0</v>
      </c>
    </row>
    <row r="25" spans="1:6" x14ac:dyDescent="0.25">
      <c r="A25" s="148">
        <f t="shared" si="0"/>
        <v>6</v>
      </c>
      <c r="B25" s="148"/>
      <c r="C25" s="121"/>
      <c r="D25" s="121"/>
      <c r="E25" s="148"/>
      <c r="F25" s="121"/>
    </row>
    <row r="26" spans="1:6" x14ac:dyDescent="0.25">
      <c r="A26" s="148">
        <f t="shared" si="0"/>
        <v>7</v>
      </c>
      <c r="B26" s="148"/>
      <c r="C26" s="150" t="s">
        <v>243</v>
      </c>
      <c r="D26" s="150"/>
      <c r="E26" s="147"/>
      <c r="F26" s="121"/>
    </row>
    <row r="27" spans="1:6" x14ac:dyDescent="0.25">
      <c r="A27" s="148">
        <f t="shared" si="0"/>
        <v>8</v>
      </c>
      <c r="B27" s="148"/>
      <c r="C27" s="121" t="s">
        <v>235</v>
      </c>
      <c r="D27" s="148" t="s">
        <v>245</v>
      </c>
      <c r="E27" s="148"/>
      <c r="F27" s="152">
        <f>+F20</f>
        <v>0</v>
      </c>
    </row>
    <row r="28" spans="1:6" x14ac:dyDescent="0.25">
      <c r="A28" s="148">
        <f t="shared" si="0"/>
        <v>9</v>
      </c>
      <c r="B28" s="148"/>
      <c r="C28" s="121" t="s">
        <v>246</v>
      </c>
      <c r="D28" s="148" t="s">
        <v>95</v>
      </c>
      <c r="E28" s="148"/>
      <c r="F28" s="152">
        <f>-+F24</f>
        <v>0</v>
      </c>
    </row>
    <row r="29" spans="1:6" x14ac:dyDescent="0.25">
      <c r="A29" s="148">
        <f t="shared" si="0"/>
        <v>10</v>
      </c>
      <c r="B29" s="148"/>
      <c r="C29" s="121" t="s">
        <v>267</v>
      </c>
      <c r="D29" s="148" t="s">
        <v>257</v>
      </c>
      <c r="E29" s="148"/>
      <c r="F29" s="155">
        <f>SUM(F27:F28)</f>
        <v>0</v>
      </c>
    </row>
    <row r="30" spans="1:6" x14ac:dyDescent="0.25">
      <c r="A30" s="148">
        <f t="shared" si="0"/>
        <v>11</v>
      </c>
      <c r="B30" s="148"/>
      <c r="C30" s="121" t="s">
        <v>275</v>
      </c>
      <c r="D30" s="148"/>
      <c r="E30" s="148"/>
      <c r="F30" s="156">
        <v>3.7499999999999999E-2</v>
      </c>
    </row>
    <row r="31" spans="1:6" x14ac:dyDescent="0.25">
      <c r="A31" s="148">
        <f t="shared" si="0"/>
        <v>12</v>
      </c>
      <c r="B31" s="148"/>
      <c r="C31" s="121" t="s">
        <v>243</v>
      </c>
      <c r="D31" s="148" t="s">
        <v>258</v>
      </c>
      <c r="E31" s="148"/>
      <c r="F31" s="152">
        <f>ROUND(F29*F30,0)</f>
        <v>0</v>
      </c>
    </row>
    <row r="32" spans="1:6" x14ac:dyDescent="0.25">
      <c r="A32" s="148">
        <f t="shared" si="0"/>
        <v>13</v>
      </c>
      <c r="B32" s="148"/>
      <c r="C32" s="121"/>
      <c r="D32" s="148"/>
      <c r="E32" s="148"/>
      <c r="F32" s="121"/>
    </row>
    <row r="33" spans="1:6" x14ac:dyDescent="0.25">
      <c r="A33" s="148">
        <f t="shared" si="0"/>
        <v>14</v>
      </c>
      <c r="B33" s="148"/>
      <c r="C33" s="121" t="s">
        <v>230</v>
      </c>
      <c r="D33" s="97" t="s">
        <v>251</v>
      </c>
      <c r="E33" s="148"/>
      <c r="F33" s="100">
        <v>0</v>
      </c>
    </row>
    <row r="34" spans="1:6" x14ac:dyDescent="0.25">
      <c r="A34" s="148">
        <f t="shared" si="0"/>
        <v>15</v>
      </c>
      <c r="B34" s="148"/>
      <c r="C34" s="121"/>
      <c r="D34" s="121"/>
      <c r="E34" s="148"/>
      <c r="F34" s="157"/>
    </row>
    <row r="35" spans="1:6" ht="16.5" thickBot="1" x14ac:dyDescent="0.3">
      <c r="A35" s="148">
        <f t="shared" si="0"/>
        <v>16</v>
      </c>
      <c r="B35" s="148"/>
      <c r="C35" s="121" t="s">
        <v>197</v>
      </c>
      <c r="D35" s="148" t="s">
        <v>263</v>
      </c>
      <c r="E35" s="148"/>
      <c r="F35" s="158">
        <f>+F31+F24+F33</f>
        <v>0</v>
      </c>
    </row>
    <row r="36" spans="1:6" ht="16.5" thickTop="1" x14ac:dyDescent="0.25"/>
    <row r="37" spans="1:6" x14ac:dyDescent="0.25">
      <c r="A37" s="161"/>
    </row>
    <row r="38" spans="1:6" x14ac:dyDescent="0.25">
      <c r="A38" s="148"/>
      <c r="B38" s="148"/>
    </row>
    <row r="39" spans="1:6" x14ac:dyDescent="0.25">
      <c r="A39" s="148"/>
    </row>
    <row r="40" spans="1:6" x14ac:dyDescent="0.25">
      <c r="A40" s="148"/>
    </row>
  </sheetData>
  <mergeCells count="1">
    <mergeCell ref="A10:F10"/>
  </mergeCells>
  <pageMargins left="0.7" right="0.7" top="0.75" bottom="0.75" header="0.3" footer="0.3"/>
  <pageSetup scale="83"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AB789-05A1-45C5-899D-6067E939B073}">
  <sheetPr>
    <pageSetUpPr fitToPage="1"/>
  </sheetPr>
  <dimension ref="A1:AA59"/>
  <sheetViews>
    <sheetView topLeftCell="K1" workbookViewId="0">
      <selection activeCell="W1" sqref="W1:Y5"/>
    </sheetView>
  </sheetViews>
  <sheetFormatPr defaultColWidth="9.140625" defaultRowHeight="12.75" x14ac:dyDescent="0.2"/>
  <cols>
    <col min="1" max="1" width="4.42578125" style="164" customWidth="1"/>
    <col min="2" max="2" width="1.7109375" style="164" customWidth="1"/>
    <col min="3" max="3" width="11" style="164" customWidth="1"/>
    <col min="4" max="4" width="9.28515625" style="164" customWidth="1"/>
    <col min="5" max="5" width="12.140625" style="164" bestFit="1" customWidth="1"/>
    <col min="6" max="6" width="13.140625" style="164" customWidth="1"/>
    <col min="7" max="7" width="14.7109375" style="164" customWidth="1"/>
    <col min="8" max="8" width="2.28515625" style="164" customWidth="1"/>
    <col min="9" max="9" width="12.42578125" style="164" customWidth="1"/>
    <col min="10" max="10" width="3.5703125" style="164" customWidth="1"/>
    <col min="11" max="12" width="10.7109375" style="164" customWidth="1"/>
    <col min="13" max="13" width="11.140625" style="164" customWidth="1"/>
    <col min="14" max="14" width="3.5703125" style="164" customWidth="1"/>
    <col min="15" max="16" width="10.7109375" style="164" customWidth="1"/>
    <col min="17" max="17" width="11" style="164" customWidth="1"/>
    <col min="18" max="18" width="3.5703125" style="164" customWidth="1"/>
    <col min="19" max="20" width="10.7109375" style="164" customWidth="1"/>
    <col min="21" max="21" width="11.28515625" style="164" customWidth="1"/>
    <col min="22" max="22" width="3.42578125" style="164" customWidth="1"/>
    <col min="23" max="24" width="10.7109375" style="164" customWidth="1"/>
    <col min="25" max="25" width="11" style="164" customWidth="1"/>
    <col min="26" max="26" width="9.140625" style="164"/>
    <col min="27" max="27" width="21.7109375" style="164" bestFit="1" customWidth="1"/>
    <col min="28" max="16384" width="9.140625" style="164"/>
  </cols>
  <sheetData>
    <row r="1" spans="1:25" ht="13.5" x14ac:dyDescent="0.25">
      <c r="A1" s="115"/>
      <c r="B1" s="115"/>
      <c r="C1" s="115"/>
      <c r="D1" s="115"/>
      <c r="E1" s="115"/>
      <c r="F1" s="115"/>
      <c r="G1" s="115"/>
      <c r="H1" s="115"/>
      <c r="I1" s="115"/>
      <c r="J1" s="115"/>
      <c r="K1" s="115"/>
      <c r="L1" s="115"/>
      <c r="M1" s="115"/>
      <c r="N1" s="115"/>
      <c r="O1" s="115"/>
      <c r="P1" s="115"/>
      <c r="Q1" s="115"/>
      <c r="R1" s="115"/>
      <c r="V1" s="132"/>
      <c r="X1" s="110"/>
      <c r="Y1" s="110" t="s">
        <v>20</v>
      </c>
    </row>
    <row r="2" spans="1:25" ht="13.5" x14ac:dyDescent="0.25">
      <c r="A2" s="115"/>
      <c r="B2" s="115"/>
      <c r="C2" s="115"/>
      <c r="D2" s="115"/>
      <c r="E2" s="115"/>
      <c r="F2" s="115"/>
      <c r="G2" s="115"/>
      <c r="H2" s="115"/>
      <c r="I2" s="115"/>
      <c r="J2" s="115"/>
      <c r="K2" s="115"/>
      <c r="L2" s="115"/>
      <c r="M2" s="115"/>
      <c r="N2" s="115"/>
      <c r="O2" s="115"/>
      <c r="P2" s="115"/>
      <c r="Q2" s="115"/>
      <c r="R2" s="115"/>
      <c r="V2" s="132"/>
      <c r="X2" s="110"/>
      <c r="Y2" s="110" t="str">
        <f>+'ADIT 1 Electric'!$G$2</f>
        <v>d/b/a RHODE ISLAND ENERGY</v>
      </c>
    </row>
    <row r="3" spans="1:25" ht="13.5" x14ac:dyDescent="0.25">
      <c r="A3" s="115"/>
      <c r="B3" s="115"/>
      <c r="C3" s="115"/>
      <c r="D3" s="115"/>
      <c r="E3" s="115"/>
      <c r="F3" s="115"/>
      <c r="G3" s="115"/>
      <c r="H3" s="115"/>
      <c r="I3" s="115"/>
      <c r="J3" s="115"/>
      <c r="K3" s="115"/>
      <c r="L3" s="115"/>
      <c r="M3" s="115"/>
      <c r="N3" s="115"/>
      <c r="O3" s="115"/>
      <c r="P3" s="115"/>
      <c r="Q3" s="115"/>
      <c r="R3" s="115"/>
      <c r="V3" s="132"/>
      <c r="X3" s="110"/>
      <c r="Y3" s="110" t="str">
        <f>+'ADIT 1 Electric'!$G$3</f>
        <v>RIPUC Docket No. 25-45-GE</v>
      </c>
    </row>
    <row r="4" spans="1:25" ht="13.5" hidden="1" x14ac:dyDescent="0.25">
      <c r="A4" s="115"/>
      <c r="B4" s="115"/>
      <c r="C4" s="115"/>
      <c r="D4" s="115"/>
      <c r="E4" s="115"/>
      <c r="F4" s="115"/>
      <c r="G4" s="115"/>
      <c r="H4" s="115"/>
      <c r="I4" s="115"/>
      <c r="J4" s="115"/>
      <c r="K4" s="115"/>
      <c r="L4" s="115"/>
      <c r="M4" s="115"/>
      <c r="N4" s="115"/>
      <c r="O4" s="115"/>
      <c r="P4" s="115"/>
      <c r="Q4" s="115"/>
      <c r="R4" s="115"/>
      <c r="V4" s="132"/>
      <c r="X4" s="110"/>
      <c r="Y4" s="110" t="str">
        <f>+'ADIT 1 Electric'!$G$2</f>
        <v>d/b/a RHODE ISLAND ENERGY</v>
      </c>
    </row>
    <row r="5" spans="1:25" ht="13.5" x14ac:dyDescent="0.25">
      <c r="A5" s="115"/>
      <c r="B5" s="115"/>
      <c r="C5" s="115"/>
      <c r="D5" s="115"/>
      <c r="E5" s="115"/>
      <c r="F5" s="115"/>
      <c r="G5" s="115"/>
      <c r="H5" s="115"/>
      <c r="I5" s="115"/>
      <c r="J5" s="115"/>
      <c r="K5" s="115"/>
      <c r="L5" s="115"/>
      <c r="M5" s="115"/>
      <c r="N5" s="115"/>
      <c r="O5" s="115"/>
      <c r="P5" s="115"/>
      <c r="Q5" s="115"/>
      <c r="R5" s="115"/>
      <c r="V5" s="132"/>
      <c r="X5" s="110"/>
      <c r="Y5" s="110" t="str">
        <f>+'ADIT 1 Electric'!$G$5</f>
        <v>Schedule NH-3-ELEC</v>
      </c>
    </row>
    <row r="6" spans="1:25" ht="13.5" x14ac:dyDescent="0.25">
      <c r="A6" s="115"/>
      <c r="B6" s="115"/>
      <c r="C6" s="115"/>
      <c r="D6" s="115"/>
      <c r="E6" s="115"/>
      <c r="F6" s="115"/>
      <c r="G6" s="115"/>
      <c r="H6" s="115"/>
      <c r="I6" s="115"/>
      <c r="J6" s="115"/>
      <c r="K6" s="115"/>
      <c r="L6" s="115"/>
      <c r="M6" s="115"/>
      <c r="N6" s="115"/>
      <c r="O6" s="115"/>
      <c r="P6" s="115"/>
      <c r="Q6" s="115"/>
      <c r="R6" s="115"/>
      <c r="V6" s="132"/>
      <c r="X6" s="110"/>
      <c r="Y6" s="110" t="s">
        <v>282</v>
      </c>
    </row>
    <row r="7" spans="1:25" ht="13.5" x14ac:dyDescent="0.25">
      <c r="A7" s="115"/>
      <c r="B7" s="115"/>
      <c r="C7" s="115"/>
      <c r="D7" s="115"/>
      <c r="E7" s="115"/>
      <c r="F7" s="115"/>
      <c r="G7" s="115"/>
      <c r="H7" s="115"/>
      <c r="I7" s="115"/>
      <c r="J7" s="115"/>
      <c r="K7" s="115"/>
      <c r="L7" s="115"/>
      <c r="M7" s="115"/>
      <c r="N7" s="115"/>
      <c r="O7" s="115"/>
      <c r="P7" s="115"/>
      <c r="Q7" s="115"/>
      <c r="R7" s="115"/>
      <c r="S7" s="132"/>
      <c r="T7" s="132"/>
      <c r="U7" s="132"/>
      <c r="V7" s="132"/>
      <c r="W7" s="115"/>
      <c r="X7" s="115"/>
    </row>
    <row r="8" spans="1:25" x14ac:dyDescent="0.2">
      <c r="A8" s="165"/>
      <c r="B8" s="165"/>
      <c r="C8" s="165"/>
      <c r="D8" s="165"/>
      <c r="E8" s="165"/>
      <c r="F8" s="165"/>
      <c r="G8" s="165"/>
      <c r="H8" s="165"/>
      <c r="I8" s="165"/>
      <c r="J8" s="165"/>
      <c r="K8" s="165"/>
      <c r="L8" s="165"/>
      <c r="M8" s="165"/>
      <c r="N8" s="165"/>
      <c r="O8" s="165"/>
      <c r="P8" s="165"/>
      <c r="Q8" s="165"/>
      <c r="R8" s="165"/>
      <c r="S8" s="165"/>
      <c r="T8" s="165"/>
      <c r="U8" s="165"/>
      <c r="V8" s="165"/>
      <c r="W8" s="165"/>
      <c r="X8" s="165"/>
    </row>
    <row r="9" spans="1:25" x14ac:dyDescent="0.2">
      <c r="A9" s="166"/>
      <c r="B9" s="166"/>
      <c r="C9" s="167"/>
      <c r="D9" s="167"/>
      <c r="E9" s="167"/>
      <c r="F9" s="167"/>
      <c r="G9" s="167"/>
      <c r="H9" s="167"/>
      <c r="I9" s="167"/>
      <c r="J9" s="167"/>
      <c r="K9" s="167"/>
      <c r="L9" s="167"/>
      <c r="M9" s="167"/>
      <c r="N9" s="167"/>
      <c r="O9" s="167"/>
      <c r="P9" s="167"/>
      <c r="Q9" s="167"/>
      <c r="R9" s="167"/>
      <c r="S9" s="167"/>
      <c r="T9" s="167"/>
      <c r="U9" s="167"/>
      <c r="V9" s="167"/>
      <c r="W9" s="167"/>
      <c r="X9" s="167"/>
    </row>
    <row r="10" spans="1:25" x14ac:dyDescent="0.2">
      <c r="A10" s="363" t="str">
        <f>+'ADIT 1 Electric'!$A$10</f>
        <v>The Narragansett Electric Company d/b/a Rhode Island Energy</v>
      </c>
      <c r="B10" s="363"/>
      <c r="C10" s="363"/>
      <c r="D10" s="363"/>
      <c r="E10" s="363"/>
      <c r="F10" s="363"/>
      <c r="G10" s="363"/>
      <c r="H10" s="363"/>
      <c r="I10" s="363"/>
      <c r="J10" s="363"/>
      <c r="K10" s="363"/>
      <c r="L10" s="363"/>
      <c r="M10" s="363"/>
      <c r="N10" s="363"/>
      <c r="O10" s="363"/>
      <c r="P10" s="363"/>
      <c r="Q10" s="363"/>
      <c r="R10" s="363"/>
      <c r="S10" s="363"/>
      <c r="T10" s="363"/>
      <c r="U10" s="363"/>
      <c r="V10" s="363"/>
      <c r="W10" s="363"/>
      <c r="X10" s="363"/>
      <c r="Y10" s="363"/>
    </row>
    <row r="11" spans="1:25" x14ac:dyDescent="0.2">
      <c r="A11" s="363" t="s">
        <v>283</v>
      </c>
      <c r="B11" s="363"/>
      <c r="C11" s="363"/>
      <c r="D11" s="363"/>
      <c r="E11" s="363"/>
      <c r="F11" s="363"/>
      <c r="G11" s="363"/>
      <c r="H11" s="363"/>
      <c r="I11" s="363"/>
      <c r="J11" s="363"/>
      <c r="K11" s="363"/>
      <c r="L11" s="363"/>
      <c r="M11" s="363"/>
      <c r="N11" s="363"/>
      <c r="O11" s="363"/>
      <c r="P11" s="363"/>
      <c r="Q11" s="363"/>
      <c r="R11" s="363"/>
      <c r="S11" s="363"/>
      <c r="T11" s="363"/>
      <c r="U11" s="363"/>
      <c r="V11" s="363"/>
      <c r="W11" s="363"/>
      <c r="X11" s="363"/>
      <c r="Y11" s="363"/>
    </row>
    <row r="12" spans="1:25" x14ac:dyDescent="0.2">
      <c r="A12" s="363" t="s">
        <v>284</v>
      </c>
      <c r="B12" s="363"/>
      <c r="C12" s="363"/>
      <c r="D12" s="363"/>
      <c r="E12" s="363"/>
      <c r="F12" s="363"/>
      <c r="G12" s="363"/>
      <c r="H12" s="363"/>
      <c r="I12" s="363"/>
      <c r="J12" s="363"/>
      <c r="K12" s="363"/>
      <c r="L12" s="363"/>
      <c r="M12" s="363"/>
      <c r="N12" s="363"/>
      <c r="O12" s="363"/>
      <c r="P12" s="363"/>
      <c r="Q12" s="363"/>
      <c r="R12" s="363"/>
      <c r="S12" s="363"/>
      <c r="T12" s="363"/>
      <c r="U12" s="363"/>
      <c r="V12" s="363"/>
      <c r="W12" s="363"/>
      <c r="X12" s="363"/>
      <c r="Y12" s="363"/>
    </row>
    <row r="13" spans="1:25" x14ac:dyDescent="0.2">
      <c r="A13" s="169"/>
      <c r="B13" s="169"/>
      <c r="C13" s="169"/>
      <c r="D13" s="169"/>
      <c r="E13" s="169"/>
      <c r="F13" s="169"/>
      <c r="G13" s="169"/>
      <c r="H13" s="169"/>
      <c r="I13" s="169"/>
      <c r="J13" s="169"/>
      <c r="K13" s="169"/>
      <c r="L13" s="169"/>
      <c r="M13" s="169"/>
      <c r="N13" s="169"/>
      <c r="O13" s="169"/>
      <c r="P13" s="169"/>
      <c r="Q13" s="169"/>
      <c r="R13" s="169"/>
      <c r="S13" s="167"/>
      <c r="T13" s="167"/>
      <c r="U13" s="167"/>
      <c r="V13" s="167"/>
      <c r="W13" s="167"/>
      <c r="X13" s="167"/>
    </row>
    <row r="14" spans="1:25" x14ac:dyDescent="0.2">
      <c r="A14" s="169"/>
      <c r="B14" s="169"/>
      <c r="C14" s="169"/>
      <c r="D14" s="169"/>
      <c r="E14" s="169"/>
      <c r="F14" s="169"/>
      <c r="G14" s="169"/>
      <c r="H14" s="169"/>
      <c r="I14" s="169"/>
      <c r="J14" s="169"/>
      <c r="K14" s="169"/>
      <c r="L14" s="169"/>
      <c r="M14" s="169"/>
      <c r="N14" s="169"/>
      <c r="O14" s="169"/>
      <c r="P14" s="169"/>
      <c r="Q14" s="169"/>
      <c r="R14" s="169"/>
      <c r="S14" s="167"/>
      <c r="T14" s="167"/>
      <c r="U14" s="167"/>
      <c r="V14" s="167"/>
      <c r="W14" s="167"/>
      <c r="X14" s="167"/>
    </row>
    <row r="15" spans="1:25" x14ac:dyDescent="0.2">
      <c r="H15" s="169"/>
      <c r="I15" s="169"/>
      <c r="J15" s="169"/>
      <c r="K15" s="364" t="s">
        <v>198</v>
      </c>
      <c r="L15" s="364"/>
      <c r="M15" s="364"/>
      <c r="N15" s="169"/>
      <c r="O15" s="364" t="s">
        <v>135</v>
      </c>
      <c r="P15" s="364"/>
      <c r="Q15" s="364"/>
      <c r="R15" s="169"/>
      <c r="S15" s="364" t="s">
        <v>136</v>
      </c>
      <c r="T15" s="364"/>
      <c r="U15" s="364"/>
      <c r="V15" s="168"/>
      <c r="W15" s="364" t="s">
        <v>137</v>
      </c>
      <c r="X15" s="364"/>
      <c r="Y15" s="364"/>
    </row>
    <row r="16" spans="1:25" x14ac:dyDescent="0.2">
      <c r="A16" s="169"/>
      <c r="B16" s="169"/>
      <c r="C16" s="365" t="s">
        <v>285</v>
      </c>
      <c r="D16" s="365"/>
      <c r="E16" s="365"/>
      <c r="F16" s="365"/>
      <c r="G16" s="365"/>
      <c r="H16" s="169"/>
      <c r="I16" s="169"/>
      <c r="J16" s="169"/>
      <c r="K16" s="366">
        <v>46234</v>
      </c>
      <c r="L16" s="366"/>
      <c r="M16" s="366"/>
      <c r="O16" s="366">
        <f>EDATE(K16,12)</f>
        <v>46599</v>
      </c>
      <c r="P16" s="366"/>
      <c r="Q16" s="366"/>
      <c r="R16" s="169"/>
      <c r="S16" s="366">
        <f>EDATE(O16,12)</f>
        <v>46965</v>
      </c>
      <c r="T16" s="366"/>
      <c r="U16" s="366"/>
      <c r="W16" s="366">
        <f>EDATE(S16,12)</f>
        <v>47330</v>
      </c>
      <c r="X16" s="366"/>
      <c r="Y16" s="366"/>
    </row>
    <row r="17" spans="1:27" s="176" customFormat="1" ht="51" x14ac:dyDescent="0.2">
      <c r="A17" s="170" t="s">
        <v>286</v>
      </c>
      <c r="B17" s="171"/>
      <c r="C17" s="172" t="s">
        <v>287</v>
      </c>
      <c r="D17" s="172" t="s">
        <v>288</v>
      </c>
      <c r="E17" s="173" t="s">
        <v>289</v>
      </c>
      <c r="F17" s="173" t="s">
        <v>877</v>
      </c>
      <c r="G17" s="174" t="s">
        <v>290</v>
      </c>
      <c r="H17" s="171"/>
      <c r="I17" s="173" t="s">
        <v>878</v>
      </c>
      <c r="J17" s="171"/>
      <c r="K17" s="175" t="s">
        <v>291</v>
      </c>
      <c r="L17" s="175" t="s">
        <v>292</v>
      </c>
      <c r="M17" s="175" t="s">
        <v>139</v>
      </c>
      <c r="O17" s="175" t="s">
        <v>293</v>
      </c>
      <c r="P17" s="175" t="s">
        <v>294</v>
      </c>
      <c r="Q17" s="175" t="s">
        <v>139</v>
      </c>
      <c r="R17" s="171"/>
      <c r="S17" s="175" t="s">
        <v>295</v>
      </c>
      <c r="T17" s="175" t="s">
        <v>296</v>
      </c>
      <c r="U17" s="175" t="s">
        <v>139</v>
      </c>
      <c r="W17" s="175" t="s">
        <v>297</v>
      </c>
      <c r="X17" s="175" t="s">
        <v>298</v>
      </c>
      <c r="Y17" s="175" t="s">
        <v>139</v>
      </c>
    </row>
    <row r="18" spans="1:27" x14ac:dyDescent="0.2">
      <c r="A18" s="172"/>
      <c r="B18" s="172"/>
      <c r="C18" s="177" t="s">
        <v>8</v>
      </c>
      <c r="D18" s="177" t="s">
        <v>9</v>
      </c>
      <c r="E18" s="177" t="s">
        <v>10</v>
      </c>
      <c r="F18" s="177" t="s">
        <v>25</v>
      </c>
      <c r="G18" s="177" t="s">
        <v>11</v>
      </c>
      <c r="H18" s="169"/>
      <c r="I18" s="177" t="s">
        <v>12</v>
      </c>
      <c r="J18" s="169"/>
      <c r="K18" s="177" t="s">
        <v>299</v>
      </c>
      <c r="L18" s="177" t="s">
        <v>13</v>
      </c>
      <c r="M18" s="177" t="s">
        <v>14</v>
      </c>
      <c r="N18" s="177"/>
      <c r="O18" s="177" t="s">
        <v>300</v>
      </c>
      <c r="P18" s="177" t="s">
        <v>15</v>
      </c>
      <c r="Q18" s="177" t="s">
        <v>16</v>
      </c>
      <c r="R18" s="169"/>
      <c r="S18" s="177" t="s">
        <v>301</v>
      </c>
      <c r="T18" s="177" t="s">
        <v>302</v>
      </c>
      <c r="U18" s="177" t="s">
        <v>303</v>
      </c>
      <c r="V18" s="169"/>
      <c r="W18" s="177" t="s">
        <v>304</v>
      </c>
      <c r="X18" s="177" t="s">
        <v>305</v>
      </c>
      <c r="Y18" s="177" t="s">
        <v>306</v>
      </c>
    </row>
    <row r="19" spans="1:27" x14ac:dyDescent="0.2">
      <c r="A19" s="177"/>
      <c r="B19" s="177"/>
      <c r="C19" s="178"/>
      <c r="D19" s="178"/>
      <c r="E19" s="178"/>
      <c r="F19" s="178"/>
      <c r="G19" s="178"/>
      <c r="H19" s="171"/>
      <c r="I19" s="171"/>
      <c r="J19" s="171"/>
      <c r="K19" s="171"/>
      <c r="L19" s="171"/>
      <c r="M19" s="171"/>
      <c r="N19" s="171"/>
      <c r="O19" s="171"/>
      <c r="P19" s="171"/>
      <c r="Q19" s="171"/>
      <c r="R19" s="171"/>
      <c r="S19" s="179"/>
      <c r="T19" s="179"/>
      <c r="U19" s="179"/>
      <c r="V19" s="179"/>
      <c r="W19" s="179"/>
      <c r="X19" s="179"/>
    </row>
    <row r="20" spans="1:27" x14ac:dyDescent="0.2">
      <c r="A20" s="177">
        <v>1</v>
      </c>
      <c r="B20" s="177"/>
      <c r="C20" s="177">
        <v>2025</v>
      </c>
      <c r="D20" s="177">
        <v>9</v>
      </c>
      <c r="E20" s="180">
        <f>SUMIFS('8 Facilities-PIS (sort by date)'!S:S,'8 Facilities-PIS (sort by date)'!P:P,C:C,'8 Facilities-PIS (sort by date)'!Q:Q,D:D)</f>
        <v>3248000</v>
      </c>
      <c r="F20" s="180">
        <f t="shared" ref="F20:F37" si="0">+E20*0.115487</f>
        <v>375101.77600000001</v>
      </c>
      <c r="G20" s="180">
        <f>+E20-F20</f>
        <v>2872898.2239999999</v>
      </c>
      <c r="H20" s="171"/>
      <c r="I20" s="180">
        <f>+G20/39/12</f>
        <v>6138.6714188034193</v>
      </c>
      <c r="J20" s="171"/>
      <c r="K20" s="180">
        <f>$I20*(12-$D20+0.5)</f>
        <v>21485.349965811969</v>
      </c>
      <c r="L20" s="180">
        <f>+$I20*7</f>
        <v>42970.699931623938</v>
      </c>
      <c r="M20" s="180">
        <f>+K20+L20</f>
        <v>64456.049897435907</v>
      </c>
      <c r="N20" s="171"/>
      <c r="O20" s="180">
        <f>+$I20*5</f>
        <v>30693.357094017098</v>
      </c>
      <c r="P20" s="180">
        <f>+$I20*7</f>
        <v>42970.699931623938</v>
      </c>
      <c r="Q20" s="180">
        <f>+O20+P20</f>
        <v>73664.057025641028</v>
      </c>
      <c r="R20" s="171"/>
      <c r="S20" s="180">
        <f>+$I20*5</f>
        <v>30693.357094017098</v>
      </c>
      <c r="T20" s="180">
        <f>+$I20*7</f>
        <v>42970.699931623938</v>
      </c>
      <c r="U20" s="180">
        <f>+S20+T20</f>
        <v>73664.057025641028</v>
      </c>
      <c r="V20" s="179"/>
      <c r="W20" s="180">
        <f>+$I20*5</f>
        <v>30693.357094017098</v>
      </c>
      <c r="X20" s="180">
        <f>+$I20*7</f>
        <v>42970.699931623938</v>
      </c>
      <c r="Y20" s="180">
        <f>+W20+X20</f>
        <v>73664.057025641028</v>
      </c>
      <c r="AA20" s="181"/>
    </row>
    <row r="21" spans="1:27" x14ac:dyDescent="0.2">
      <c r="A21" s="177">
        <f>+A20+1</f>
        <v>2</v>
      </c>
      <c r="B21" s="177"/>
      <c r="C21" s="177">
        <v>2025</v>
      </c>
      <c r="D21" s="177">
        <v>10</v>
      </c>
      <c r="E21" s="180">
        <f>SUMIFS('8 Facilities-PIS (sort by date)'!S:S,'8 Facilities-PIS (sort by date)'!P:P,C:C,'8 Facilities-PIS (sort by date)'!Q:Q,D:D)</f>
        <v>5397500</v>
      </c>
      <c r="F21" s="180">
        <f t="shared" si="0"/>
        <v>623341.08250000002</v>
      </c>
      <c r="G21" s="180">
        <f t="shared" ref="G21:G37" si="1">+E21-F21</f>
        <v>4774158.9175000004</v>
      </c>
      <c r="H21" s="171"/>
      <c r="I21" s="180">
        <f t="shared" ref="I21:I37" si="2">+G21/39/12</f>
        <v>10201.194268162393</v>
      </c>
      <c r="J21" s="171"/>
      <c r="K21" s="180">
        <f t="shared" ref="K21:K22" si="3">$I21*(12-$D21+0.5)</f>
        <v>25502.985670405982</v>
      </c>
      <c r="L21" s="180">
        <f t="shared" ref="L21:L22" si="4">+$I21*7</f>
        <v>71408.359877136754</v>
      </c>
      <c r="M21" s="180">
        <f t="shared" ref="M21:M25" si="5">+K21+L21</f>
        <v>96911.345547542733</v>
      </c>
      <c r="N21" s="180"/>
      <c r="O21" s="180">
        <f t="shared" ref="O21:O22" si="6">+$I21*5</f>
        <v>51005.971340811964</v>
      </c>
      <c r="P21" s="180">
        <f t="shared" ref="P21:P22" si="7">+$I21*7</f>
        <v>71408.359877136754</v>
      </c>
      <c r="Q21" s="180">
        <f>+O21+P21</f>
        <v>122414.33121794873</v>
      </c>
      <c r="R21" s="180"/>
      <c r="S21" s="180">
        <f t="shared" ref="S21:S27" si="8">+$I21*5</f>
        <v>51005.971340811964</v>
      </c>
      <c r="T21" s="180">
        <f t="shared" ref="T21:T31" si="9">+$I21*7</f>
        <v>71408.359877136754</v>
      </c>
      <c r="U21" s="180">
        <f>+S21+T21</f>
        <v>122414.33121794873</v>
      </c>
      <c r="V21" s="180"/>
      <c r="W21" s="180">
        <f t="shared" ref="W21:W31" si="10">+$I21*5</f>
        <v>51005.971340811964</v>
      </c>
      <c r="X21" s="180">
        <f t="shared" ref="X21:X35" si="11">+$I21*7</f>
        <v>71408.359877136754</v>
      </c>
      <c r="Y21" s="180">
        <f>+W21+X21</f>
        <v>122414.33121794873</v>
      </c>
      <c r="AA21" s="181"/>
    </row>
    <row r="22" spans="1:27" x14ac:dyDescent="0.2">
      <c r="A22" s="177">
        <f t="shared" ref="A22:A38" si="12">+A21+1</f>
        <v>3</v>
      </c>
      <c r="B22" s="177"/>
      <c r="C22" s="177">
        <v>2025</v>
      </c>
      <c r="D22" s="177">
        <v>12</v>
      </c>
      <c r="E22" s="180">
        <f>SUMIFS('8 Facilities-PIS (sort by date)'!S:S,'8 Facilities-PIS (sort by date)'!P:P,C:C,'8 Facilities-PIS (sort by date)'!Q:Q,D:D)</f>
        <v>635000</v>
      </c>
      <c r="F22" s="180">
        <f t="shared" si="0"/>
        <v>73334.24500000001</v>
      </c>
      <c r="G22" s="180">
        <f t="shared" si="1"/>
        <v>561665.755</v>
      </c>
      <c r="H22" s="171"/>
      <c r="I22" s="180">
        <f t="shared" si="2"/>
        <v>1200.140502136752</v>
      </c>
      <c r="J22" s="171"/>
      <c r="K22" s="180">
        <f t="shared" si="3"/>
        <v>600.07025106837602</v>
      </c>
      <c r="L22" s="180">
        <f t="shared" si="4"/>
        <v>8400.9835149572646</v>
      </c>
      <c r="M22" s="180">
        <f t="shared" si="5"/>
        <v>9001.0537660256414</v>
      </c>
      <c r="N22" s="180"/>
      <c r="O22" s="180">
        <f t="shared" si="6"/>
        <v>6000.70251068376</v>
      </c>
      <c r="P22" s="180">
        <f t="shared" si="7"/>
        <v>8400.9835149572646</v>
      </c>
      <c r="Q22" s="180">
        <f>+O22+P22</f>
        <v>14401.686025641025</v>
      </c>
      <c r="R22" s="180"/>
      <c r="S22" s="180">
        <f t="shared" si="8"/>
        <v>6000.70251068376</v>
      </c>
      <c r="T22" s="180">
        <f t="shared" si="9"/>
        <v>8400.9835149572646</v>
      </c>
      <c r="U22" s="180">
        <f>+S22+T22</f>
        <v>14401.686025641025</v>
      </c>
      <c r="V22" s="180"/>
      <c r="W22" s="180">
        <f t="shared" si="10"/>
        <v>6000.70251068376</v>
      </c>
      <c r="X22" s="180">
        <f t="shared" si="11"/>
        <v>8400.9835149572646</v>
      </c>
      <c r="Y22" s="180">
        <f>+W22+X22</f>
        <v>14401.686025641025</v>
      </c>
      <c r="AA22" s="181"/>
    </row>
    <row r="23" spans="1:27" x14ac:dyDescent="0.2">
      <c r="A23" s="177">
        <f t="shared" si="12"/>
        <v>4</v>
      </c>
      <c r="B23" s="177"/>
      <c r="C23" s="177">
        <v>2026</v>
      </c>
      <c r="D23" s="177">
        <v>3</v>
      </c>
      <c r="E23" s="180">
        <f>SUMIFS('8 Facilities-PIS (sort by date)'!S:S,'8 Facilities-PIS (sort by date)'!P:P,C:C,'8 Facilities-PIS (sort by date)'!Q:Q,D:D)</f>
        <v>1905000</v>
      </c>
      <c r="F23" s="180">
        <f t="shared" si="0"/>
        <v>220002.73500000002</v>
      </c>
      <c r="G23" s="180">
        <f t="shared" si="1"/>
        <v>1684997.2649999999</v>
      </c>
      <c r="H23" s="171"/>
      <c r="I23" s="180">
        <f t="shared" si="2"/>
        <v>3600.4215064102559</v>
      </c>
      <c r="J23" s="171"/>
      <c r="K23" s="182"/>
      <c r="L23" s="180">
        <f>$I23*(12-$D23+0.5)/12*7</f>
        <v>19952.3358480235</v>
      </c>
      <c r="M23" s="180">
        <f t="shared" si="5"/>
        <v>19952.3358480235</v>
      </c>
      <c r="N23" s="180"/>
      <c r="O23" s="180">
        <f>+$I23*(12-$D23+0.5)/12*5</f>
        <v>14251.668462873929</v>
      </c>
      <c r="P23" s="180">
        <f>+($I23*7)</f>
        <v>25202.95054487179</v>
      </c>
      <c r="Q23" s="180">
        <f t="shared" ref="Q23:Q25" si="13">+O23+P23</f>
        <v>39454.619007745721</v>
      </c>
      <c r="R23" s="180"/>
      <c r="S23" s="180">
        <f t="shared" si="8"/>
        <v>18002.107532051279</v>
      </c>
      <c r="T23" s="180">
        <f t="shared" si="9"/>
        <v>25202.95054487179</v>
      </c>
      <c r="U23" s="180">
        <f t="shared" ref="U23:U25" si="14">+S23+T23</f>
        <v>43205.058076923073</v>
      </c>
      <c r="V23" s="180"/>
      <c r="W23" s="180">
        <f t="shared" si="10"/>
        <v>18002.107532051279</v>
      </c>
      <c r="X23" s="180">
        <f t="shared" si="11"/>
        <v>25202.95054487179</v>
      </c>
      <c r="Y23" s="180">
        <f t="shared" ref="Y23:Y25" si="15">+W23+X23</f>
        <v>43205.058076923073</v>
      </c>
    </row>
    <row r="24" spans="1:27" x14ac:dyDescent="0.2">
      <c r="A24" s="177">
        <f t="shared" si="12"/>
        <v>5</v>
      </c>
      <c r="B24" s="177"/>
      <c r="C24" s="177">
        <v>2026</v>
      </c>
      <c r="D24" s="177">
        <v>6</v>
      </c>
      <c r="E24" s="180">
        <f>SUMIFS('8 Facilities-PIS (sort by date)'!S:S,'8 Facilities-PIS (sort by date)'!P:P,C:C,'8 Facilities-PIS (sort by date)'!Q:Q,D:D)</f>
        <v>1387626.1300000001</v>
      </c>
      <c r="F24" s="180">
        <f t="shared" si="0"/>
        <v>160252.77887531003</v>
      </c>
      <c r="G24" s="180">
        <f t="shared" si="1"/>
        <v>1227373.3511246901</v>
      </c>
      <c r="H24" s="171"/>
      <c r="I24" s="180">
        <f t="shared" si="2"/>
        <v>2622.5926306083124</v>
      </c>
      <c r="J24" s="171"/>
      <c r="K24" s="182"/>
      <c r="L24" s="180">
        <f t="shared" ref="L24:L25" si="16">$I24*(12-$D24+0.5)/12*7</f>
        <v>9943.9970577231834</v>
      </c>
      <c r="M24" s="180">
        <f t="shared" si="5"/>
        <v>9943.9970577231834</v>
      </c>
      <c r="N24" s="180"/>
      <c r="O24" s="180">
        <f t="shared" ref="O24:O25" si="17">+$I24*(12-$D24+0.5)/12*5</f>
        <v>7102.8550412308459</v>
      </c>
      <c r="P24" s="180">
        <f t="shared" ref="P24:P25" si="18">+($I24*7)</f>
        <v>18358.148414258187</v>
      </c>
      <c r="Q24" s="180">
        <f t="shared" si="13"/>
        <v>25461.003455489034</v>
      </c>
      <c r="R24" s="180"/>
      <c r="S24" s="180">
        <f t="shared" si="8"/>
        <v>13112.963153041563</v>
      </c>
      <c r="T24" s="180">
        <f t="shared" si="9"/>
        <v>18358.148414258187</v>
      </c>
      <c r="U24" s="180">
        <f t="shared" si="14"/>
        <v>31471.111567299748</v>
      </c>
      <c r="V24" s="180"/>
      <c r="W24" s="180">
        <f t="shared" si="10"/>
        <v>13112.963153041563</v>
      </c>
      <c r="X24" s="180">
        <f t="shared" si="11"/>
        <v>18358.148414258187</v>
      </c>
      <c r="Y24" s="180">
        <f t="shared" si="15"/>
        <v>31471.111567299748</v>
      </c>
    </row>
    <row r="25" spans="1:27" x14ac:dyDescent="0.2">
      <c r="A25" s="177">
        <f t="shared" si="12"/>
        <v>6</v>
      </c>
      <c r="B25" s="177"/>
      <c r="C25" s="177">
        <v>2026</v>
      </c>
      <c r="D25" s="177">
        <v>7</v>
      </c>
      <c r="E25" s="180">
        <f>SUMIFS('8 Facilities-PIS (sort by date)'!S:S,'8 Facilities-PIS (sort by date)'!P:P,C:C,'8 Facilities-PIS (sort by date)'!Q:Q,D:D)</f>
        <v>10579580</v>
      </c>
      <c r="F25" s="180">
        <f t="shared" si="0"/>
        <v>1221803.9554600001</v>
      </c>
      <c r="G25" s="180">
        <f t="shared" si="1"/>
        <v>9357776.0445399992</v>
      </c>
      <c r="H25" s="171"/>
      <c r="I25" s="180">
        <f t="shared" si="2"/>
        <v>19995.2479584188</v>
      </c>
      <c r="J25" s="171"/>
      <c r="K25" s="182"/>
      <c r="L25" s="180">
        <f t="shared" si="16"/>
        <v>64151.420533260309</v>
      </c>
      <c r="M25" s="180">
        <f t="shared" si="5"/>
        <v>64151.420533260309</v>
      </c>
      <c r="N25" s="180"/>
      <c r="O25" s="180">
        <f t="shared" si="17"/>
        <v>45822.443238043081</v>
      </c>
      <c r="P25" s="180">
        <f t="shared" si="18"/>
        <v>139966.73570893161</v>
      </c>
      <c r="Q25" s="180">
        <f t="shared" si="13"/>
        <v>185789.17894697469</v>
      </c>
      <c r="R25" s="180"/>
      <c r="S25" s="180">
        <f t="shared" si="8"/>
        <v>99976.239792093998</v>
      </c>
      <c r="T25" s="180">
        <f t="shared" si="9"/>
        <v>139966.73570893161</v>
      </c>
      <c r="U25" s="180">
        <f t="shared" si="14"/>
        <v>239942.97550102562</v>
      </c>
      <c r="V25" s="180"/>
      <c r="W25" s="180">
        <f t="shared" si="10"/>
        <v>99976.239792093998</v>
      </c>
      <c r="X25" s="180">
        <f t="shared" si="11"/>
        <v>139966.73570893161</v>
      </c>
      <c r="Y25" s="180">
        <f t="shared" si="15"/>
        <v>239942.97550102562</v>
      </c>
    </row>
    <row r="26" spans="1:27" x14ac:dyDescent="0.2">
      <c r="A26" s="177">
        <f t="shared" si="12"/>
        <v>7</v>
      </c>
      <c r="B26" s="177"/>
      <c r="C26" s="177">
        <v>2026</v>
      </c>
      <c r="D26" s="177">
        <v>9</v>
      </c>
      <c r="E26" s="180">
        <f>SUMIFS('8 Facilities-PIS (sort by date)'!S:S,'8 Facilities-PIS (sort by date)'!P:P,C:C,'8 Facilities-PIS (sort by date)'!Q:Q,D:D)</f>
        <v>1200000</v>
      </c>
      <c r="F26" s="180">
        <f t="shared" si="0"/>
        <v>138584.4</v>
      </c>
      <c r="G26" s="180">
        <f t="shared" si="1"/>
        <v>1061415.6000000001</v>
      </c>
      <c r="H26" s="171"/>
      <c r="I26" s="180">
        <f t="shared" si="2"/>
        <v>2267.9820512820515</v>
      </c>
      <c r="J26" s="171"/>
      <c r="K26" s="182"/>
      <c r="L26" s="182"/>
      <c r="M26" s="182"/>
      <c r="N26" s="171"/>
      <c r="O26" s="180">
        <f>+$I26*(12-$D26+0.5)</f>
        <v>7937.9371794871804</v>
      </c>
      <c r="P26" s="180">
        <f>+($I26*7)</f>
        <v>15875.874358974361</v>
      </c>
      <c r="Q26" s="180">
        <f>+O26+P26</f>
        <v>23813.811538461541</v>
      </c>
      <c r="R26" s="180"/>
      <c r="S26" s="180">
        <f t="shared" si="8"/>
        <v>11339.910256410258</v>
      </c>
      <c r="T26" s="180">
        <f t="shared" si="9"/>
        <v>15875.874358974361</v>
      </c>
      <c r="U26" s="180">
        <f>+S26+T26</f>
        <v>27215.784615384619</v>
      </c>
      <c r="V26" s="180"/>
      <c r="W26" s="180">
        <f t="shared" si="10"/>
        <v>11339.910256410258</v>
      </c>
      <c r="X26" s="180">
        <f t="shared" si="11"/>
        <v>15875.874358974361</v>
      </c>
      <c r="Y26" s="180">
        <f>+W26+X26</f>
        <v>27215.784615384619</v>
      </c>
    </row>
    <row r="27" spans="1:27" x14ac:dyDescent="0.2">
      <c r="A27" s="177">
        <f t="shared" si="12"/>
        <v>8</v>
      </c>
      <c r="C27" s="177">
        <v>2026</v>
      </c>
      <c r="D27" s="177">
        <v>12</v>
      </c>
      <c r="E27" s="180">
        <f>SUMIFS('8 Facilities-PIS (sort by date)'!S:S,'8 Facilities-PIS (sort by date)'!P:P,C:C,'8 Facilities-PIS (sort by date)'!Q:Q,D:D)</f>
        <v>0</v>
      </c>
      <c r="F27" s="180">
        <f t="shared" si="0"/>
        <v>0</v>
      </c>
      <c r="G27" s="180">
        <f t="shared" si="1"/>
        <v>0</v>
      </c>
      <c r="I27" s="180">
        <f t="shared" si="2"/>
        <v>0</v>
      </c>
      <c r="K27" s="182"/>
      <c r="L27" s="182"/>
      <c r="M27" s="182"/>
      <c r="O27" s="180">
        <f>+$I27*(12-$D27+0.5)</f>
        <v>0</v>
      </c>
      <c r="P27" s="180">
        <f>+($I27*7)</f>
        <v>0</v>
      </c>
      <c r="Q27" s="180">
        <f t="shared" ref="Q27:Q28" si="19">+O27+P27</f>
        <v>0</v>
      </c>
      <c r="R27" s="180"/>
      <c r="S27" s="180">
        <f t="shared" si="8"/>
        <v>0</v>
      </c>
      <c r="T27" s="180">
        <f t="shared" si="9"/>
        <v>0</v>
      </c>
      <c r="U27" s="180">
        <f>+S27+T27</f>
        <v>0</v>
      </c>
      <c r="V27" s="180"/>
      <c r="W27" s="180">
        <f t="shared" si="10"/>
        <v>0</v>
      </c>
      <c r="X27" s="180">
        <f t="shared" si="11"/>
        <v>0</v>
      </c>
      <c r="Y27" s="180">
        <f>+W27+X27</f>
        <v>0</v>
      </c>
    </row>
    <row r="28" spans="1:27" x14ac:dyDescent="0.2">
      <c r="A28" s="177">
        <f t="shared" si="12"/>
        <v>9</v>
      </c>
      <c r="B28" s="177"/>
      <c r="C28" s="177">
        <v>2027</v>
      </c>
      <c r="D28" s="177">
        <v>3</v>
      </c>
      <c r="E28" s="180">
        <f>SUMIFS('8 Facilities-PIS (sort by date)'!S:S,'8 Facilities-PIS (sort by date)'!P:P,C:C,'8 Facilities-PIS (sort by date)'!Q:Q,D:D)</f>
        <v>0</v>
      </c>
      <c r="F28" s="180">
        <f t="shared" si="0"/>
        <v>0</v>
      </c>
      <c r="G28" s="180">
        <f t="shared" si="1"/>
        <v>0</v>
      </c>
      <c r="I28" s="180">
        <f t="shared" si="2"/>
        <v>0</v>
      </c>
      <c r="K28" s="183"/>
      <c r="L28" s="183"/>
      <c r="M28" s="183"/>
      <c r="O28" s="182"/>
      <c r="P28" s="180">
        <f t="shared" ref="P28" si="20">+$G28/39/12*(12-$D28+0.5)/12*7</f>
        <v>0</v>
      </c>
      <c r="Q28" s="180">
        <f t="shared" si="19"/>
        <v>0</v>
      </c>
      <c r="R28" s="180"/>
      <c r="S28" s="180">
        <f>+$I28*(12-$D28+0.5)/12*5</f>
        <v>0</v>
      </c>
      <c r="T28" s="180">
        <f t="shared" si="9"/>
        <v>0</v>
      </c>
      <c r="U28" s="180">
        <f t="shared" ref="U28" si="21">+S28+T28</f>
        <v>0</v>
      </c>
      <c r="V28" s="180"/>
      <c r="W28" s="180">
        <f t="shared" si="10"/>
        <v>0</v>
      </c>
      <c r="X28" s="180">
        <f t="shared" si="11"/>
        <v>0</v>
      </c>
      <c r="Y28" s="180">
        <f t="shared" ref="Y28" si="22">+W28+X28</f>
        <v>0</v>
      </c>
    </row>
    <row r="29" spans="1:27" x14ac:dyDescent="0.2">
      <c r="A29" s="177">
        <f t="shared" si="12"/>
        <v>10</v>
      </c>
      <c r="C29" s="177">
        <v>2027</v>
      </c>
      <c r="D29" s="177">
        <v>8</v>
      </c>
      <c r="E29" s="180">
        <f>SUMIFS('8 Facilities-PIS (sort by date)'!S:S,'8 Facilities-PIS (sort by date)'!P:P,C:C,'8 Facilities-PIS (sort by date)'!Q:Q,D:D)</f>
        <v>14828265.73</v>
      </c>
      <c r="F29" s="180">
        <f t="shared" si="0"/>
        <v>1712471.9243605102</v>
      </c>
      <c r="G29" s="180">
        <f t="shared" si="1"/>
        <v>13115793.80563949</v>
      </c>
      <c r="I29" s="180">
        <f t="shared" si="2"/>
        <v>28025.200439400622</v>
      </c>
      <c r="K29" s="183"/>
      <c r="L29" s="183"/>
      <c r="M29" s="183"/>
      <c r="O29" s="183"/>
      <c r="P29" s="183"/>
      <c r="Q29" s="183"/>
      <c r="R29" s="180"/>
      <c r="S29" s="180">
        <f>+$I29*(12-$D29+0.5)</f>
        <v>126113.4019773028</v>
      </c>
      <c r="T29" s="180">
        <f t="shared" si="9"/>
        <v>196176.40307580435</v>
      </c>
      <c r="U29" s="180">
        <f>+S29+T29</f>
        <v>322289.80505310715</v>
      </c>
      <c r="V29" s="180"/>
      <c r="W29" s="180">
        <f t="shared" si="10"/>
        <v>140126.00219700311</v>
      </c>
      <c r="X29" s="180">
        <f t="shared" si="11"/>
        <v>196176.40307580435</v>
      </c>
      <c r="Y29" s="180">
        <f>+W29+X29</f>
        <v>336302.40527280746</v>
      </c>
    </row>
    <row r="30" spans="1:27" x14ac:dyDescent="0.2">
      <c r="A30" s="177">
        <f t="shared" si="12"/>
        <v>11</v>
      </c>
      <c r="C30" s="177">
        <v>2027</v>
      </c>
      <c r="D30" s="177">
        <v>9</v>
      </c>
      <c r="E30" s="180">
        <f>SUMIFS('8 Facilities-PIS (sort by date)'!S:S,'8 Facilities-PIS (sort by date)'!P:P,C:C,'8 Facilities-PIS (sort by date)'!Q:Q,D:D)</f>
        <v>11430000</v>
      </c>
      <c r="F30" s="180">
        <f t="shared" si="0"/>
        <v>1320016.4100000001</v>
      </c>
      <c r="G30" s="180">
        <f t="shared" si="1"/>
        <v>10109983.59</v>
      </c>
      <c r="I30" s="180">
        <f t="shared" si="2"/>
        <v>21602.52903846154</v>
      </c>
      <c r="K30" s="183"/>
      <c r="L30" s="183"/>
      <c r="M30" s="183"/>
      <c r="O30" s="183"/>
      <c r="P30" s="183"/>
      <c r="Q30" s="183"/>
      <c r="R30" s="180"/>
      <c r="S30" s="180">
        <f t="shared" ref="S30:S31" si="23">+$I30*(12-$D30+0.5)</f>
        <v>75608.851634615392</v>
      </c>
      <c r="T30" s="180">
        <f t="shared" si="9"/>
        <v>151217.70326923078</v>
      </c>
      <c r="U30" s="180">
        <f t="shared" ref="U30:U32" si="24">+S30+T30</f>
        <v>226826.55490384618</v>
      </c>
      <c r="V30" s="180"/>
      <c r="W30" s="180">
        <f t="shared" si="10"/>
        <v>108012.6451923077</v>
      </c>
      <c r="X30" s="180">
        <f t="shared" si="11"/>
        <v>151217.70326923078</v>
      </c>
      <c r="Y30" s="180">
        <f t="shared" ref="Y30:Y37" si="25">+W30+X30</f>
        <v>259230.3484615385</v>
      </c>
    </row>
    <row r="31" spans="1:27" x14ac:dyDescent="0.2">
      <c r="A31" s="177">
        <f t="shared" si="12"/>
        <v>12</v>
      </c>
      <c r="C31" s="177">
        <v>2027</v>
      </c>
      <c r="D31" s="177">
        <v>11</v>
      </c>
      <c r="E31" s="180">
        <f>SUMIFS('8 Facilities-PIS (sort by date)'!S:S,'8 Facilities-PIS (sort by date)'!P:P,C:C,'8 Facilities-PIS (sort by date)'!Q:Q,D:D)</f>
        <v>0</v>
      </c>
      <c r="F31" s="180">
        <f t="shared" si="0"/>
        <v>0</v>
      </c>
      <c r="G31" s="180">
        <f t="shared" si="1"/>
        <v>0</v>
      </c>
      <c r="I31" s="180">
        <f t="shared" si="2"/>
        <v>0</v>
      </c>
      <c r="K31" s="183"/>
      <c r="L31" s="183"/>
      <c r="M31" s="183"/>
      <c r="O31" s="183"/>
      <c r="P31" s="183"/>
      <c r="Q31" s="183"/>
      <c r="R31" s="180"/>
      <c r="S31" s="180">
        <f t="shared" si="23"/>
        <v>0</v>
      </c>
      <c r="T31" s="180">
        <f t="shared" si="9"/>
        <v>0</v>
      </c>
      <c r="U31" s="180">
        <f t="shared" si="24"/>
        <v>0</v>
      </c>
      <c r="V31" s="180"/>
      <c r="W31" s="180">
        <f t="shared" si="10"/>
        <v>0</v>
      </c>
      <c r="X31" s="180">
        <f t="shared" si="11"/>
        <v>0</v>
      </c>
      <c r="Y31" s="180">
        <f t="shared" si="25"/>
        <v>0</v>
      </c>
    </row>
    <row r="32" spans="1:27" x14ac:dyDescent="0.2">
      <c r="A32" s="177">
        <f t="shared" si="12"/>
        <v>13</v>
      </c>
      <c r="C32" s="177">
        <v>2028</v>
      </c>
      <c r="D32" s="177">
        <v>3</v>
      </c>
      <c r="E32" s="180">
        <f>SUMIFS('8 Facilities-PIS (sort by date)'!S:S,'8 Facilities-PIS (sort by date)'!P:P,C:C,'8 Facilities-PIS (sort by date)'!Q:Q,D:D)</f>
        <v>7175500</v>
      </c>
      <c r="F32" s="180">
        <f t="shared" si="0"/>
        <v>828676.96850000008</v>
      </c>
      <c r="G32" s="180">
        <f t="shared" si="1"/>
        <v>6346823.0314999996</v>
      </c>
      <c r="I32" s="180">
        <f t="shared" si="2"/>
        <v>13561.587674145298</v>
      </c>
      <c r="K32" s="183"/>
      <c r="L32" s="183"/>
      <c r="M32" s="183"/>
      <c r="O32" s="183"/>
      <c r="P32" s="183"/>
      <c r="Q32" s="183"/>
      <c r="S32" s="183"/>
      <c r="T32" s="180">
        <f>+$I32*(12-$D32+0.5)/12*7</f>
        <v>75153.798360888526</v>
      </c>
      <c r="U32" s="180">
        <f t="shared" si="24"/>
        <v>75153.798360888526</v>
      </c>
      <c r="V32" s="180"/>
      <c r="W32" s="180">
        <f>+$I32*(12-$D32+0.5)/12*5</f>
        <v>53681.284543491798</v>
      </c>
      <c r="X32" s="180">
        <f t="shared" si="11"/>
        <v>94931.113719017085</v>
      </c>
      <c r="Y32" s="180">
        <f t="shared" si="25"/>
        <v>148612.39826250888</v>
      </c>
    </row>
    <row r="33" spans="1:25" x14ac:dyDescent="0.2">
      <c r="A33" s="177">
        <f t="shared" si="12"/>
        <v>14</v>
      </c>
      <c r="C33" s="177">
        <v>2028</v>
      </c>
      <c r="D33" s="177">
        <v>9</v>
      </c>
      <c r="E33" s="180">
        <f>SUMIFS('8 Facilities-PIS (sort by date)'!S:S,'8 Facilities-PIS (sort by date)'!P:P,C:C,'8 Facilities-PIS (sort by date)'!Q:Q,D:D)</f>
        <v>8375625.8700000001</v>
      </c>
      <c r="F33" s="180">
        <f t="shared" si="0"/>
        <v>967275.90484869003</v>
      </c>
      <c r="G33" s="180">
        <f t="shared" si="1"/>
        <v>7408349.96515131</v>
      </c>
      <c r="I33" s="180">
        <f t="shared" si="2"/>
        <v>15829.807617844679</v>
      </c>
      <c r="K33" s="183"/>
      <c r="L33" s="183"/>
      <c r="M33" s="183"/>
      <c r="O33" s="183"/>
      <c r="P33" s="183"/>
      <c r="Q33" s="183"/>
      <c r="S33" s="183"/>
      <c r="T33" s="183"/>
      <c r="U33" s="183"/>
      <c r="W33" s="180">
        <f t="shared" ref="W33:W35" si="26">+$G33/39/12*(12-$D33+0.5)</f>
        <v>55404.326662456377</v>
      </c>
      <c r="X33" s="180">
        <f t="shared" si="11"/>
        <v>110808.65332491275</v>
      </c>
      <c r="Y33" s="180">
        <f t="shared" si="25"/>
        <v>166212.97998736912</v>
      </c>
    </row>
    <row r="34" spans="1:25" x14ac:dyDescent="0.2">
      <c r="A34" s="177">
        <f t="shared" si="12"/>
        <v>15</v>
      </c>
      <c r="C34" s="177">
        <v>2028</v>
      </c>
      <c r="D34" s="177">
        <v>10</v>
      </c>
      <c r="E34" s="180">
        <f>SUMIFS('8 Facilities-PIS (sort by date)'!S:S,'8 Facilities-PIS (sort by date)'!P:P,C:C,'8 Facilities-PIS (sort by date)'!Q:Q,D:D)</f>
        <v>1905000</v>
      </c>
      <c r="F34" s="180">
        <f t="shared" si="0"/>
        <v>220002.73500000002</v>
      </c>
      <c r="G34" s="180">
        <f t="shared" si="1"/>
        <v>1684997.2649999999</v>
      </c>
      <c r="I34" s="180">
        <f t="shared" si="2"/>
        <v>3600.4215064102559</v>
      </c>
      <c r="K34" s="183"/>
      <c r="L34" s="183"/>
      <c r="M34" s="183"/>
      <c r="O34" s="183"/>
      <c r="P34" s="183"/>
      <c r="Q34" s="183"/>
      <c r="S34" s="183"/>
      <c r="T34" s="183"/>
      <c r="U34" s="183"/>
      <c r="W34" s="180">
        <f t="shared" si="26"/>
        <v>9001.0537660256396</v>
      </c>
      <c r="X34" s="180">
        <f t="shared" si="11"/>
        <v>25202.95054487179</v>
      </c>
      <c r="Y34" s="180">
        <f t="shared" si="25"/>
        <v>34204.004310897428</v>
      </c>
    </row>
    <row r="35" spans="1:25" x14ac:dyDescent="0.2">
      <c r="A35" s="177">
        <f t="shared" si="12"/>
        <v>16</v>
      </c>
      <c r="C35" s="177">
        <v>2028</v>
      </c>
      <c r="D35" s="177">
        <v>12</v>
      </c>
      <c r="E35" s="180">
        <f>SUMIFS('8 Facilities-PIS (sort by date)'!S:S,'8 Facilities-PIS (sort by date)'!P:P,C:C,'8 Facilities-PIS (sort by date)'!Q:Q,D:D)</f>
        <v>1651000</v>
      </c>
      <c r="F35" s="180">
        <f t="shared" si="0"/>
        <v>190669.03700000001</v>
      </c>
      <c r="G35" s="180">
        <f t="shared" si="1"/>
        <v>1460330.963</v>
      </c>
      <c r="I35" s="180">
        <f t="shared" si="2"/>
        <v>3120.3653055555556</v>
      </c>
      <c r="K35" s="183"/>
      <c r="L35" s="183"/>
      <c r="M35" s="183"/>
      <c r="O35" s="183"/>
      <c r="P35" s="183"/>
      <c r="Q35" s="183"/>
      <c r="S35" s="183"/>
      <c r="T35" s="183"/>
      <c r="U35" s="183"/>
      <c r="W35" s="180">
        <f t="shared" si="26"/>
        <v>1560.1826527777778</v>
      </c>
      <c r="X35" s="180">
        <f t="shared" si="11"/>
        <v>21842.557138888889</v>
      </c>
      <c r="Y35" s="180">
        <f t="shared" si="25"/>
        <v>23402.739791666667</v>
      </c>
    </row>
    <row r="36" spans="1:25" x14ac:dyDescent="0.2">
      <c r="A36" s="177">
        <f t="shared" si="12"/>
        <v>17</v>
      </c>
      <c r="C36" s="177">
        <v>2029</v>
      </c>
      <c r="D36" s="177">
        <v>2</v>
      </c>
      <c r="E36" s="180">
        <f>SUMIFS('8 Facilities-PIS (sort by date)'!S:S,'8 Facilities-PIS (sort by date)'!P:P,C:C,'8 Facilities-PIS (sort by date)'!Q:Q,D:D)</f>
        <v>500000</v>
      </c>
      <c r="F36" s="180">
        <f t="shared" si="0"/>
        <v>57743.5</v>
      </c>
      <c r="G36" s="180">
        <f t="shared" si="1"/>
        <v>442256.5</v>
      </c>
      <c r="I36" s="180">
        <f t="shared" si="2"/>
        <v>944.99252136752136</v>
      </c>
      <c r="K36" s="183"/>
      <c r="L36" s="183"/>
      <c r="M36" s="183"/>
      <c r="O36" s="183"/>
      <c r="P36" s="183"/>
      <c r="Q36" s="183"/>
      <c r="S36" s="183"/>
      <c r="T36" s="183"/>
      <c r="U36" s="183"/>
      <c r="W36" s="183"/>
      <c r="X36" s="180">
        <f>+$I36*(12-$D36+0.5)/12*7</f>
        <v>5788.0791933760684</v>
      </c>
      <c r="Y36" s="180">
        <f t="shared" si="25"/>
        <v>5788.0791933760684</v>
      </c>
    </row>
    <row r="37" spans="1:25" x14ac:dyDescent="0.2">
      <c r="A37" s="177">
        <f t="shared" si="12"/>
        <v>18</v>
      </c>
      <c r="C37" s="177">
        <v>2029</v>
      </c>
      <c r="D37" s="177">
        <v>6</v>
      </c>
      <c r="E37" s="180">
        <f>SUMIFS('8 Facilities-PIS (sort by date)'!S:S,'8 Facilities-PIS (sort by date)'!P:P,C:C,'8 Facilities-PIS (sort by date)'!Q:Q,D:D)</f>
        <v>0</v>
      </c>
      <c r="F37" s="180">
        <f t="shared" si="0"/>
        <v>0</v>
      </c>
      <c r="G37" s="180">
        <f t="shared" si="1"/>
        <v>0</v>
      </c>
      <c r="I37" s="180">
        <f t="shared" si="2"/>
        <v>0</v>
      </c>
      <c r="K37" s="183"/>
      <c r="L37" s="183"/>
      <c r="M37" s="183"/>
      <c r="O37" s="183"/>
      <c r="P37" s="183"/>
      <c r="Q37" s="183"/>
      <c r="S37" s="183"/>
      <c r="T37" s="183"/>
      <c r="U37" s="183"/>
      <c r="W37" s="183"/>
      <c r="X37" s="180">
        <f>+$I37*(12-$D37+0.5)/12*7</f>
        <v>0</v>
      </c>
      <c r="Y37" s="180">
        <f t="shared" si="25"/>
        <v>0</v>
      </c>
    </row>
    <row r="38" spans="1:25" x14ac:dyDescent="0.2">
      <c r="A38" s="177">
        <f t="shared" si="12"/>
        <v>19</v>
      </c>
      <c r="C38" s="184" t="s">
        <v>307</v>
      </c>
      <c r="E38" s="185">
        <f t="shared" ref="E38:F38" si="27">SUM(E20:E37)</f>
        <v>70218097.729999989</v>
      </c>
      <c r="F38" s="185">
        <f t="shared" si="27"/>
        <v>8109277.4525445122</v>
      </c>
      <c r="G38" s="185">
        <f>SUM(G20:G37)</f>
        <v>62108820.277455494</v>
      </c>
      <c r="K38" s="186">
        <f t="shared" ref="K38:M38" si="28">SUM(K20:K37)</f>
        <v>47588.405887286324</v>
      </c>
      <c r="L38" s="186">
        <f t="shared" si="28"/>
        <v>216827.79676272493</v>
      </c>
      <c r="M38" s="186">
        <f t="shared" si="28"/>
        <v>264416.20265001128</v>
      </c>
      <c r="O38" s="186">
        <f t="shared" ref="O38:Q38" si="29">SUM(O20:O37)</f>
        <v>162814.93486714785</v>
      </c>
      <c r="P38" s="186">
        <f t="shared" si="29"/>
        <v>322183.75235075387</v>
      </c>
      <c r="Q38" s="186">
        <f t="shared" si="29"/>
        <v>484998.68721790175</v>
      </c>
      <c r="S38" s="186">
        <f t="shared" ref="S38:U38" si="30">SUM(S20:S37)</f>
        <v>431853.50529102812</v>
      </c>
      <c r="T38" s="186">
        <f t="shared" si="30"/>
        <v>744731.6570566775</v>
      </c>
      <c r="U38" s="186">
        <f t="shared" si="30"/>
        <v>1176585.1623477058</v>
      </c>
      <c r="W38" s="186">
        <f t="shared" ref="W38:Y38" si="31">SUM(W20:W37)</f>
        <v>597916.74669317238</v>
      </c>
      <c r="X38" s="186">
        <f t="shared" si="31"/>
        <v>928151.21261685563</v>
      </c>
      <c r="Y38" s="186">
        <f t="shared" si="31"/>
        <v>1526067.9593100278</v>
      </c>
    </row>
    <row r="40" spans="1:25" ht="15" customHeight="1" x14ac:dyDescent="0.2">
      <c r="A40" s="187">
        <v>20</v>
      </c>
      <c r="B40" s="184"/>
      <c r="C40" s="367" t="s">
        <v>873</v>
      </c>
      <c r="D40" s="367"/>
      <c r="E40" s="184"/>
      <c r="F40" s="188" t="s">
        <v>178</v>
      </c>
      <c r="G40" s="189">
        <f>+G38*'9 COR'!$G$4</f>
        <v>7757391.6526541905</v>
      </c>
      <c r="H40" s="361" t="s">
        <v>26</v>
      </c>
      <c r="I40" s="361"/>
      <c r="J40" s="184" t="s">
        <v>26</v>
      </c>
      <c r="K40" s="189">
        <f>SUM(G20:G22)*'9 COR'!$G$4</f>
        <v>1025269.4897728499</v>
      </c>
      <c r="L40" s="189">
        <f>SUM(G23:G25)*'9 COR'!$G$4</f>
        <v>1532541.3179170196</v>
      </c>
      <c r="M40" s="189">
        <f>+K40+L40</f>
        <v>2557810.8076898698</v>
      </c>
      <c r="N40" s="184" t="s">
        <v>26</v>
      </c>
      <c r="O40" s="189">
        <f>SUM(G26:G27)*'9 COR'!$G$4</f>
        <v>132570.80844000002</v>
      </c>
      <c r="P40" s="189">
        <f>SUM(G28)*'9 COR'!$G$4</f>
        <v>0</v>
      </c>
      <c r="Q40" s="189">
        <f>+O40+P40</f>
        <v>132570.80844000002</v>
      </c>
      <c r="R40" s="184" t="s">
        <v>26</v>
      </c>
      <c r="S40" s="189">
        <f>SUM(G29:G31)*'9 COR'!$G$4</f>
        <v>2900899.5967153721</v>
      </c>
      <c r="T40" s="189">
        <f>SUM(G32)*'9 COR'!$G$4</f>
        <v>792718.19663434988</v>
      </c>
      <c r="U40" s="189">
        <f>+S40+T40</f>
        <v>3693617.7933497219</v>
      </c>
      <c r="V40" s="184" t="s">
        <v>26</v>
      </c>
      <c r="W40" s="189">
        <f>SUM(G33:G35)*'9 COR'!$G$4</f>
        <v>1318154.4063245987</v>
      </c>
      <c r="X40" s="189">
        <f>SUM(G36:G37)*'9 COR'!$G$4</f>
        <v>55237.83685</v>
      </c>
      <c r="Y40" s="189">
        <f>+W40+X40</f>
        <v>1373392.2431745988</v>
      </c>
    </row>
    <row r="41" spans="1:25" x14ac:dyDescent="0.2">
      <c r="A41" s="187">
        <v>21</v>
      </c>
      <c r="B41" s="184"/>
      <c r="C41" s="184" t="s">
        <v>308</v>
      </c>
      <c r="D41" s="184"/>
      <c r="E41" s="184" t="s">
        <v>26</v>
      </c>
      <c r="F41" s="184" t="s">
        <v>26</v>
      </c>
      <c r="G41" s="190">
        <f>+G38+G40</f>
        <v>69866211.93010968</v>
      </c>
      <c r="H41" s="361" t="s">
        <v>26</v>
      </c>
      <c r="I41" s="361"/>
      <c r="J41" s="184" t="s">
        <v>26</v>
      </c>
      <c r="K41" s="190">
        <f t="shared" ref="K41:M41" si="32">+K38+K40</f>
        <v>1072857.8956601364</v>
      </c>
      <c r="L41" s="190">
        <f t="shared" si="32"/>
        <v>1749369.1146797445</v>
      </c>
      <c r="M41" s="190">
        <f t="shared" si="32"/>
        <v>2822227.0103398813</v>
      </c>
      <c r="N41" s="184" t="s">
        <v>26</v>
      </c>
      <c r="O41" s="190">
        <f t="shared" ref="O41:Q41" si="33">+O38+O40</f>
        <v>295385.74330714787</v>
      </c>
      <c r="P41" s="190">
        <f t="shared" si="33"/>
        <v>322183.75235075387</v>
      </c>
      <c r="Q41" s="190">
        <f t="shared" si="33"/>
        <v>617569.49565790175</v>
      </c>
      <c r="R41" s="184" t="s">
        <v>26</v>
      </c>
      <c r="S41" s="190">
        <f t="shared" ref="S41:U41" si="34">+S38+S40</f>
        <v>3332753.1020064</v>
      </c>
      <c r="T41" s="190">
        <f t="shared" si="34"/>
        <v>1537449.8536910275</v>
      </c>
      <c r="U41" s="190">
        <f t="shared" si="34"/>
        <v>4870202.9556974275</v>
      </c>
      <c r="V41" s="184" t="s">
        <v>26</v>
      </c>
      <c r="W41" s="190">
        <f t="shared" ref="W41:Y41" si="35">+W38+W40</f>
        <v>1916071.153017771</v>
      </c>
      <c r="X41" s="190">
        <f t="shared" si="35"/>
        <v>983389.04946685559</v>
      </c>
      <c r="Y41" s="190">
        <f t="shared" si="35"/>
        <v>2899460.2024846263</v>
      </c>
    </row>
    <row r="43" spans="1:25" x14ac:dyDescent="0.2">
      <c r="A43" s="164" t="s">
        <v>309</v>
      </c>
    </row>
    <row r="44" spans="1:25" x14ac:dyDescent="0.2">
      <c r="A44" s="164" t="s">
        <v>23</v>
      </c>
      <c r="C44" s="164" t="s">
        <v>27</v>
      </c>
    </row>
    <row r="45" spans="1:25" x14ac:dyDescent="0.2">
      <c r="A45" s="191" t="s">
        <v>81</v>
      </c>
      <c r="C45" s="362" t="s">
        <v>875</v>
      </c>
      <c r="D45" s="362"/>
      <c r="E45" s="362"/>
      <c r="F45" s="362"/>
      <c r="G45" s="362"/>
      <c r="H45" s="362"/>
      <c r="I45" s="362"/>
      <c r="J45" s="362"/>
      <c r="K45" s="362"/>
      <c r="L45" s="362"/>
      <c r="M45" s="362"/>
      <c r="N45" s="362"/>
      <c r="O45" s="362"/>
      <c r="P45" s="362"/>
      <c r="Q45" s="362"/>
      <c r="R45" s="362"/>
      <c r="S45" s="362"/>
      <c r="T45" s="362"/>
      <c r="U45" s="362"/>
      <c r="V45" s="362"/>
      <c r="W45" s="362"/>
      <c r="X45" s="362"/>
      <c r="Y45" s="362"/>
    </row>
    <row r="46" spans="1:25" x14ac:dyDescent="0.2">
      <c r="A46" s="191"/>
      <c r="C46" s="192" t="s">
        <v>876</v>
      </c>
      <c r="D46" s="192"/>
      <c r="E46" s="192"/>
      <c r="F46" s="192"/>
      <c r="G46" s="192"/>
      <c r="H46" s="192"/>
      <c r="I46" s="192"/>
      <c r="J46" s="192"/>
      <c r="K46" s="192"/>
      <c r="L46" s="192"/>
      <c r="M46" s="192"/>
      <c r="N46" s="192"/>
      <c r="O46" s="192"/>
      <c r="P46" s="192"/>
      <c r="Q46" s="192"/>
      <c r="R46" s="192"/>
      <c r="S46" s="192"/>
      <c r="T46" s="192"/>
      <c r="U46" s="192"/>
      <c r="V46" s="192"/>
      <c r="W46" s="192"/>
      <c r="X46" s="192"/>
      <c r="Y46" s="192"/>
    </row>
    <row r="47" spans="1:25" x14ac:dyDescent="0.2">
      <c r="A47" s="191" t="s">
        <v>178</v>
      </c>
      <c r="C47" s="164" t="s">
        <v>874</v>
      </c>
      <c r="D47" s="192"/>
      <c r="E47" s="192"/>
      <c r="F47" s="192"/>
      <c r="G47" s="192"/>
      <c r="H47" s="192"/>
      <c r="I47" s="192"/>
      <c r="J47" s="192"/>
      <c r="K47" s="192"/>
      <c r="L47" s="192"/>
      <c r="M47" s="192"/>
      <c r="N47" s="192"/>
      <c r="O47" s="192"/>
      <c r="P47" s="192"/>
      <c r="Q47" s="192"/>
      <c r="R47" s="192"/>
      <c r="S47" s="192"/>
      <c r="T47" s="192"/>
      <c r="U47" s="192"/>
      <c r="V47" s="192"/>
      <c r="W47" s="192"/>
      <c r="X47" s="192"/>
      <c r="Y47" s="192"/>
    </row>
    <row r="49" spans="1:7" x14ac:dyDescent="0.2">
      <c r="A49" s="164" t="s">
        <v>310</v>
      </c>
    </row>
    <row r="50" spans="1:7" x14ac:dyDescent="0.2">
      <c r="A50" s="164" t="str">
        <f>"Lines "&amp;A20&amp;" thru "&amp;A22&amp;K18</f>
        <v>Lines 1 thru 3(g)</v>
      </c>
      <c r="G50" s="164" t="s">
        <v>311</v>
      </c>
    </row>
    <row r="51" spans="1:7" x14ac:dyDescent="0.2">
      <c r="G51" s="164" t="s">
        <v>312</v>
      </c>
    </row>
    <row r="53" spans="1:7" x14ac:dyDescent="0.2">
      <c r="A53" s="164" t="s">
        <v>313</v>
      </c>
    </row>
    <row r="54" spans="1:7" x14ac:dyDescent="0.2">
      <c r="A54" s="164" t="str">
        <f>+"Lines "&amp;A23&amp;" thru "&amp;A25&amp;L18&amp;", "&amp;A28&amp;P18&amp;", "&amp;A32&amp;T18&amp;", and "&amp;A36&amp;" thru "&amp;A37&amp;X18</f>
        <v>Lines 4 thru 6(h), 9(k), 13(n), and 17 thru 18(q)</v>
      </c>
      <c r="G54" s="164" t="s">
        <v>314</v>
      </c>
    </row>
    <row r="55" spans="1:7" x14ac:dyDescent="0.2">
      <c r="G55" s="164" t="s">
        <v>312</v>
      </c>
    </row>
    <row r="57" spans="1:7" x14ac:dyDescent="0.2">
      <c r="A57" s="164" t="s">
        <v>315</v>
      </c>
    </row>
    <row r="58" spans="1:7" x14ac:dyDescent="0.2">
      <c r="A58" s="164" t="str">
        <f>+"Lines "&amp;A26&amp;" thru "&amp;A27&amp;O18&amp;", "&amp;A29&amp;" thru "&amp;A31&amp;S18&amp;", and "&amp;A33&amp;" thru "&amp;A35&amp;W18</f>
        <v>Lines 7 thru 8(j), 10 thru 12(m), and 14 thru 16(p)</v>
      </c>
      <c r="G58" s="164" t="s">
        <v>316</v>
      </c>
    </row>
    <row r="59" spans="1:7" x14ac:dyDescent="0.2">
      <c r="G59" s="164" t="s">
        <v>312</v>
      </c>
    </row>
  </sheetData>
  <mergeCells count="16">
    <mergeCell ref="H41:I41"/>
    <mergeCell ref="C45:Y45"/>
    <mergeCell ref="A10:Y10"/>
    <mergeCell ref="A11:Y11"/>
    <mergeCell ref="A12:Y12"/>
    <mergeCell ref="K15:M15"/>
    <mergeCell ref="O15:Q15"/>
    <mergeCell ref="S15:U15"/>
    <mergeCell ref="W15:Y15"/>
    <mergeCell ref="C16:G16"/>
    <mergeCell ref="K16:M16"/>
    <mergeCell ref="O16:Q16"/>
    <mergeCell ref="S16:U16"/>
    <mergeCell ref="W16:Y16"/>
    <mergeCell ref="H40:I40"/>
    <mergeCell ref="C40:D40"/>
  </mergeCells>
  <printOptions horizontalCentered="1"/>
  <pageMargins left="1" right="0.5" top="0.5" bottom="0.5" header="0.5" footer="0.5"/>
  <pageSetup scale="4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E2FEB-467B-4883-B598-C6C247722DAE}">
  <sheetPr>
    <tabColor rgb="FFFFFF00"/>
  </sheetPr>
  <dimension ref="A1"/>
  <sheetViews>
    <sheetView workbookViewId="0">
      <selection activeCell="L35" sqref="L35"/>
    </sheetView>
  </sheetViews>
  <sheetFormatPr defaultRowHeight="15" x14ac:dyDescent="0.25"/>
  <sheetData/>
  <pageMargins left="0.7" right="0.7" top="0.75" bottom="0.75" header="0.3" footer="0.3"/>
  <pageSetup orientation="portrait" horizontalDpi="200" verticalDpi="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5AD04-2047-4628-9642-2E385DF2ACC8}">
  <dimension ref="A2:G35"/>
  <sheetViews>
    <sheetView workbookViewId="0">
      <selection activeCell="E9" sqref="E9"/>
    </sheetView>
  </sheetViews>
  <sheetFormatPr defaultRowHeight="15" x14ac:dyDescent="0.25"/>
  <cols>
    <col min="2" max="2" width="12.85546875" customWidth="1"/>
    <col min="3" max="4" width="5.42578125" customWidth="1"/>
  </cols>
  <sheetData>
    <row r="2" spans="1:7" x14ac:dyDescent="0.25">
      <c r="A2" t="s">
        <v>0</v>
      </c>
    </row>
    <row r="4" spans="1:7" x14ac:dyDescent="0.25">
      <c r="C4" t="s">
        <v>1</v>
      </c>
    </row>
    <row r="5" spans="1:7" x14ac:dyDescent="0.25">
      <c r="B5" t="str">
        <f>+'ADIT 1 Electric'!G6</f>
        <v>Page 1 of 17</v>
      </c>
      <c r="C5">
        <f>+'ADIT 1 Electric'!A50</f>
        <v>32</v>
      </c>
      <c r="E5" t="str">
        <f>+'ADIT 1 Electric'!C50</f>
        <v xml:space="preserve">   Book Depreciation</v>
      </c>
      <c r="G5" s="19" t="s">
        <v>2</v>
      </c>
    </row>
    <row r="6" spans="1:7" x14ac:dyDescent="0.25">
      <c r="B6" t="str">
        <f>+B5</f>
        <v>Page 1 of 17</v>
      </c>
      <c r="C6">
        <f>+'ADIT 1 Electric'!A60</f>
        <v>42</v>
      </c>
      <c r="E6" t="str">
        <f>+'ADIT 1 Electric'!C60</f>
        <v xml:space="preserve">   Book Depreciation</v>
      </c>
      <c r="G6" s="19" t="s">
        <v>2</v>
      </c>
    </row>
    <row r="7" spans="1:7" x14ac:dyDescent="0.25">
      <c r="B7" t="str">
        <f>+'ADIT 2 Electric'!G6</f>
        <v>Page 2 of 17</v>
      </c>
      <c r="C7">
        <f>+'ADIT 2 Electric'!A43</f>
        <v>25</v>
      </c>
      <c r="E7" t="str">
        <f>+'ADIT 2 Electric'!C43</f>
        <v xml:space="preserve">   Book Depreciation</v>
      </c>
      <c r="G7" s="19" t="s">
        <v>2</v>
      </c>
    </row>
    <row r="8" spans="1:7" x14ac:dyDescent="0.25">
      <c r="B8" t="str">
        <f>+B7</f>
        <v>Page 2 of 17</v>
      </c>
      <c r="C8">
        <f>+'ADIT 2 Electric'!A52</f>
        <v>34</v>
      </c>
      <c r="E8" t="str">
        <f>+'ADIT 2 Electric'!C52</f>
        <v xml:space="preserve">   Book Depreciation</v>
      </c>
      <c r="G8" s="19" t="s">
        <v>2</v>
      </c>
    </row>
    <row r="9" spans="1:7" x14ac:dyDescent="0.25">
      <c r="B9" t="str">
        <f>+'ADIT 3 Electric Historic'!P6</f>
        <v>Page 3 of 17</v>
      </c>
      <c r="C9">
        <f>+'ADIT 3 Electric Historic'!A49</f>
        <v>26</v>
      </c>
      <c r="E9" t="str">
        <f>+'ADIT 3 Electric Historic'!C49</f>
        <v>Account 190</v>
      </c>
    </row>
    <row r="10" spans="1:7" x14ac:dyDescent="0.25">
      <c r="B10" t="str">
        <f>+B9</f>
        <v>Page 3 of 17</v>
      </c>
      <c r="C10">
        <f>+'ADIT 3 Electric Historic'!A50</f>
        <v>27</v>
      </c>
      <c r="E10" t="str">
        <f>+'ADIT 3 Electric Historic'!C50</f>
        <v>Account 282</v>
      </c>
    </row>
    <row r="11" spans="1:7" x14ac:dyDescent="0.25">
      <c r="B11" t="str">
        <f>+B10</f>
        <v>Page 3 of 17</v>
      </c>
      <c r="C11">
        <f>+'ADIT 3 Electric Historic'!A51</f>
        <v>28</v>
      </c>
      <c r="E11" t="str">
        <f>+'ADIT 3 Electric Historic'!C51</f>
        <v>Account 283</v>
      </c>
    </row>
    <row r="12" spans="1:7" x14ac:dyDescent="0.25">
      <c r="B12" t="str">
        <f>+'2026-07-31 Tax Depr-3YR'!L6</f>
        <v>Page 8 of 17</v>
      </c>
      <c r="C12">
        <f>+'2026-07-31 Tax Depr-3YR'!A20</f>
        <v>1</v>
      </c>
      <c r="E12" t="str">
        <f>+'2026-07-31 Tax Depr-3YR'!C20</f>
        <v>Plant Additions</v>
      </c>
      <c r="G12" s="19" t="s">
        <v>2</v>
      </c>
    </row>
    <row r="13" spans="1:7" x14ac:dyDescent="0.25">
      <c r="B13" t="str">
        <f>+B12</f>
        <v>Page 8 of 17</v>
      </c>
      <c r="C13">
        <f>+'2026-07-31 Tax Depr-3YR'!A33</f>
        <v>14</v>
      </c>
      <c r="E13" t="str">
        <f>+'2026-07-31 Tax Depr-3YR'!C33</f>
        <v>Cost of Removal</v>
      </c>
      <c r="G13" s="19" t="s">
        <v>3</v>
      </c>
    </row>
    <row r="14" spans="1:7" x14ac:dyDescent="0.25">
      <c r="B14" t="str">
        <f>+'2027-07-31 Tax Depr-3YR'!J6</f>
        <v>Page 9 of 17</v>
      </c>
      <c r="C14">
        <f>+'2027-07-31 Tax Depr-3YR'!A20</f>
        <v>1</v>
      </c>
      <c r="E14" t="str">
        <f>+'2027-07-31 Tax Depr-3YR'!C20</f>
        <v>Plant Additions</v>
      </c>
      <c r="G14" s="19" t="s">
        <v>2</v>
      </c>
    </row>
    <row r="15" spans="1:7" x14ac:dyDescent="0.25">
      <c r="B15" t="str">
        <f>+B14</f>
        <v>Page 9 of 17</v>
      </c>
      <c r="C15">
        <f>+'2027-07-31 Tax Depr-3YR'!A33</f>
        <v>14</v>
      </c>
      <c r="E15" t="str">
        <f>+'2027-07-31 Tax Depr-3YR'!C33</f>
        <v>Cost of Removal</v>
      </c>
      <c r="G15" s="19" t="s">
        <v>3</v>
      </c>
    </row>
    <row r="16" spans="1:7" x14ac:dyDescent="0.25">
      <c r="B16" t="str">
        <f>+'2028-07-31 Tax Depr-3YR'!H6</f>
        <v>Page 10 of 17</v>
      </c>
      <c r="C16">
        <f>+'2028-07-31 Tax Depr-3YR'!A20</f>
        <v>1</v>
      </c>
      <c r="E16" t="str">
        <f>+'2028-07-31 Tax Depr-3YR'!C20</f>
        <v>Plant Additions</v>
      </c>
      <c r="G16" s="19" t="s">
        <v>2</v>
      </c>
    </row>
    <row r="17" spans="1:7" x14ac:dyDescent="0.25">
      <c r="B17" t="str">
        <f>+B16</f>
        <v>Page 10 of 17</v>
      </c>
      <c r="C17">
        <f>+'2028-07-31 Tax Depr-3YR'!A33</f>
        <v>14</v>
      </c>
      <c r="E17" t="str">
        <f>+'2028-07-31 Tax Depr-3YR'!C33</f>
        <v>Cost of Removal</v>
      </c>
      <c r="G17" s="19" t="s">
        <v>3</v>
      </c>
    </row>
    <row r="18" spans="1:7" x14ac:dyDescent="0.25">
      <c r="B18" t="str">
        <f>+'2029-07-31 Tax Depr-3YR'!F6</f>
        <v>Page 11 of 17</v>
      </c>
      <c r="C18">
        <f>+'2029-07-31 Tax Depr-3YR'!A20</f>
        <v>1</v>
      </c>
      <c r="E18" t="str">
        <f>+'2029-07-31 Tax Depr-3YR'!C20</f>
        <v>Plant Additions</v>
      </c>
      <c r="G18" s="19" t="s">
        <v>2</v>
      </c>
    </row>
    <row r="19" spans="1:7" x14ac:dyDescent="0.25">
      <c r="B19" t="str">
        <f>+B18</f>
        <v>Page 11 of 17</v>
      </c>
      <c r="C19">
        <f>+'2029-07-31 Tax Depr-3YR'!A33</f>
        <v>14</v>
      </c>
      <c r="E19" t="str">
        <f>+'2029-07-31 Tax Depr-3YR'!C33</f>
        <v>Cost of Removal</v>
      </c>
      <c r="G19" s="19" t="s">
        <v>3</v>
      </c>
    </row>
    <row r="20" spans="1:7" x14ac:dyDescent="0.25">
      <c r="B20" t="str">
        <f>+'2026-07-31 Tax Depr-20YR'!L6</f>
        <v>Page 13 of 17</v>
      </c>
      <c r="C20">
        <f>+'2026-07-31 Tax Depr-20YR'!A20</f>
        <v>1</v>
      </c>
      <c r="E20" t="str">
        <f>+'2026-07-31 Tax Depr-20YR'!C20</f>
        <v>Plant Additions</v>
      </c>
      <c r="G20" s="19" t="s">
        <v>2</v>
      </c>
    </row>
    <row r="21" spans="1:7" x14ac:dyDescent="0.25">
      <c r="B21" t="str">
        <f>+B20</f>
        <v>Page 13 of 17</v>
      </c>
      <c r="C21">
        <f>+'2026-07-31 Tax Depr-20YR'!A33</f>
        <v>14</v>
      </c>
      <c r="E21" t="str">
        <f>+'2026-07-31 Tax Depr-20YR'!C33</f>
        <v>Cost of Removal</v>
      </c>
      <c r="G21" s="19" t="s">
        <v>2</v>
      </c>
    </row>
    <row r="22" spans="1:7" x14ac:dyDescent="0.25">
      <c r="B22" t="str">
        <f>+'2027-07-31 Tax Depr-20YR'!J6</f>
        <v>Page 14 of 17</v>
      </c>
      <c r="C22">
        <f>+'2027-07-31 Tax Depr-20YR'!A20</f>
        <v>1</v>
      </c>
      <c r="E22" t="str">
        <f>+'2027-07-31 Tax Depr-20YR'!C20</f>
        <v>Plant Additions</v>
      </c>
      <c r="G22" s="19" t="s">
        <v>2</v>
      </c>
    </row>
    <row r="23" spans="1:7" x14ac:dyDescent="0.25">
      <c r="B23" t="str">
        <f>+B22</f>
        <v>Page 14 of 17</v>
      </c>
      <c r="C23">
        <f>+'2027-07-31 Tax Depr-20YR'!A33</f>
        <v>14</v>
      </c>
      <c r="E23" t="str">
        <f>+'2027-07-31 Tax Depr-20YR'!C33</f>
        <v>Cost of Removal</v>
      </c>
      <c r="G23" s="19" t="s">
        <v>2</v>
      </c>
    </row>
    <row r="24" spans="1:7" x14ac:dyDescent="0.25">
      <c r="B24" t="str">
        <f>+'2028-07-31 Tax Depr-20YR'!H6</f>
        <v>Page 15 of 17</v>
      </c>
      <c r="C24">
        <f>+'2028-07-31 Tax Depr-20YR'!A20</f>
        <v>1</v>
      </c>
      <c r="E24" t="str">
        <f>+'2028-07-31 Tax Depr-20YR'!C20</f>
        <v>Plant Additions</v>
      </c>
      <c r="G24" s="19" t="s">
        <v>4</v>
      </c>
    </row>
    <row r="25" spans="1:7" x14ac:dyDescent="0.25">
      <c r="B25" t="str">
        <f>+B24</f>
        <v>Page 15 of 17</v>
      </c>
      <c r="C25">
        <f>+'2028-07-31 Tax Depr-20YR'!A33</f>
        <v>14</v>
      </c>
      <c r="E25" t="str">
        <f>+'2028-07-31 Tax Depr-20YR'!C33</f>
        <v>Cost of Removal</v>
      </c>
      <c r="G25" s="19" t="s">
        <v>4</v>
      </c>
    </row>
    <row r="26" spans="1:7" x14ac:dyDescent="0.25">
      <c r="B26" t="str">
        <f>+'2029-07-31 Tax Depr-20YR'!F6</f>
        <v>Page 16 of 17</v>
      </c>
      <c r="C26">
        <f>+'2029-07-31 Tax Depr-20YR'!A20</f>
        <v>1</v>
      </c>
      <c r="E26" t="str">
        <f>+'2029-07-31 Tax Depr-20YR'!C20</f>
        <v>Plant Additions</v>
      </c>
      <c r="G26" s="19" t="s">
        <v>4</v>
      </c>
    </row>
    <row r="27" spans="1:7" x14ac:dyDescent="0.25">
      <c r="B27" t="str">
        <f>+B26</f>
        <v>Page 16 of 17</v>
      </c>
      <c r="C27">
        <f>+'2029-07-31 Tax Depr-20YR'!A33</f>
        <v>14</v>
      </c>
      <c r="E27" t="str">
        <f>+'2029-07-31 Tax Depr-20YR'!C33</f>
        <v>Cost of Removal</v>
      </c>
      <c r="G27" s="19" t="s">
        <v>4</v>
      </c>
    </row>
    <row r="28" spans="1:7" x14ac:dyDescent="0.25">
      <c r="B28" t="str">
        <f>+'2026-07-31 Tax Depr 39YR'!Y6</f>
        <v>Page 17 of  17</v>
      </c>
      <c r="C28" t="s">
        <v>5</v>
      </c>
    </row>
    <row r="31" spans="1:7" x14ac:dyDescent="0.25">
      <c r="A31" t="s">
        <v>6</v>
      </c>
    </row>
    <row r="33" spans="2:5" x14ac:dyDescent="0.25">
      <c r="B33" t="str">
        <f>+'ADIT 1 Electric'!G6</f>
        <v>Page 1 of 17</v>
      </c>
      <c r="C33">
        <f>+'ADIT 1 Electric'!A44</f>
        <v>26</v>
      </c>
      <c r="E33" t="str">
        <f>+'ADIT 1 Electric'!C44</f>
        <v>Rate Year 1 ADIT Prorated Balance at July 31, 2027</v>
      </c>
    </row>
    <row r="34" spans="2:5" x14ac:dyDescent="0.25">
      <c r="B34" t="str">
        <f>+'ADIT 2 Electric'!G6</f>
        <v>Page 2 of 17</v>
      </c>
      <c r="C34">
        <f>+'ADIT 2 Electric'!A28</f>
        <v>10</v>
      </c>
      <c r="E34" t="str">
        <f>+'ADIT 2 Electric'!C28</f>
        <v>Rate Year 2 ADIT Prorated Balance at July 31, 2028</v>
      </c>
    </row>
    <row r="35" spans="2:5" x14ac:dyDescent="0.25">
      <c r="B35" t="str">
        <f>+B34</f>
        <v>Page 2 of 17</v>
      </c>
      <c r="C35">
        <f>+'ADIT 2 Electric'!A37</f>
        <v>19</v>
      </c>
      <c r="E35" t="str">
        <f>+'ADIT 2 Electric'!C37</f>
        <v>Data Year 1 ADIT Prorated Balance at July 31, 2029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22F07-8154-46A2-92DF-F7E3CECDADFD}">
  <sheetPr>
    <pageSetUpPr fitToPage="1"/>
  </sheetPr>
  <dimension ref="A1:M68"/>
  <sheetViews>
    <sheetView tabSelected="1" topLeftCell="A12" workbookViewId="0">
      <selection activeCell="E35" sqref="E35"/>
    </sheetView>
  </sheetViews>
  <sheetFormatPr defaultColWidth="9.140625" defaultRowHeight="15.75" x14ac:dyDescent="0.25"/>
  <cols>
    <col min="1" max="1" width="5.5703125" style="21" customWidth="1"/>
    <col min="2" max="2" width="3.28515625" style="21" customWidth="1"/>
    <col min="3" max="3" width="57.5703125" style="21" bestFit="1" customWidth="1"/>
    <col min="4" max="4" width="2.28515625" style="21" customWidth="1"/>
    <col min="5" max="5" width="14.42578125" style="21" bestFit="1" customWidth="1"/>
    <col min="6" max="6" width="2.140625" style="21" customWidth="1"/>
    <col min="7" max="7" width="46.7109375" style="21" customWidth="1"/>
    <col min="8" max="8" width="9.140625" style="21"/>
    <col min="9" max="9" width="27.7109375" style="21" customWidth="1"/>
    <col min="10" max="14" width="18.7109375" style="21" customWidth="1"/>
    <col min="15" max="19" width="9.140625" style="21"/>
    <col min="20" max="22" width="12.7109375" style="21" customWidth="1"/>
    <col min="23" max="23" width="12.85546875" style="21" bestFit="1" customWidth="1"/>
    <col min="24" max="16384" width="9.140625" style="21"/>
  </cols>
  <sheetData>
    <row r="1" spans="1:13" x14ac:dyDescent="0.25">
      <c r="G1" s="110" t="s">
        <v>20</v>
      </c>
    </row>
    <row r="2" spans="1:13" x14ac:dyDescent="0.25">
      <c r="G2" s="110" t="str">
        <f>+'ADIT 1 Electric'!$G$2</f>
        <v>d/b/a RHODE ISLAND ENERGY</v>
      </c>
    </row>
    <row r="3" spans="1:13" x14ac:dyDescent="0.25">
      <c r="G3" s="110" t="str">
        <f>+'ADIT 1 Electric'!$G$3</f>
        <v>RIPUC Docket No. 25-45-GE</v>
      </c>
    </row>
    <row r="4" spans="1:13" hidden="1" x14ac:dyDescent="0.25">
      <c r="G4" s="110" t="str">
        <f>+'ADIT 1 Electric'!$G$4</f>
        <v>Compliance Attachment 2</v>
      </c>
    </row>
    <row r="5" spans="1:13" x14ac:dyDescent="0.25">
      <c r="G5" s="110" t="str">
        <f>+'ADIT 1 Electric'!$G$5</f>
        <v>Schedule NH-3-ELEC</v>
      </c>
    </row>
    <row r="6" spans="1:13" x14ac:dyDescent="0.25">
      <c r="G6" s="110" t="s">
        <v>74</v>
      </c>
    </row>
    <row r="7" spans="1:13" x14ac:dyDescent="0.25">
      <c r="E7" s="22" t="s">
        <v>44</v>
      </c>
    </row>
    <row r="8" spans="1:13" x14ac:dyDescent="0.25">
      <c r="E8" s="22" t="s">
        <v>7</v>
      </c>
    </row>
    <row r="10" spans="1:13" x14ac:dyDescent="0.25">
      <c r="A10" s="353" t="str">
        <f>+'ADIT 1 Electric'!$A$10</f>
        <v>The Narragansett Electric Company d/b/a Rhode Island Energy</v>
      </c>
      <c r="B10" s="353"/>
      <c r="C10" s="353"/>
      <c r="D10" s="353"/>
      <c r="E10" s="353"/>
      <c r="F10" s="353"/>
      <c r="G10" s="353"/>
    </row>
    <row r="11" spans="1:13" x14ac:dyDescent="0.25">
      <c r="A11" s="353" t="s">
        <v>45</v>
      </c>
      <c r="B11" s="353"/>
      <c r="C11" s="353"/>
      <c r="D11" s="353"/>
      <c r="E11" s="353"/>
      <c r="F11" s="353"/>
      <c r="G11" s="353"/>
    </row>
    <row r="12" spans="1:13" x14ac:dyDescent="0.25">
      <c r="A12" s="353" t="s">
        <v>75</v>
      </c>
      <c r="B12" s="353"/>
      <c r="C12" s="353"/>
      <c r="D12" s="353"/>
      <c r="E12" s="353"/>
      <c r="F12" s="353"/>
      <c r="G12" s="353"/>
    </row>
    <row r="14" spans="1:13" x14ac:dyDescent="0.25">
      <c r="E14" s="24" t="s">
        <v>47</v>
      </c>
    </row>
    <row r="15" spans="1:13" x14ac:dyDescent="0.25">
      <c r="A15" s="24" t="s">
        <v>1</v>
      </c>
      <c r="E15" s="24" t="s">
        <v>48</v>
      </c>
      <c r="M15" s="23"/>
    </row>
    <row r="16" spans="1:13" x14ac:dyDescent="0.25">
      <c r="A16" s="25" t="s">
        <v>530</v>
      </c>
      <c r="C16" s="25" t="s">
        <v>49</v>
      </c>
      <c r="E16" s="25" t="s">
        <v>50</v>
      </c>
      <c r="G16" s="25" t="s">
        <v>51</v>
      </c>
    </row>
    <row r="17" spans="1:9" x14ac:dyDescent="0.25">
      <c r="C17" s="24"/>
      <c r="D17" s="24"/>
      <c r="E17" s="24" t="s">
        <v>8</v>
      </c>
      <c r="G17" s="24"/>
    </row>
    <row r="18" spans="1:9" x14ac:dyDescent="0.25">
      <c r="G18" s="24"/>
    </row>
    <row r="19" spans="1:9" x14ac:dyDescent="0.25">
      <c r="A19" s="24">
        <v>1</v>
      </c>
      <c r="C19" s="40" t="str">
        <f>+'ADIT 1 Electric'!C44</f>
        <v>Rate Year 1 ADIT Prorated Balance at July 31, 2027</v>
      </c>
      <c r="E19" s="348">
        <f>+'ADIT 1 Electric'!E42</f>
        <v>131575713.48990121</v>
      </c>
      <c r="G19" s="24" t="str">
        <f>+'ADIT 1 Electric'!G6&amp;", Line "&amp;'ADIT 1 Electric'!A42</f>
        <v>Page 1 of 17, Line 24</v>
      </c>
    </row>
    <row r="20" spans="1:9" x14ac:dyDescent="0.25">
      <c r="A20" s="24">
        <f>+A19+1</f>
        <v>2</v>
      </c>
      <c r="E20" s="27"/>
      <c r="G20" s="24"/>
    </row>
    <row r="21" spans="1:9" x14ac:dyDescent="0.25">
      <c r="A21" s="24">
        <f t="shared" ref="A21:A57" si="0">+A20+1</f>
        <v>3</v>
      </c>
      <c r="C21" s="31" t="s">
        <v>56</v>
      </c>
      <c r="E21" s="27"/>
      <c r="G21" s="24"/>
    </row>
    <row r="22" spans="1:9" x14ac:dyDescent="0.25">
      <c r="A22" s="24">
        <f t="shared" si="0"/>
        <v>4</v>
      </c>
      <c r="C22" s="31" t="s">
        <v>57</v>
      </c>
      <c r="E22" s="27">
        <f>+E48</f>
        <v>10844184.01261274</v>
      </c>
      <c r="G22" s="24" t="str">
        <f>"Line "&amp;A48</f>
        <v>Line 30</v>
      </c>
    </row>
    <row r="23" spans="1:9" x14ac:dyDescent="0.25">
      <c r="A23" s="24">
        <f t="shared" si="0"/>
        <v>5</v>
      </c>
      <c r="C23" s="21" t="s">
        <v>58</v>
      </c>
      <c r="E23" s="27">
        <v>-3695411.6720718388</v>
      </c>
      <c r="G23" s="24" t="s">
        <v>888</v>
      </c>
    </row>
    <row r="24" spans="1:9" x14ac:dyDescent="0.25">
      <c r="A24" s="24">
        <f t="shared" si="0"/>
        <v>6</v>
      </c>
      <c r="C24" s="21" t="s">
        <v>59</v>
      </c>
      <c r="E24" s="32">
        <f>SUM(E22:E23)</f>
        <v>7148772.3405409008</v>
      </c>
      <c r="G24" s="24" t="str">
        <f>"Line "&amp;A22&amp;" + Line "&amp;A23</f>
        <v>Line 4 + Line 5</v>
      </c>
    </row>
    <row r="25" spans="1:9" x14ac:dyDescent="0.25">
      <c r="A25" s="24">
        <f t="shared" si="0"/>
        <v>7</v>
      </c>
      <c r="E25" s="27"/>
      <c r="G25" s="24"/>
    </row>
    <row r="26" spans="1:9" x14ac:dyDescent="0.25">
      <c r="A26" s="24">
        <f t="shared" si="0"/>
        <v>8</v>
      </c>
      <c r="C26" s="33" t="s">
        <v>76</v>
      </c>
      <c r="E26" s="348">
        <f>+E19+E24</f>
        <v>138724485.83044213</v>
      </c>
      <c r="G26" s="24" t="str">
        <f>"Line "&amp;A19&amp;" + Line "&amp;A24</f>
        <v>Line 1 + Line 6</v>
      </c>
    </row>
    <row r="27" spans="1:9" x14ac:dyDescent="0.25">
      <c r="A27" s="24">
        <f t="shared" si="0"/>
        <v>9</v>
      </c>
      <c r="C27" s="21" t="s">
        <v>61</v>
      </c>
      <c r="E27" s="27">
        <f>'Electric Proration Adj'!K17</f>
        <v>-3874699.8941653194</v>
      </c>
      <c r="G27" s="24" t="str">
        <f>'Electric Proration Adj'!O6&amp;", "&amp;"Line "&amp;'Electric Proration Adj'!A17&amp;'Electric Proration Adj'!K14</f>
        <v>Page 4 of 17, Line 3(c)</v>
      </c>
    </row>
    <row r="28" spans="1:9" ht="16.5" thickBot="1" x14ac:dyDescent="0.3">
      <c r="A28" s="24">
        <f t="shared" si="0"/>
        <v>10</v>
      </c>
      <c r="C28" s="33" t="s">
        <v>77</v>
      </c>
      <c r="E28" s="350">
        <f>+E26+E27</f>
        <v>134849785.93627682</v>
      </c>
      <c r="G28" s="24" t="str">
        <f>"Line "&amp;A26&amp;" + Line "&amp;A27</f>
        <v>Line 8 + Line 9</v>
      </c>
      <c r="I28" s="23"/>
    </row>
    <row r="29" spans="1:9" ht="16.5" thickTop="1" x14ac:dyDescent="0.25">
      <c r="A29" s="24">
        <f t="shared" si="0"/>
        <v>11</v>
      </c>
      <c r="G29" s="24"/>
    </row>
    <row r="30" spans="1:9" x14ac:dyDescent="0.25">
      <c r="A30" s="24">
        <f t="shared" si="0"/>
        <v>12</v>
      </c>
      <c r="C30" s="31" t="s">
        <v>56</v>
      </c>
      <c r="E30" s="27"/>
      <c r="G30" s="24"/>
    </row>
    <row r="31" spans="1:9" x14ac:dyDescent="0.25">
      <c r="A31" s="24">
        <f t="shared" si="0"/>
        <v>13</v>
      </c>
      <c r="C31" s="31" t="s">
        <v>57</v>
      </c>
      <c r="E31" s="27">
        <f>+E57</f>
        <v>9904850.8354729172</v>
      </c>
      <c r="G31" s="24" t="str">
        <f>"Line "&amp;A57</f>
        <v>Line 39</v>
      </c>
    </row>
    <row r="32" spans="1:9" x14ac:dyDescent="0.25">
      <c r="A32" s="24">
        <f t="shared" si="0"/>
        <v>14</v>
      </c>
      <c r="C32" s="21" t="s">
        <v>58</v>
      </c>
      <c r="E32" s="27">
        <v>-3648055.985195213</v>
      </c>
      <c r="G32" s="24" t="s">
        <v>889</v>
      </c>
    </row>
    <row r="33" spans="1:9" x14ac:dyDescent="0.25">
      <c r="A33" s="24">
        <f t="shared" si="0"/>
        <v>15</v>
      </c>
      <c r="C33" s="21" t="s">
        <v>59</v>
      </c>
      <c r="E33" s="32">
        <f>SUM(E31:E32)</f>
        <v>6256794.8502777042</v>
      </c>
      <c r="G33" s="24" t="str">
        <f>"Line "&amp;A31&amp;" + Line "&amp;A32</f>
        <v>Line 13 + Line 14</v>
      </c>
    </row>
    <row r="34" spans="1:9" x14ac:dyDescent="0.25">
      <c r="A34" s="24">
        <f t="shared" si="0"/>
        <v>16</v>
      </c>
      <c r="E34" s="27"/>
      <c r="G34" s="24"/>
    </row>
    <row r="35" spans="1:9" x14ac:dyDescent="0.25">
      <c r="A35" s="24">
        <f t="shared" si="0"/>
        <v>17</v>
      </c>
      <c r="C35" s="33" t="s">
        <v>78</v>
      </c>
      <c r="E35" s="348">
        <f>+E26+E33</f>
        <v>144981280.68071982</v>
      </c>
      <c r="G35" s="24" t="str">
        <f>"Line "&amp;A26&amp;" + Line "&amp;A33</f>
        <v>Line 8 + Line 15</v>
      </c>
    </row>
    <row r="36" spans="1:9" x14ac:dyDescent="0.25">
      <c r="A36" s="24">
        <f t="shared" si="0"/>
        <v>18</v>
      </c>
      <c r="C36" s="21" t="s">
        <v>61</v>
      </c>
      <c r="E36" s="27">
        <f>'Electric Proration Adj'!M17</f>
        <v>-3391239.9485295136</v>
      </c>
      <c r="G36" s="24" t="str">
        <f>'Electric Proration Adj'!O6&amp;", "&amp;"Line "&amp;'Electric Proration Adj'!A17&amp;'Electric Proration Adj'!M14</f>
        <v>Page 4 of 17, Line 3(d)</v>
      </c>
    </row>
    <row r="37" spans="1:9" ht="16.5" thickBot="1" x14ac:dyDescent="0.3">
      <c r="A37" s="24">
        <f t="shared" si="0"/>
        <v>19</v>
      </c>
      <c r="C37" s="33" t="s">
        <v>79</v>
      </c>
      <c r="E37" s="350">
        <f>+E35+E36</f>
        <v>141590040.73219031</v>
      </c>
      <c r="G37" s="24" t="str">
        <f>"Line "&amp;A35&amp;" + Line "&amp;A36</f>
        <v>Line 17 + Line 18</v>
      </c>
      <c r="I37" s="23" t="s">
        <v>894</v>
      </c>
    </row>
    <row r="38" spans="1:9" ht="16.5" thickTop="1" x14ac:dyDescent="0.25">
      <c r="A38" s="24">
        <f t="shared" si="0"/>
        <v>20</v>
      </c>
      <c r="G38" s="41"/>
    </row>
    <row r="39" spans="1:9" x14ac:dyDescent="0.25">
      <c r="A39" s="24">
        <f t="shared" si="0"/>
        <v>21</v>
      </c>
      <c r="D39" s="24"/>
      <c r="E39" s="24"/>
      <c r="G39" s="41"/>
    </row>
    <row r="40" spans="1:9" x14ac:dyDescent="0.25">
      <c r="A40" s="24">
        <f t="shared" si="0"/>
        <v>22</v>
      </c>
      <c r="D40" s="24"/>
      <c r="E40" s="24"/>
      <c r="G40" s="24"/>
    </row>
    <row r="41" spans="1:9" x14ac:dyDescent="0.25">
      <c r="A41" s="24">
        <f t="shared" si="0"/>
        <v>23</v>
      </c>
      <c r="B41" s="21" t="s">
        <v>23</v>
      </c>
      <c r="C41" s="21" t="s">
        <v>80</v>
      </c>
      <c r="G41" s="24"/>
    </row>
    <row r="42" spans="1:9" x14ac:dyDescent="0.25">
      <c r="A42" s="24">
        <f t="shared" si="0"/>
        <v>24</v>
      </c>
      <c r="C42" s="21" t="s">
        <v>64</v>
      </c>
      <c r="E42" s="27">
        <f>'Elect Tax Depr Summary'!K29</f>
        <v>127738590.92063339</v>
      </c>
      <c r="G42" s="24" t="str">
        <f>'Elect Tax Depr Summary'!M6&amp;", Line "&amp;'Elect Tax Depr Summary'!A29&amp;'Elect Tax Depr Summary'!K18</f>
        <v>Page 5 of 17, Line 9(d)</v>
      </c>
    </row>
    <row r="43" spans="1:9" x14ac:dyDescent="0.25">
      <c r="A43" s="24">
        <f t="shared" si="0"/>
        <v>25</v>
      </c>
      <c r="C43" s="21" t="s">
        <v>65</v>
      </c>
      <c r="E43" s="346">
        <f>76209395.4320013-109776</f>
        <v>76099619.432001293</v>
      </c>
      <c r="G43" s="35" t="s">
        <v>868</v>
      </c>
      <c r="I43" s="23"/>
    </row>
    <row r="44" spans="1:9" x14ac:dyDescent="0.25">
      <c r="A44" s="24">
        <f t="shared" si="0"/>
        <v>26</v>
      </c>
      <c r="C44" s="31" t="s">
        <v>66</v>
      </c>
      <c r="D44" s="27"/>
      <c r="E44" s="32">
        <f>+E42-E43</f>
        <v>51638971.488632098</v>
      </c>
      <c r="G44" s="24" t="str">
        <f>"Line "&amp;A42&amp;" - Line "&amp;A43</f>
        <v>Line 24 - Line 25</v>
      </c>
    </row>
    <row r="45" spans="1:9" x14ac:dyDescent="0.25">
      <c r="A45" s="24">
        <f t="shared" si="0"/>
        <v>27</v>
      </c>
      <c r="C45" s="21" t="s">
        <v>67</v>
      </c>
      <c r="E45" s="36">
        <v>0.21</v>
      </c>
      <c r="G45" s="24" t="s">
        <v>68</v>
      </c>
    </row>
    <row r="46" spans="1:9" x14ac:dyDescent="0.25">
      <c r="A46" s="24">
        <f t="shared" si="0"/>
        <v>28</v>
      </c>
      <c r="C46" s="31" t="s">
        <v>69</v>
      </c>
      <c r="E46" s="27">
        <f>+E44*E45</f>
        <v>10844184.01261274</v>
      </c>
      <c r="G46" s="24" t="str">
        <f>"Line "&amp;A44&amp;" x Line "&amp;A45</f>
        <v>Line 26 x Line 27</v>
      </c>
    </row>
    <row r="47" spans="1:9" x14ac:dyDescent="0.25">
      <c r="A47" s="24">
        <f t="shared" si="0"/>
        <v>29</v>
      </c>
      <c r="C47" s="37" t="s">
        <v>70</v>
      </c>
      <c r="E47" s="27">
        <v>0</v>
      </c>
      <c r="G47" s="24" t="s">
        <v>68</v>
      </c>
    </row>
    <row r="48" spans="1:9" ht="16.5" thickBot="1" x14ac:dyDescent="0.3">
      <c r="A48" s="24">
        <f t="shared" si="0"/>
        <v>30</v>
      </c>
      <c r="C48" s="21" t="s">
        <v>72</v>
      </c>
      <c r="E48" s="38">
        <f>SUM(E46:E47)</f>
        <v>10844184.01261274</v>
      </c>
      <c r="G48" s="39" t="str">
        <f>"Sum of Lines "&amp;A46&amp;" thru "&amp;A47</f>
        <v>Sum of Lines 28 thru 29</v>
      </c>
    </row>
    <row r="49" spans="1:9" ht="16.5" thickTop="1" x14ac:dyDescent="0.25">
      <c r="A49" s="24">
        <f t="shared" si="0"/>
        <v>31</v>
      </c>
      <c r="G49" s="24"/>
    </row>
    <row r="50" spans="1:9" x14ac:dyDescent="0.25">
      <c r="A50" s="24">
        <f t="shared" si="0"/>
        <v>32</v>
      </c>
      <c r="B50" s="21" t="s">
        <v>81</v>
      </c>
      <c r="C50" s="21" t="s">
        <v>82</v>
      </c>
      <c r="G50" s="24"/>
    </row>
    <row r="51" spans="1:9" x14ac:dyDescent="0.25">
      <c r="A51" s="24">
        <f t="shared" si="0"/>
        <v>33</v>
      </c>
      <c r="C51" s="21" t="s">
        <v>64</v>
      </c>
      <c r="E51" s="27">
        <f>'Elect Tax Depr Summary'!M29</f>
        <v>128616450.84050593</v>
      </c>
      <c r="G51" s="24" t="str">
        <f>'Elect Tax Depr Summary'!M6&amp;", Line "&amp;'Elect Tax Depr Summary'!A29&amp;'Elect Tax Depr Summary'!M18</f>
        <v>Page 5 of 17, Line 9(e)</v>
      </c>
    </row>
    <row r="52" spans="1:9" x14ac:dyDescent="0.25">
      <c r="A52" s="24">
        <f t="shared" si="0"/>
        <v>34</v>
      </c>
      <c r="C52" s="21" t="s">
        <v>65</v>
      </c>
      <c r="E52" s="346">
        <v>81450494.481111079</v>
      </c>
      <c r="G52" s="35" t="s">
        <v>869</v>
      </c>
      <c r="I52" s="23" t="s">
        <v>893</v>
      </c>
    </row>
    <row r="53" spans="1:9" x14ac:dyDescent="0.25">
      <c r="A53" s="24">
        <f t="shared" si="0"/>
        <v>35</v>
      </c>
      <c r="C53" s="31" t="s">
        <v>66</v>
      </c>
      <c r="D53" s="27"/>
      <c r="E53" s="32">
        <f>+E51-E52</f>
        <v>47165956.359394848</v>
      </c>
      <c r="G53" s="24" t="str">
        <f>"Line "&amp;A51&amp;" - Line "&amp;A52</f>
        <v>Line 33 - Line 34</v>
      </c>
    </row>
    <row r="54" spans="1:9" x14ac:dyDescent="0.25">
      <c r="A54" s="24">
        <f t="shared" si="0"/>
        <v>36</v>
      </c>
      <c r="C54" s="21" t="s">
        <v>67</v>
      </c>
      <c r="E54" s="36">
        <v>0.21</v>
      </c>
      <c r="G54" s="24" t="s">
        <v>68</v>
      </c>
    </row>
    <row r="55" spans="1:9" x14ac:dyDescent="0.25">
      <c r="A55" s="24">
        <f t="shared" si="0"/>
        <v>37</v>
      </c>
      <c r="C55" s="31" t="s">
        <v>69</v>
      </c>
      <c r="E55" s="27">
        <f>+E53*E54</f>
        <v>9904850.8354729172</v>
      </c>
      <c r="G55" s="24" t="str">
        <f>"Line "&amp;A53&amp;" x Line "&amp;A54</f>
        <v>Line 35 x Line 36</v>
      </c>
    </row>
    <row r="56" spans="1:9" x14ac:dyDescent="0.25">
      <c r="A56" s="24">
        <f t="shared" si="0"/>
        <v>38</v>
      </c>
      <c r="C56" s="37" t="s">
        <v>70</v>
      </c>
      <c r="E56" s="27">
        <v>0</v>
      </c>
      <c r="G56" s="24" t="s">
        <v>68</v>
      </c>
    </row>
    <row r="57" spans="1:9" ht="16.5" thickBot="1" x14ac:dyDescent="0.3">
      <c r="A57" s="24">
        <f t="shared" si="0"/>
        <v>39</v>
      </c>
      <c r="C57" s="21" t="s">
        <v>72</v>
      </c>
      <c r="E57" s="38">
        <f>SUM(E55:E56)</f>
        <v>9904850.8354729172</v>
      </c>
      <c r="G57" s="39" t="str">
        <f>"Sum of Lines "&amp;A55&amp;" thru "&amp;A56</f>
        <v>Sum of Lines 37 thru 38</v>
      </c>
    </row>
    <row r="58" spans="1:9" ht="16.5" thickTop="1" x14ac:dyDescent="0.25"/>
    <row r="59" spans="1:9" x14ac:dyDescent="0.25">
      <c r="A59" s="24"/>
    </row>
    <row r="60" spans="1:9" x14ac:dyDescent="0.25">
      <c r="A60" s="24"/>
    </row>
    <row r="61" spans="1:9" x14ac:dyDescent="0.25">
      <c r="A61" s="24"/>
    </row>
    <row r="62" spans="1:9" x14ac:dyDescent="0.25">
      <c r="A62" s="24"/>
    </row>
    <row r="63" spans="1:9" x14ac:dyDescent="0.25">
      <c r="A63" s="24"/>
    </row>
    <row r="64" spans="1:9" x14ac:dyDescent="0.25">
      <c r="A64" s="24"/>
    </row>
    <row r="65" spans="1:1" x14ac:dyDescent="0.25">
      <c r="A65" s="24"/>
    </row>
    <row r="66" spans="1:1" x14ac:dyDescent="0.25">
      <c r="A66" s="24"/>
    </row>
    <row r="67" spans="1:1" x14ac:dyDescent="0.25">
      <c r="A67" s="24"/>
    </row>
    <row r="68" spans="1:1" x14ac:dyDescent="0.25">
      <c r="A68" s="24"/>
    </row>
  </sheetData>
  <mergeCells count="3">
    <mergeCell ref="A10:G10"/>
    <mergeCell ref="A11:G11"/>
    <mergeCell ref="A12:G12"/>
  </mergeCells>
  <printOptions horizontalCentered="1"/>
  <pageMargins left="0.75" right="1" top="0.75" bottom="0.75" header="0.3" footer="0.3"/>
  <pageSetup scale="5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0CC80-EEB4-4D19-B150-9FD4929D250F}">
  <dimension ref="A3:T16"/>
  <sheetViews>
    <sheetView workbookViewId="0">
      <selection activeCell="B8" sqref="B8"/>
    </sheetView>
  </sheetViews>
  <sheetFormatPr defaultRowHeight="15" x14ac:dyDescent="0.25"/>
  <sheetData>
    <row r="3" spans="1:20" x14ac:dyDescent="0.25">
      <c r="A3" t="s">
        <v>28</v>
      </c>
    </row>
    <row r="4" spans="1:20" x14ac:dyDescent="0.25">
      <c r="A4" t="s">
        <v>29</v>
      </c>
    </row>
    <row r="5" spans="1:20" x14ac:dyDescent="0.25">
      <c r="A5" t="s">
        <v>30</v>
      </c>
    </row>
    <row r="6" spans="1:20" x14ac:dyDescent="0.25">
      <c r="A6" t="s">
        <v>31</v>
      </c>
    </row>
    <row r="7" spans="1:20" x14ac:dyDescent="0.25">
      <c r="A7" t="s">
        <v>32</v>
      </c>
    </row>
    <row r="8" spans="1:20" x14ac:dyDescent="0.25">
      <c r="B8" t="s">
        <v>879</v>
      </c>
    </row>
    <row r="9" spans="1:20" x14ac:dyDescent="0.25">
      <c r="A9" t="s">
        <v>33</v>
      </c>
    </row>
    <row r="10" spans="1:20" x14ac:dyDescent="0.25">
      <c r="A10" t="s">
        <v>34</v>
      </c>
    </row>
    <row r="11" spans="1:20" x14ac:dyDescent="0.25">
      <c r="A11" t="s">
        <v>35</v>
      </c>
    </row>
    <row r="13" spans="1:20" x14ac:dyDescent="0.25">
      <c r="A13" t="s">
        <v>36</v>
      </c>
    </row>
    <row r="14" spans="1:20" x14ac:dyDescent="0.25">
      <c r="A14" t="s">
        <v>37</v>
      </c>
    </row>
    <row r="15" spans="1:20" ht="29.25" customHeight="1" x14ac:dyDescent="0.25">
      <c r="B15" s="368" t="s">
        <v>38</v>
      </c>
      <c r="C15" s="368"/>
      <c r="D15" s="368"/>
      <c r="E15" s="368"/>
      <c r="F15" s="368"/>
      <c r="G15" s="368"/>
      <c r="H15" s="368"/>
      <c r="I15" s="368"/>
      <c r="J15" s="368"/>
      <c r="K15" s="368"/>
      <c r="L15" s="368"/>
      <c r="M15" s="368"/>
      <c r="N15" s="368"/>
      <c r="O15" s="368"/>
      <c r="P15" s="368"/>
      <c r="Q15" s="368"/>
      <c r="R15" s="368"/>
      <c r="S15" s="368"/>
      <c r="T15" s="368"/>
    </row>
    <row r="16" spans="1:20" x14ac:dyDescent="0.25">
      <c r="B16" t="s">
        <v>39</v>
      </c>
    </row>
  </sheetData>
  <mergeCells count="1">
    <mergeCell ref="B15:T15"/>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6BE14-C4A0-4DBD-88D0-77FB9C6C440D}">
  <dimension ref="A1:J12"/>
  <sheetViews>
    <sheetView workbookViewId="0">
      <selection activeCell="G1" sqref="G1:J5"/>
    </sheetView>
  </sheetViews>
  <sheetFormatPr defaultColWidth="9.140625" defaultRowHeight="15.75" x14ac:dyDescent="0.25"/>
  <cols>
    <col min="1" max="1" width="30.85546875" style="43" customWidth="1"/>
    <col min="2" max="2" width="9.140625" style="43"/>
    <col min="3" max="7" width="15.7109375" style="43" customWidth="1"/>
    <col min="8" max="16384" width="9.140625" style="43"/>
  </cols>
  <sheetData>
    <row r="1" spans="1:10" x14ac:dyDescent="0.25">
      <c r="A1" s="43" t="s">
        <v>317</v>
      </c>
      <c r="H1" s="164"/>
      <c r="I1" s="110"/>
      <c r="J1" s="110" t="s">
        <v>20</v>
      </c>
    </row>
    <row r="2" spans="1:10" x14ac:dyDescent="0.25">
      <c r="A2" s="43" t="s">
        <v>318</v>
      </c>
      <c r="H2" s="164"/>
      <c r="I2" s="110"/>
      <c r="J2" s="110" t="str">
        <f>+'ADIT 1 Electric'!$G$2</f>
        <v>d/b/a RHODE ISLAND ENERGY</v>
      </c>
    </row>
    <row r="3" spans="1:10" x14ac:dyDescent="0.25">
      <c r="A3" s="43" t="s">
        <v>319</v>
      </c>
      <c r="H3" s="164"/>
      <c r="I3" s="110"/>
      <c r="J3" s="110" t="str">
        <f>+'ADIT 1 Electric'!$G$3</f>
        <v>RIPUC Docket No. 25-45-GE</v>
      </c>
    </row>
    <row r="4" spans="1:10" x14ac:dyDescent="0.25">
      <c r="H4" s="164"/>
      <c r="I4" s="110"/>
      <c r="J4" s="110" t="str">
        <f>+'ADIT 1 Electric'!$G$2</f>
        <v>d/b/a RHODE ISLAND ENERGY</v>
      </c>
    </row>
    <row r="5" spans="1:10" ht="31.5" x14ac:dyDescent="0.25">
      <c r="C5" s="193" t="s">
        <v>87</v>
      </c>
      <c r="D5" s="193" t="s">
        <v>88</v>
      </c>
      <c r="E5" s="43" t="s">
        <v>89</v>
      </c>
      <c r="F5" s="43" t="s">
        <v>320</v>
      </c>
      <c r="H5" s="164"/>
      <c r="I5" s="196"/>
      <c r="J5" s="196" t="str">
        <f>+'ADIT 1 Electric'!$G$5</f>
        <v>Schedule NH-3-ELEC</v>
      </c>
    </row>
    <row r="7" spans="1:10" x14ac:dyDescent="0.25">
      <c r="A7" s="194" t="s">
        <v>321</v>
      </c>
      <c r="C7" s="43">
        <v>-95258402.430000007</v>
      </c>
      <c r="D7" s="43">
        <v>-98075137.439999998</v>
      </c>
      <c r="E7" s="43">
        <f>+C7+D7</f>
        <v>-193333539.87</v>
      </c>
      <c r="F7" s="43">
        <v>-123201518.31</v>
      </c>
    </row>
    <row r="8" spans="1:10" x14ac:dyDescent="0.25">
      <c r="A8" s="195" t="s">
        <v>322</v>
      </c>
      <c r="C8" s="43">
        <v>60771617.333333336</v>
      </c>
      <c r="D8" s="43">
        <v>66284888</v>
      </c>
      <c r="E8" s="43">
        <f>+C8+D8</f>
        <v>127056505.33333334</v>
      </c>
      <c r="F8" s="43">
        <v>75850975.333333328</v>
      </c>
    </row>
    <row r="9" spans="1:10" x14ac:dyDescent="0.25">
      <c r="A9" s="195" t="s">
        <v>323</v>
      </c>
      <c r="C9" s="43">
        <v>-60414099.07333333</v>
      </c>
      <c r="D9" s="43">
        <v>-60216673.06666667</v>
      </c>
      <c r="E9" s="43">
        <f>+C9+D9</f>
        <v>-120630772.14</v>
      </c>
      <c r="F9" s="43">
        <v>-77098225.413333341</v>
      </c>
    </row>
    <row r="10" spans="1:10" ht="16.5" thickBot="1" x14ac:dyDescent="0.3">
      <c r="A10" s="195" t="s">
        <v>324</v>
      </c>
      <c r="C10" s="58">
        <f>SUM(C7:C9)</f>
        <v>-94900884.170000002</v>
      </c>
      <c r="D10" s="58">
        <f t="shared" ref="D10:F10" si="0">SUM(D7:D9)</f>
        <v>-92006922.50666666</v>
      </c>
      <c r="E10" s="58">
        <f t="shared" si="0"/>
        <v>-186907806.67666668</v>
      </c>
      <c r="F10" s="58">
        <f t="shared" si="0"/>
        <v>-124448768.39000002</v>
      </c>
    </row>
    <row r="11" spans="1:10" ht="16.5" thickTop="1" x14ac:dyDescent="0.25"/>
    <row r="12" spans="1:10" x14ac:dyDescent="0.25">
      <c r="A12" s="43" t="s">
        <v>325</v>
      </c>
      <c r="C12" s="43">
        <f>-C10</f>
        <v>94900884.170000002</v>
      </c>
      <c r="F12" s="43">
        <f>-F10</f>
        <v>124448768.39000002</v>
      </c>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627B9-99F1-4353-BD14-3B30BB9C4464}">
  <sheetPr>
    <pageSetUpPr fitToPage="1"/>
  </sheetPr>
  <dimension ref="A1:M64"/>
  <sheetViews>
    <sheetView workbookViewId="0">
      <selection activeCell="K1" sqref="K1:M5"/>
    </sheetView>
  </sheetViews>
  <sheetFormatPr defaultRowHeight="15.75" x14ac:dyDescent="0.25"/>
  <cols>
    <col min="1" max="2" width="9.140625" style="121"/>
    <col min="3" max="3" width="26.140625" style="121" customWidth="1"/>
    <col min="4" max="9" width="18.7109375" style="121" customWidth="1"/>
    <col min="10" max="10" width="17.140625" style="121" bestFit="1" customWidth="1"/>
    <col min="11" max="11" width="5.7109375" style="121" bestFit="1" customWidth="1"/>
    <col min="12" max="253" width="9.140625" style="121"/>
    <col min="254" max="264" width="15" style="121" bestFit="1" customWidth="1"/>
    <col min="265" max="265" width="16.5703125" style="121" bestFit="1" customWidth="1"/>
    <col min="266" max="266" width="9" style="121" customWidth="1"/>
    <col min="267" max="509" width="9.140625" style="121"/>
    <col min="510" max="520" width="15" style="121" bestFit="1" customWidth="1"/>
    <col min="521" max="521" width="16.5703125" style="121" bestFit="1" customWidth="1"/>
    <col min="522" max="522" width="9" style="121" customWidth="1"/>
    <col min="523" max="765" width="9.140625" style="121"/>
    <col min="766" max="776" width="15" style="121" bestFit="1" customWidth="1"/>
    <col min="777" max="777" width="16.5703125" style="121" bestFit="1" customWidth="1"/>
    <col min="778" max="778" width="9" style="121" customWidth="1"/>
    <col min="779" max="1021" width="9.140625" style="121"/>
    <col min="1022" max="1032" width="15" style="121" bestFit="1" customWidth="1"/>
    <col min="1033" max="1033" width="16.5703125" style="121" bestFit="1" customWidth="1"/>
    <col min="1034" max="1034" width="9" style="121" customWidth="1"/>
    <col min="1035" max="1277" width="9.140625" style="121"/>
    <col min="1278" max="1288" width="15" style="121" bestFit="1" customWidth="1"/>
    <col min="1289" max="1289" width="16.5703125" style="121" bestFit="1" customWidth="1"/>
    <col min="1290" max="1290" width="9" style="121" customWidth="1"/>
    <col min="1291" max="1533" width="9.140625" style="121"/>
    <col min="1534" max="1544" width="15" style="121" bestFit="1" customWidth="1"/>
    <col min="1545" max="1545" width="16.5703125" style="121" bestFit="1" customWidth="1"/>
    <col min="1546" max="1546" width="9" style="121" customWidth="1"/>
    <col min="1547" max="1789" width="9.140625" style="121"/>
    <col min="1790" max="1800" width="15" style="121" bestFit="1" customWidth="1"/>
    <col min="1801" max="1801" width="16.5703125" style="121" bestFit="1" customWidth="1"/>
    <col min="1802" max="1802" width="9" style="121" customWidth="1"/>
    <col min="1803" max="2045" width="9.140625" style="121"/>
    <col min="2046" max="2056" width="15" style="121" bestFit="1" customWidth="1"/>
    <col min="2057" max="2057" width="16.5703125" style="121" bestFit="1" customWidth="1"/>
    <col min="2058" max="2058" width="9" style="121" customWidth="1"/>
    <col min="2059" max="2301" width="9.140625" style="121"/>
    <col min="2302" max="2312" width="15" style="121" bestFit="1" customWidth="1"/>
    <col min="2313" max="2313" width="16.5703125" style="121" bestFit="1" customWidth="1"/>
    <col min="2314" max="2314" width="9" style="121" customWidth="1"/>
    <col min="2315" max="2557" width="9.140625" style="121"/>
    <col min="2558" max="2568" width="15" style="121" bestFit="1" customWidth="1"/>
    <col min="2569" max="2569" width="16.5703125" style="121" bestFit="1" customWidth="1"/>
    <col min="2570" max="2570" width="9" style="121" customWidth="1"/>
    <col min="2571" max="2813" width="9.140625" style="121"/>
    <col min="2814" max="2824" width="15" style="121" bestFit="1" customWidth="1"/>
    <col min="2825" max="2825" width="16.5703125" style="121" bestFit="1" customWidth="1"/>
    <col min="2826" max="2826" width="9" style="121" customWidth="1"/>
    <col min="2827" max="3069" width="9.140625" style="121"/>
    <col min="3070" max="3080" width="15" style="121" bestFit="1" customWidth="1"/>
    <col min="3081" max="3081" width="16.5703125" style="121" bestFit="1" customWidth="1"/>
    <col min="3082" max="3082" width="9" style="121" customWidth="1"/>
    <col min="3083" max="3325" width="9.140625" style="121"/>
    <col min="3326" max="3336" width="15" style="121" bestFit="1" customWidth="1"/>
    <col min="3337" max="3337" width="16.5703125" style="121" bestFit="1" customWidth="1"/>
    <col min="3338" max="3338" width="9" style="121" customWidth="1"/>
    <col min="3339" max="3581" width="9.140625" style="121"/>
    <col min="3582" max="3592" width="15" style="121" bestFit="1" customWidth="1"/>
    <col min="3593" max="3593" width="16.5703125" style="121" bestFit="1" customWidth="1"/>
    <col min="3594" max="3594" width="9" style="121" customWidth="1"/>
    <col min="3595" max="3837" width="9.140625" style="121"/>
    <col min="3838" max="3848" width="15" style="121" bestFit="1" customWidth="1"/>
    <col min="3849" max="3849" width="16.5703125" style="121" bestFit="1" customWidth="1"/>
    <col min="3850" max="3850" width="9" style="121" customWidth="1"/>
    <col min="3851" max="4093" width="9.140625" style="121"/>
    <col min="4094" max="4104" width="15" style="121" bestFit="1" customWidth="1"/>
    <col min="4105" max="4105" width="16.5703125" style="121" bestFit="1" customWidth="1"/>
    <col min="4106" max="4106" width="9" style="121" customWidth="1"/>
    <col min="4107" max="4349" width="9.140625" style="121"/>
    <col min="4350" max="4360" width="15" style="121" bestFit="1" customWidth="1"/>
    <col min="4361" max="4361" width="16.5703125" style="121" bestFit="1" customWidth="1"/>
    <col min="4362" max="4362" width="9" style="121" customWidth="1"/>
    <col min="4363" max="4605" width="9.140625" style="121"/>
    <col min="4606" max="4616" width="15" style="121" bestFit="1" customWidth="1"/>
    <col min="4617" max="4617" width="16.5703125" style="121" bestFit="1" customWidth="1"/>
    <col min="4618" max="4618" width="9" style="121" customWidth="1"/>
    <col min="4619" max="4861" width="9.140625" style="121"/>
    <col min="4862" max="4872" width="15" style="121" bestFit="1" customWidth="1"/>
    <col min="4873" max="4873" width="16.5703125" style="121" bestFit="1" customWidth="1"/>
    <col min="4874" max="4874" width="9" style="121" customWidth="1"/>
    <col min="4875" max="5117" width="9.140625" style="121"/>
    <col min="5118" max="5128" width="15" style="121" bestFit="1" customWidth="1"/>
    <col min="5129" max="5129" width="16.5703125" style="121" bestFit="1" customWidth="1"/>
    <col min="5130" max="5130" width="9" style="121" customWidth="1"/>
    <col min="5131" max="5373" width="9.140625" style="121"/>
    <col min="5374" max="5384" width="15" style="121" bestFit="1" customWidth="1"/>
    <col min="5385" max="5385" width="16.5703125" style="121" bestFit="1" customWidth="1"/>
    <col min="5386" max="5386" width="9" style="121" customWidth="1"/>
    <col min="5387" max="5629" width="9.140625" style="121"/>
    <col min="5630" max="5640" width="15" style="121" bestFit="1" customWidth="1"/>
    <col min="5641" max="5641" width="16.5703125" style="121" bestFit="1" customWidth="1"/>
    <col min="5642" max="5642" width="9" style="121" customWidth="1"/>
    <col min="5643" max="5885" width="9.140625" style="121"/>
    <col min="5886" max="5896" width="15" style="121" bestFit="1" customWidth="1"/>
    <col min="5897" max="5897" width="16.5703125" style="121" bestFit="1" customWidth="1"/>
    <col min="5898" max="5898" width="9" style="121" customWidth="1"/>
    <col min="5899" max="6141" width="9.140625" style="121"/>
    <col min="6142" max="6152" width="15" style="121" bestFit="1" customWidth="1"/>
    <col min="6153" max="6153" width="16.5703125" style="121" bestFit="1" customWidth="1"/>
    <col min="6154" max="6154" width="9" style="121" customWidth="1"/>
    <col min="6155" max="6397" width="9.140625" style="121"/>
    <col min="6398" max="6408" width="15" style="121" bestFit="1" customWidth="1"/>
    <col min="6409" max="6409" width="16.5703125" style="121" bestFit="1" customWidth="1"/>
    <col min="6410" max="6410" width="9" style="121" customWidth="1"/>
    <col min="6411" max="6653" width="9.140625" style="121"/>
    <col min="6654" max="6664" width="15" style="121" bestFit="1" customWidth="1"/>
    <col min="6665" max="6665" width="16.5703125" style="121" bestFit="1" customWidth="1"/>
    <col min="6666" max="6666" width="9" style="121" customWidth="1"/>
    <col min="6667" max="6909" width="9.140625" style="121"/>
    <col min="6910" max="6920" width="15" style="121" bestFit="1" customWidth="1"/>
    <col min="6921" max="6921" width="16.5703125" style="121" bestFit="1" customWidth="1"/>
    <col min="6922" max="6922" width="9" style="121" customWidth="1"/>
    <col min="6923" max="7165" width="9.140625" style="121"/>
    <col min="7166" max="7176" width="15" style="121" bestFit="1" customWidth="1"/>
    <col min="7177" max="7177" width="16.5703125" style="121" bestFit="1" customWidth="1"/>
    <col min="7178" max="7178" width="9" style="121" customWidth="1"/>
    <col min="7179" max="7421" width="9.140625" style="121"/>
    <col min="7422" max="7432" width="15" style="121" bestFit="1" customWidth="1"/>
    <col min="7433" max="7433" width="16.5703125" style="121" bestFit="1" customWidth="1"/>
    <col min="7434" max="7434" width="9" style="121" customWidth="1"/>
    <col min="7435" max="7677" width="9.140625" style="121"/>
    <col min="7678" max="7688" width="15" style="121" bestFit="1" customWidth="1"/>
    <col min="7689" max="7689" width="16.5703125" style="121" bestFit="1" customWidth="1"/>
    <col min="7690" max="7690" width="9" style="121" customWidth="1"/>
    <col min="7691" max="7933" width="9.140625" style="121"/>
    <col min="7934" max="7944" width="15" style="121" bestFit="1" customWidth="1"/>
    <col min="7945" max="7945" width="16.5703125" style="121" bestFit="1" customWidth="1"/>
    <col min="7946" max="7946" width="9" style="121" customWidth="1"/>
    <col min="7947" max="8189" width="9.140625" style="121"/>
    <col min="8190" max="8200" width="15" style="121" bestFit="1" customWidth="1"/>
    <col min="8201" max="8201" width="16.5703125" style="121" bestFit="1" customWidth="1"/>
    <col min="8202" max="8202" width="9" style="121" customWidth="1"/>
    <col min="8203" max="8445" width="9.140625" style="121"/>
    <col min="8446" max="8456" width="15" style="121" bestFit="1" customWidth="1"/>
    <col min="8457" max="8457" width="16.5703125" style="121" bestFit="1" customWidth="1"/>
    <col min="8458" max="8458" width="9" style="121" customWidth="1"/>
    <col min="8459" max="8701" width="9.140625" style="121"/>
    <col min="8702" max="8712" width="15" style="121" bestFit="1" customWidth="1"/>
    <col min="8713" max="8713" width="16.5703125" style="121" bestFit="1" customWidth="1"/>
    <col min="8714" max="8714" width="9" style="121" customWidth="1"/>
    <col min="8715" max="8957" width="9.140625" style="121"/>
    <col min="8958" max="8968" width="15" style="121" bestFit="1" customWidth="1"/>
    <col min="8969" max="8969" width="16.5703125" style="121" bestFit="1" customWidth="1"/>
    <col min="8970" max="8970" width="9" style="121" customWidth="1"/>
    <col min="8971" max="9213" width="9.140625" style="121"/>
    <col min="9214" max="9224" width="15" style="121" bestFit="1" customWidth="1"/>
    <col min="9225" max="9225" width="16.5703125" style="121" bestFit="1" customWidth="1"/>
    <col min="9226" max="9226" width="9" style="121" customWidth="1"/>
    <col min="9227" max="9469" width="9.140625" style="121"/>
    <col min="9470" max="9480" width="15" style="121" bestFit="1" customWidth="1"/>
    <col min="9481" max="9481" width="16.5703125" style="121" bestFit="1" customWidth="1"/>
    <col min="9482" max="9482" width="9" style="121" customWidth="1"/>
    <col min="9483" max="9725" width="9.140625" style="121"/>
    <col min="9726" max="9736" width="15" style="121" bestFit="1" customWidth="1"/>
    <col min="9737" max="9737" width="16.5703125" style="121" bestFit="1" customWidth="1"/>
    <col min="9738" max="9738" width="9" style="121" customWidth="1"/>
    <col min="9739" max="9981" width="9.140625" style="121"/>
    <col min="9982" max="9992" width="15" style="121" bestFit="1" customWidth="1"/>
    <col min="9993" max="9993" width="16.5703125" style="121" bestFit="1" customWidth="1"/>
    <col min="9994" max="9994" width="9" style="121" customWidth="1"/>
    <col min="9995" max="10237" width="9.140625" style="121"/>
    <col min="10238" max="10248" width="15" style="121" bestFit="1" customWidth="1"/>
    <col min="10249" max="10249" width="16.5703125" style="121" bestFit="1" customWidth="1"/>
    <col min="10250" max="10250" width="9" style="121" customWidth="1"/>
    <col min="10251" max="10493" width="9.140625" style="121"/>
    <col min="10494" max="10504" width="15" style="121" bestFit="1" customWidth="1"/>
    <col min="10505" max="10505" width="16.5703125" style="121" bestFit="1" customWidth="1"/>
    <col min="10506" max="10506" width="9" style="121" customWidth="1"/>
    <col min="10507" max="10749" width="9.140625" style="121"/>
    <col min="10750" max="10760" width="15" style="121" bestFit="1" customWidth="1"/>
    <col min="10761" max="10761" width="16.5703125" style="121" bestFit="1" customWidth="1"/>
    <col min="10762" max="10762" width="9" style="121" customWidth="1"/>
    <col min="10763" max="11005" width="9.140625" style="121"/>
    <col min="11006" max="11016" width="15" style="121" bestFit="1" customWidth="1"/>
    <col min="11017" max="11017" width="16.5703125" style="121" bestFit="1" customWidth="1"/>
    <col min="11018" max="11018" width="9" style="121" customWidth="1"/>
    <col min="11019" max="11261" width="9.140625" style="121"/>
    <col min="11262" max="11272" width="15" style="121" bestFit="1" customWidth="1"/>
    <col min="11273" max="11273" width="16.5703125" style="121" bestFit="1" customWidth="1"/>
    <col min="11274" max="11274" width="9" style="121" customWidth="1"/>
    <col min="11275" max="11517" width="9.140625" style="121"/>
    <col min="11518" max="11528" width="15" style="121" bestFit="1" customWidth="1"/>
    <col min="11529" max="11529" width="16.5703125" style="121" bestFit="1" customWidth="1"/>
    <col min="11530" max="11530" width="9" style="121" customWidth="1"/>
    <col min="11531" max="11773" width="9.140625" style="121"/>
    <col min="11774" max="11784" width="15" style="121" bestFit="1" customWidth="1"/>
    <col min="11785" max="11785" width="16.5703125" style="121" bestFit="1" customWidth="1"/>
    <col min="11786" max="11786" width="9" style="121" customWidth="1"/>
    <col min="11787" max="12029" width="9.140625" style="121"/>
    <col min="12030" max="12040" width="15" style="121" bestFit="1" customWidth="1"/>
    <col min="12041" max="12041" width="16.5703125" style="121" bestFit="1" customWidth="1"/>
    <col min="12042" max="12042" width="9" style="121" customWidth="1"/>
    <col min="12043" max="12285" width="9.140625" style="121"/>
    <col min="12286" max="12296" width="15" style="121" bestFit="1" customWidth="1"/>
    <col min="12297" max="12297" width="16.5703125" style="121" bestFit="1" customWidth="1"/>
    <col min="12298" max="12298" width="9" style="121" customWidth="1"/>
    <col min="12299" max="12541" width="9.140625" style="121"/>
    <col min="12542" max="12552" width="15" style="121" bestFit="1" customWidth="1"/>
    <col min="12553" max="12553" width="16.5703125" style="121" bestFit="1" customWidth="1"/>
    <col min="12554" max="12554" width="9" style="121" customWidth="1"/>
    <col min="12555" max="12797" width="9.140625" style="121"/>
    <col min="12798" max="12808" width="15" style="121" bestFit="1" customWidth="1"/>
    <col min="12809" max="12809" width="16.5703125" style="121" bestFit="1" customWidth="1"/>
    <col min="12810" max="12810" width="9" style="121" customWidth="1"/>
    <col min="12811" max="13053" width="9.140625" style="121"/>
    <col min="13054" max="13064" width="15" style="121" bestFit="1" customWidth="1"/>
    <col min="13065" max="13065" width="16.5703125" style="121" bestFit="1" customWidth="1"/>
    <col min="13066" max="13066" width="9" style="121" customWidth="1"/>
    <col min="13067" max="13309" width="9.140625" style="121"/>
    <col min="13310" max="13320" width="15" style="121" bestFit="1" customWidth="1"/>
    <col min="13321" max="13321" width="16.5703125" style="121" bestFit="1" customWidth="1"/>
    <col min="13322" max="13322" width="9" style="121" customWidth="1"/>
    <col min="13323" max="13565" width="9.140625" style="121"/>
    <col min="13566" max="13576" width="15" style="121" bestFit="1" customWidth="1"/>
    <col min="13577" max="13577" width="16.5703125" style="121" bestFit="1" customWidth="1"/>
    <col min="13578" max="13578" width="9" style="121" customWidth="1"/>
    <col min="13579" max="13821" width="9.140625" style="121"/>
    <col min="13822" max="13832" width="15" style="121" bestFit="1" customWidth="1"/>
    <col min="13833" max="13833" width="16.5703125" style="121" bestFit="1" customWidth="1"/>
    <col min="13834" max="13834" width="9" style="121" customWidth="1"/>
    <col min="13835" max="14077" width="9.140625" style="121"/>
    <col min="14078" max="14088" width="15" style="121" bestFit="1" customWidth="1"/>
    <col min="14089" max="14089" width="16.5703125" style="121" bestFit="1" customWidth="1"/>
    <col min="14090" max="14090" width="9" style="121" customWidth="1"/>
    <col min="14091" max="14333" width="9.140625" style="121"/>
    <col min="14334" max="14344" width="15" style="121" bestFit="1" customWidth="1"/>
    <col min="14345" max="14345" width="16.5703125" style="121" bestFit="1" customWidth="1"/>
    <col min="14346" max="14346" width="9" style="121" customWidth="1"/>
    <col min="14347" max="14589" width="9.140625" style="121"/>
    <col min="14590" max="14600" width="15" style="121" bestFit="1" customWidth="1"/>
    <col min="14601" max="14601" width="16.5703125" style="121" bestFit="1" customWidth="1"/>
    <col min="14602" max="14602" width="9" style="121" customWidth="1"/>
    <col min="14603" max="14845" width="9.140625" style="121"/>
    <col min="14846" max="14856" width="15" style="121" bestFit="1" customWidth="1"/>
    <col min="14857" max="14857" width="16.5703125" style="121" bestFit="1" customWidth="1"/>
    <col min="14858" max="14858" width="9" style="121" customWidth="1"/>
    <col min="14859" max="15101" width="9.140625" style="121"/>
    <col min="15102" max="15112" width="15" style="121" bestFit="1" customWidth="1"/>
    <col min="15113" max="15113" width="16.5703125" style="121" bestFit="1" customWidth="1"/>
    <col min="15114" max="15114" width="9" style="121" customWidth="1"/>
    <col min="15115" max="15357" width="9.140625" style="121"/>
    <col min="15358" max="15368" width="15" style="121" bestFit="1" customWidth="1"/>
    <col min="15369" max="15369" width="16.5703125" style="121" bestFit="1" customWidth="1"/>
    <col min="15370" max="15370" width="9" style="121" customWidth="1"/>
    <col min="15371" max="15613" width="9.140625" style="121"/>
    <col min="15614" max="15624" width="15" style="121" bestFit="1" customWidth="1"/>
    <col min="15625" max="15625" width="16.5703125" style="121" bestFit="1" customWidth="1"/>
    <col min="15626" max="15626" width="9" style="121" customWidth="1"/>
    <col min="15627" max="15869" width="9.140625" style="121"/>
    <col min="15870" max="15880" width="15" style="121" bestFit="1" customWidth="1"/>
    <col min="15881" max="15881" width="16.5703125" style="121" bestFit="1" customWidth="1"/>
    <col min="15882" max="15882" width="9" style="121" customWidth="1"/>
    <col min="15883" max="16125" width="9.140625" style="121"/>
    <col min="16126" max="16136" width="15" style="121" bestFit="1" customWidth="1"/>
    <col min="16137" max="16137" width="16.5703125" style="121" bestFit="1" customWidth="1"/>
    <col min="16138" max="16138" width="9" style="121" customWidth="1"/>
    <col min="16139" max="16384" width="9.140625" style="121"/>
  </cols>
  <sheetData>
    <row r="1" spans="1:13" x14ac:dyDescent="0.25">
      <c r="A1" s="197" t="s">
        <v>326</v>
      </c>
      <c r="K1" s="164"/>
      <c r="L1" s="110"/>
      <c r="M1" s="110" t="s">
        <v>20</v>
      </c>
    </row>
    <row r="2" spans="1:13" x14ac:dyDescent="0.25">
      <c r="A2" s="197" t="s">
        <v>327</v>
      </c>
      <c r="K2" s="164"/>
      <c r="L2" s="110"/>
      <c r="M2" s="110" t="str">
        <f>+'ADIT 1 Electric'!$G$2</f>
        <v>d/b/a RHODE ISLAND ENERGY</v>
      </c>
    </row>
    <row r="3" spans="1:13" x14ac:dyDescent="0.25">
      <c r="A3" s="197"/>
      <c r="K3" s="164"/>
      <c r="L3" s="110"/>
      <c r="M3" s="110" t="str">
        <f>+'ADIT 1 Electric'!$G$3</f>
        <v>RIPUC Docket No. 25-45-GE</v>
      </c>
    </row>
    <row r="4" spans="1:13" x14ac:dyDescent="0.25">
      <c r="D4" s="198">
        <v>2025</v>
      </c>
      <c r="E4" s="198">
        <f>+D4+1</f>
        <v>2026</v>
      </c>
      <c r="F4" s="198">
        <f t="shared" ref="F4:H4" si="0">+E4+1</f>
        <v>2027</v>
      </c>
      <c r="G4" s="198">
        <f t="shared" si="0"/>
        <v>2028</v>
      </c>
      <c r="H4" s="198">
        <f t="shared" si="0"/>
        <v>2029</v>
      </c>
      <c r="I4" s="198" t="s">
        <v>139</v>
      </c>
      <c r="K4" s="164"/>
      <c r="L4" s="110"/>
      <c r="M4" s="110" t="str">
        <f>+'ADIT 1 Electric'!$G$2</f>
        <v>d/b/a RHODE ISLAND ENERGY</v>
      </c>
    </row>
    <row r="5" spans="1:13" x14ac:dyDescent="0.25">
      <c r="A5" s="199">
        <v>75200</v>
      </c>
      <c r="B5" s="121" t="s">
        <v>328</v>
      </c>
      <c r="D5" s="200">
        <v>96437201.670000002</v>
      </c>
      <c r="E5" s="200">
        <v>92089818.920000002</v>
      </c>
      <c r="F5" s="200">
        <v>82801920.310000002</v>
      </c>
      <c r="G5" s="201">
        <v>77592840.310000002</v>
      </c>
      <c r="H5" s="201">
        <v>76152265.840000004</v>
      </c>
      <c r="I5" s="200">
        <f>SUM(D5:H5)</f>
        <v>425074047.04999995</v>
      </c>
      <c r="J5" s="202"/>
      <c r="K5" s="164"/>
      <c r="L5" s="110"/>
      <c r="M5" s="110" t="str">
        <f>+'ADIT 1 Electric'!$G$5</f>
        <v>Schedule NH-3-ELEC</v>
      </c>
    </row>
    <row r="6" spans="1:13" x14ac:dyDescent="0.25">
      <c r="A6" s="199">
        <v>75300</v>
      </c>
      <c r="B6" s="121" t="s">
        <v>329</v>
      </c>
      <c r="D6" s="200">
        <v>96988868.390000001</v>
      </c>
      <c r="E6" s="200">
        <v>94290838.079999998</v>
      </c>
      <c r="F6" s="200">
        <v>86247989.709999993</v>
      </c>
      <c r="G6" s="201">
        <v>79142612.760000005</v>
      </c>
      <c r="H6" s="201">
        <v>71592558.689999998</v>
      </c>
      <c r="I6" s="200">
        <f t="shared" ref="I6:I7" si="1">SUM(D6:H6)</f>
        <v>428262867.63</v>
      </c>
      <c r="J6" s="202"/>
    </row>
    <row r="7" spans="1:13" x14ac:dyDescent="0.25">
      <c r="A7" s="199">
        <v>75400</v>
      </c>
      <c r="B7" s="121" t="s">
        <v>330</v>
      </c>
      <c r="D7" s="200">
        <v>118862207.34</v>
      </c>
      <c r="E7" s="200">
        <v>112505240.75</v>
      </c>
      <c r="F7" s="200">
        <v>103236771.76000001</v>
      </c>
      <c r="G7" s="201">
        <v>94895413.469999999</v>
      </c>
      <c r="H7" s="201">
        <v>87162322.920000002</v>
      </c>
      <c r="I7" s="200">
        <f t="shared" si="1"/>
        <v>516661956.24000007</v>
      </c>
      <c r="J7" s="202"/>
    </row>
    <row r="8" spans="1:13" x14ac:dyDescent="0.25">
      <c r="D8" s="202"/>
      <c r="E8" s="202"/>
      <c r="F8" s="202"/>
      <c r="G8" s="203"/>
      <c r="H8" s="203"/>
      <c r="I8" s="202"/>
      <c r="J8" s="202"/>
    </row>
    <row r="9" spans="1:13" ht="16.5" thickBot="1" x14ac:dyDescent="0.3">
      <c r="A9" s="199" t="s">
        <v>139</v>
      </c>
      <c r="D9" s="204">
        <f t="shared" ref="D9:I9" si="2">SUM(D5:D8)</f>
        <v>312288277.39999998</v>
      </c>
      <c r="E9" s="204">
        <f t="shared" si="2"/>
        <v>298885897.75</v>
      </c>
      <c r="F9" s="204">
        <f t="shared" si="2"/>
        <v>272286681.77999997</v>
      </c>
      <c r="G9" s="205">
        <f t="shared" si="2"/>
        <v>251630866.53999999</v>
      </c>
      <c r="H9" s="205">
        <f t="shared" si="2"/>
        <v>234907147.44999999</v>
      </c>
      <c r="I9" s="204">
        <f t="shared" si="2"/>
        <v>1369998870.9200001</v>
      </c>
      <c r="J9" s="200"/>
      <c r="K9" s="206"/>
    </row>
    <row r="10" spans="1:13" ht="16.5" thickTop="1" x14ac:dyDescent="0.25">
      <c r="D10" s="202"/>
      <c r="E10" s="202"/>
      <c r="F10" s="202"/>
      <c r="G10" s="203"/>
      <c r="H10" s="203"/>
      <c r="I10" s="202"/>
      <c r="J10" s="202"/>
    </row>
    <row r="11" spans="1:13" x14ac:dyDescent="0.25">
      <c r="A11" s="199"/>
    </row>
    <row r="12" spans="1:13" x14ac:dyDescent="0.25">
      <c r="A12" s="199" t="s">
        <v>331</v>
      </c>
    </row>
    <row r="13" spans="1:13" x14ac:dyDescent="0.25">
      <c r="A13" s="199" t="s">
        <v>332</v>
      </c>
      <c r="D13" s="207">
        <f>+D21</f>
        <v>36574769.390000001</v>
      </c>
      <c r="E13" s="207">
        <f>+E6/12*7</f>
        <v>55002988.879999995</v>
      </c>
      <c r="F13" s="207"/>
      <c r="G13" s="208"/>
      <c r="H13" s="208"/>
      <c r="I13" s="200">
        <f t="shared" ref="I13:I16" si="3">SUM(D13:H13)</f>
        <v>91577758.269999996</v>
      </c>
    </row>
    <row r="14" spans="1:13" x14ac:dyDescent="0.25">
      <c r="A14" s="199" t="s">
        <v>333</v>
      </c>
      <c r="D14" s="207"/>
      <c r="E14" s="207">
        <f>+E6/12*5</f>
        <v>39287849.200000003</v>
      </c>
      <c r="F14" s="207">
        <f>+F6/12*7</f>
        <v>50311327.330833331</v>
      </c>
      <c r="G14" s="208"/>
      <c r="H14" s="208"/>
      <c r="I14" s="200">
        <f t="shared" si="3"/>
        <v>89599176.530833334</v>
      </c>
    </row>
    <row r="15" spans="1:13" x14ac:dyDescent="0.25">
      <c r="A15" s="199" t="s">
        <v>334</v>
      </c>
      <c r="D15" s="207"/>
      <c r="E15" s="207"/>
      <c r="F15" s="207">
        <f>+F6/12*5</f>
        <v>35936662.379166663</v>
      </c>
      <c r="G15" s="208">
        <f>+G6/12*7</f>
        <v>46166524.109999999</v>
      </c>
      <c r="H15" s="208"/>
      <c r="I15" s="200">
        <f t="shared" si="3"/>
        <v>82103186.489166662</v>
      </c>
    </row>
    <row r="16" spans="1:13" x14ac:dyDescent="0.25">
      <c r="A16" s="199" t="s">
        <v>335</v>
      </c>
      <c r="D16" s="207"/>
      <c r="E16" s="207"/>
      <c r="F16" s="207"/>
      <c r="G16" s="208">
        <f>+G6/12*5</f>
        <v>32976088.650000002</v>
      </c>
      <c r="H16" s="208">
        <f>+H6/12*7</f>
        <v>41762325.902500004</v>
      </c>
      <c r="I16" s="200">
        <f t="shared" si="3"/>
        <v>74738414.55250001</v>
      </c>
    </row>
    <row r="17" spans="1:9" ht="16.5" thickBot="1" x14ac:dyDescent="0.3">
      <c r="A17" s="199"/>
      <c r="D17" s="209">
        <f>SUM(D13:D16)</f>
        <v>36574769.390000001</v>
      </c>
      <c r="E17" s="209">
        <f t="shared" ref="E17:I17" si="4">SUM(E13:E16)</f>
        <v>94290838.079999998</v>
      </c>
      <c r="F17" s="209">
        <f t="shared" si="4"/>
        <v>86247989.709999993</v>
      </c>
      <c r="G17" s="210">
        <f t="shared" si="4"/>
        <v>79142612.760000005</v>
      </c>
      <c r="H17" s="210">
        <f t="shared" si="4"/>
        <v>41762325.902500004</v>
      </c>
      <c r="I17" s="209">
        <f t="shared" si="4"/>
        <v>338018535.84250003</v>
      </c>
    </row>
    <row r="18" spans="1:9" ht="16.5" thickTop="1" x14ac:dyDescent="0.25">
      <c r="A18" s="199"/>
    </row>
    <row r="19" spans="1:9" x14ac:dyDescent="0.25">
      <c r="A19" s="199"/>
      <c r="B19" s="121" t="s">
        <v>336</v>
      </c>
      <c r="D19" s="211">
        <f>+D6</f>
        <v>96988868.390000001</v>
      </c>
    </row>
    <row r="20" spans="1:9" x14ac:dyDescent="0.25">
      <c r="A20" s="199"/>
      <c r="B20" s="121" t="s">
        <v>337</v>
      </c>
      <c r="D20" s="211">
        <v>60414099</v>
      </c>
    </row>
    <row r="21" spans="1:9" ht="16.5" thickBot="1" x14ac:dyDescent="0.3">
      <c r="A21" s="199"/>
      <c r="B21" s="121" t="s">
        <v>338</v>
      </c>
      <c r="D21" s="212">
        <f>+D19-D20</f>
        <v>36574769.390000001</v>
      </c>
    </row>
    <row r="22" spans="1:9" ht="16.5" thickTop="1" x14ac:dyDescent="0.25">
      <c r="A22" s="199"/>
    </row>
    <row r="23" spans="1:9" x14ac:dyDescent="0.25">
      <c r="A23" s="199" t="s">
        <v>339</v>
      </c>
    </row>
    <row r="24" spans="1:9" x14ac:dyDescent="0.25">
      <c r="A24" s="199" t="s">
        <v>332</v>
      </c>
      <c r="D24" s="207">
        <f>+D32</f>
        <v>41763982.340000004</v>
      </c>
      <c r="E24" s="207">
        <f>+E7/12*7</f>
        <v>65628057.104166664</v>
      </c>
      <c r="F24" s="207"/>
      <c r="G24" s="208"/>
      <c r="H24" s="208"/>
      <c r="I24" s="200">
        <f t="shared" ref="I24:I27" si="5">SUM(D24:H24)</f>
        <v>107392039.44416666</v>
      </c>
    </row>
    <row r="25" spans="1:9" x14ac:dyDescent="0.25">
      <c r="A25" s="199" t="s">
        <v>333</v>
      </c>
      <c r="D25" s="207"/>
      <c r="E25" s="207">
        <f>+E7/12*5</f>
        <v>46877183.645833328</v>
      </c>
      <c r="F25" s="207">
        <f>+F7/12*7</f>
        <v>60221450.193333343</v>
      </c>
      <c r="G25" s="208"/>
      <c r="H25" s="208"/>
      <c r="I25" s="200">
        <f t="shared" si="5"/>
        <v>107098633.83916667</v>
      </c>
    </row>
    <row r="26" spans="1:9" x14ac:dyDescent="0.25">
      <c r="A26" s="199" t="s">
        <v>334</v>
      </c>
      <c r="D26" s="207"/>
      <c r="E26" s="207"/>
      <c r="F26" s="207">
        <f>+F7/12*5</f>
        <v>43015321.56666667</v>
      </c>
      <c r="G26" s="208">
        <f>+G7/12*7</f>
        <v>55355657.857499994</v>
      </c>
      <c r="H26" s="208"/>
      <c r="I26" s="200">
        <f t="shared" si="5"/>
        <v>98370979.424166664</v>
      </c>
    </row>
    <row r="27" spans="1:9" x14ac:dyDescent="0.25">
      <c r="A27" s="199" t="s">
        <v>335</v>
      </c>
      <c r="D27" s="207"/>
      <c r="E27" s="207"/>
      <c r="F27" s="207"/>
      <c r="G27" s="208">
        <f>+G7/12*5</f>
        <v>39539755.612499997</v>
      </c>
      <c r="H27" s="208">
        <f>+H7/12*7</f>
        <v>50844688.370000005</v>
      </c>
      <c r="I27" s="200">
        <f t="shared" si="5"/>
        <v>90384443.982500002</v>
      </c>
    </row>
    <row r="28" spans="1:9" ht="16.5" thickBot="1" x14ac:dyDescent="0.3">
      <c r="A28" s="199"/>
      <c r="D28" s="209">
        <f>SUM(D24:D27)</f>
        <v>41763982.340000004</v>
      </c>
      <c r="E28" s="209">
        <f t="shared" ref="E28:I28" si="6">SUM(E24:E27)</f>
        <v>112505240.75</v>
      </c>
      <c r="F28" s="209">
        <f t="shared" si="6"/>
        <v>103236771.76000002</v>
      </c>
      <c r="G28" s="210">
        <f t="shared" si="6"/>
        <v>94895413.469999999</v>
      </c>
      <c r="H28" s="210">
        <f t="shared" si="6"/>
        <v>50844688.370000005</v>
      </c>
      <c r="I28" s="209">
        <f t="shared" si="6"/>
        <v>403246096.69</v>
      </c>
    </row>
    <row r="29" spans="1:9" ht="16.5" thickTop="1" x14ac:dyDescent="0.25">
      <c r="A29" s="199"/>
    </row>
    <row r="30" spans="1:9" x14ac:dyDescent="0.25">
      <c r="A30" s="199"/>
      <c r="B30" s="121" t="s">
        <v>336</v>
      </c>
      <c r="D30" s="211">
        <f>+D7</f>
        <v>118862207.34</v>
      </c>
    </row>
    <row r="31" spans="1:9" x14ac:dyDescent="0.25">
      <c r="A31" s="199"/>
      <c r="B31" s="121" t="s">
        <v>337</v>
      </c>
      <c r="D31" s="211">
        <v>77098225</v>
      </c>
    </row>
    <row r="32" spans="1:9" ht="16.5" thickBot="1" x14ac:dyDescent="0.3">
      <c r="A32" s="199"/>
      <c r="B32" s="121" t="s">
        <v>338</v>
      </c>
      <c r="D32" s="212">
        <f>+D30-D31</f>
        <v>41763982.340000004</v>
      </c>
    </row>
    <row r="33" spans="1:8" ht="16.5" thickTop="1" x14ac:dyDescent="0.25">
      <c r="A33" s="199"/>
    </row>
    <row r="34" spans="1:8" x14ac:dyDescent="0.25">
      <c r="A34" s="199"/>
      <c r="D34" s="206"/>
      <c r="E34" s="206"/>
      <c r="F34" s="206"/>
      <c r="G34" s="206"/>
      <c r="H34" s="206"/>
    </row>
    <row r="35" spans="1:8" x14ac:dyDescent="0.25">
      <c r="A35" s="199"/>
      <c r="D35" s="206"/>
      <c r="E35" s="206"/>
      <c r="F35" s="206"/>
      <c r="G35" s="206"/>
      <c r="H35" s="206"/>
    </row>
    <row r="36" spans="1:8" x14ac:dyDescent="0.25">
      <c r="A36" s="199"/>
      <c r="D36" s="206"/>
      <c r="E36" s="206"/>
      <c r="F36" s="206"/>
      <c r="G36" s="206"/>
      <c r="H36" s="206"/>
    </row>
    <row r="37" spans="1:8" x14ac:dyDescent="0.25">
      <c r="A37" s="199"/>
      <c r="D37" s="206"/>
      <c r="E37" s="206"/>
      <c r="F37" s="206"/>
      <c r="G37" s="206"/>
      <c r="H37" s="206"/>
    </row>
    <row r="38" spans="1:8" x14ac:dyDescent="0.25">
      <c r="A38" s="199"/>
      <c r="D38" s="206"/>
      <c r="E38" s="206"/>
    </row>
    <row r="39" spans="1:8" x14ac:dyDescent="0.25">
      <c r="A39" s="199"/>
      <c r="D39" s="206"/>
      <c r="E39" s="206"/>
    </row>
    <row r="49" spans="1:11" x14ac:dyDescent="0.25">
      <c r="A49" s="213"/>
    </row>
    <row r="50" spans="1:11" x14ac:dyDescent="0.25">
      <c r="A50" s="213"/>
    </row>
    <row r="51" spans="1:11" x14ac:dyDescent="0.25">
      <c r="A51" s="213"/>
    </row>
    <row r="52" spans="1:11" x14ac:dyDescent="0.25">
      <c r="D52" s="198"/>
      <c r="E52" s="198"/>
      <c r="F52" s="198"/>
      <c r="G52" s="198"/>
      <c r="H52" s="198"/>
      <c r="I52" s="198"/>
    </row>
    <row r="53" spans="1:11" x14ac:dyDescent="0.25">
      <c r="A53" s="199"/>
      <c r="D53" s="214"/>
      <c r="E53" s="214"/>
      <c r="F53" s="214"/>
      <c r="G53" s="214"/>
      <c r="H53" s="214"/>
      <c r="I53" s="215"/>
      <c r="J53" s="215"/>
    </row>
    <row r="54" spans="1:11" x14ac:dyDescent="0.25">
      <c r="A54" s="199"/>
      <c r="D54" s="214"/>
      <c r="E54" s="214"/>
      <c r="F54" s="214"/>
      <c r="G54" s="214"/>
      <c r="H54" s="214"/>
      <c r="I54" s="215"/>
      <c r="J54" s="215"/>
    </row>
    <row r="55" spans="1:11" x14ac:dyDescent="0.25">
      <c r="A55" s="199"/>
      <c r="D55" s="214"/>
      <c r="E55" s="214"/>
      <c r="F55" s="214"/>
      <c r="G55" s="214"/>
      <c r="H55" s="214"/>
      <c r="I55" s="215"/>
      <c r="J55" s="215"/>
    </row>
    <row r="56" spans="1:11" x14ac:dyDescent="0.25">
      <c r="D56" s="215"/>
      <c r="E56" s="215"/>
      <c r="F56" s="215"/>
      <c r="G56" s="215"/>
      <c r="H56" s="215"/>
      <c r="I56" s="215"/>
      <c r="J56" s="215"/>
    </row>
    <row r="57" spans="1:11" x14ac:dyDescent="0.25">
      <c r="A57" s="199"/>
      <c r="D57" s="215"/>
      <c r="E57" s="215"/>
      <c r="F57" s="215"/>
      <c r="G57" s="215"/>
      <c r="H57" s="215"/>
      <c r="I57" s="215"/>
      <c r="J57" s="214"/>
      <c r="K57" s="206"/>
    </row>
    <row r="58" spans="1:11" x14ac:dyDescent="0.25">
      <c r="D58" s="215"/>
      <c r="E58" s="215"/>
      <c r="F58" s="215"/>
      <c r="G58" s="215"/>
      <c r="H58" s="215"/>
      <c r="I58" s="215"/>
      <c r="J58" s="215"/>
    </row>
    <row r="59" spans="1:11" x14ac:dyDescent="0.25">
      <c r="A59" s="199"/>
    </row>
    <row r="60" spans="1:11" x14ac:dyDescent="0.25">
      <c r="A60" s="199"/>
      <c r="D60" s="206"/>
      <c r="E60" s="206"/>
      <c r="F60" s="206"/>
      <c r="G60" s="206"/>
      <c r="H60" s="206"/>
    </row>
    <row r="61" spans="1:11" x14ac:dyDescent="0.25">
      <c r="A61" s="199"/>
      <c r="D61" s="206"/>
      <c r="E61" s="206"/>
      <c r="F61" s="206"/>
      <c r="G61" s="206"/>
      <c r="H61" s="206"/>
    </row>
    <row r="62" spans="1:11" x14ac:dyDescent="0.25">
      <c r="A62" s="199"/>
      <c r="B62" s="216"/>
      <c r="C62" s="206"/>
      <c r="D62" s="216"/>
      <c r="E62" s="217"/>
      <c r="F62" s="206"/>
      <c r="G62" s="206"/>
      <c r="H62" s="206"/>
    </row>
    <row r="63" spans="1:11" x14ac:dyDescent="0.25">
      <c r="A63" s="199"/>
      <c r="B63" s="216"/>
      <c r="C63" s="206"/>
      <c r="D63" s="216"/>
      <c r="E63" s="206"/>
      <c r="F63" s="206"/>
      <c r="G63" s="206"/>
      <c r="H63" s="206"/>
    </row>
    <row r="64" spans="1:11" x14ac:dyDescent="0.25">
      <c r="B64" s="216"/>
      <c r="D64" s="216"/>
      <c r="E64" s="218"/>
    </row>
  </sheetData>
  <pageMargins left="0.2" right="0.2" top="0.75" bottom="0.75" header="0.3" footer="0.3"/>
  <pageSetup scale="79" orientation="landscape" r:id="rId1"/>
  <headerFooter>
    <oddHeader>&amp;A</oddHeader>
    <oddFooter>&amp;Z&amp;F&amp;L&amp;1#&amp;"Calibri"&amp;14&amp;K000000Business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519D7-6488-4174-BE9B-144A42D9A96C}">
  <dimension ref="A1:S45"/>
  <sheetViews>
    <sheetView topLeftCell="F1" workbookViewId="0">
      <selection sqref="A1:XFD1048576"/>
    </sheetView>
  </sheetViews>
  <sheetFormatPr defaultColWidth="9.140625" defaultRowHeight="15.75" x14ac:dyDescent="0.25"/>
  <cols>
    <col min="1" max="1" width="9.140625" style="43"/>
    <col min="2" max="2" width="3.5703125" style="43" customWidth="1"/>
    <col min="3" max="3" width="43.28515625" style="43" customWidth="1"/>
    <col min="4" max="4" width="13.42578125" style="43" customWidth="1"/>
    <col min="5" max="7" width="16.140625" style="43" bestFit="1" customWidth="1"/>
    <col min="8" max="8" width="17.85546875" style="43" bestFit="1" customWidth="1"/>
    <col min="9" max="9" width="16.140625" style="43" bestFit="1" customWidth="1"/>
    <col min="10" max="11" width="17.7109375" style="43" bestFit="1" customWidth="1"/>
    <col min="12" max="12" width="16.140625" style="43" bestFit="1" customWidth="1"/>
    <col min="13" max="13" width="16.28515625" style="43" bestFit="1" customWidth="1"/>
    <col min="14" max="19" width="16.140625" style="43" bestFit="1" customWidth="1"/>
    <col min="20" max="16384" width="9.140625" style="43"/>
  </cols>
  <sheetData>
    <row r="1" spans="1:19" x14ac:dyDescent="0.25">
      <c r="A1" s="369" t="s">
        <v>426</v>
      </c>
      <c r="B1" s="369"/>
      <c r="C1" s="369"/>
      <c r="D1" s="369"/>
      <c r="E1" s="369"/>
      <c r="F1" s="369"/>
      <c r="G1" s="369"/>
      <c r="H1" s="369"/>
      <c r="I1" s="369"/>
      <c r="J1" s="369"/>
      <c r="K1" s="54"/>
      <c r="L1" s="54"/>
      <c r="M1" s="54"/>
      <c r="N1" s="54"/>
      <c r="O1" s="54"/>
      <c r="P1" s="54"/>
      <c r="Q1" s="54"/>
      <c r="R1" s="54"/>
      <c r="S1" s="54"/>
    </row>
    <row r="2" spans="1:19" x14ac:dyDescent="0.25">
      <c r="A2" s="369"/>
      <c r="B2" s="369"/>
      <c r="C2" s="369"/>
      <c r="D2" s="369"/>
      <c r="E2" s="369"/>
      <c r="F2" s="369"/>
      <c r="G2" s="369"/>
      <c r="H2" s="369"/>
      <c r="I2" s="369"/>
      <c r="J2" s="369"/>
      <c r="K2" s="54"/>
      <c r="L2" s="54"/>
      <c r="M2" s="54"/>
      <c r="N2" s="54"/>
      <c r="O2" s="54"/>
      <c r="P2" s="54"/>
      <c r="Q2" s="54"/>
      <c r="R2" s="54"/>
      <c r="S2" s="54"/>
    </row>
    <row r="3" spans="1:19" x14ac:dyDescent="0.25">
      <c r="A3" s="369"/>
      <c r="B3" s="369"/>
      <c r="C3" s="369"/>
      <c r="D3" s="369"/>
      <c r="E3" s="369"/>
      <c r="F3" s="369"/>
      <c r="G3" s="369"/>
      <c r="H3" s="369"/>
      <c r="I3" s="369"/>
      <c r="J3" s="369"/>
      <c r="K3" s="54"/>
      <c r="L3" s="54"/>
      <c r="M3" s="54"/>
      <c r="N3" s="54"/>
      <c r="O3" s="54"/>
      <c r="P3" s="54"/>
      <c r="Q3" s="54"/>
      <c r="R3" s="54"/>
      <c r="S3" s="54"/>
    </row>
    <row r="4" spans="1:19" s="219" customFormat="1" x14ac:dyDescent="0.25">
      <c r="A4" s="54"/>
      <c r="B4" s="54"/>
      <c r="C4" s="54"/>
      <c r="D4" s="54"/>
      <c r="E4" s="54"/>
      <c r="F4" s="54"/>
      <c r="G4" s="54"/>
      <c r="H4" s="54"/>
      <c r="I4" s="54"/>
      <c r="J4" s="54"/>
      <c r="K4" s="54"/>
      <c r="L4" s="54"/>
      <c r="M4" s="54"/>
      <c r="N4" s="54"/>
      <c r="O4" s="54"/>
      <c r="P4" s="54"/>
      <c r="Q4" s="54"/>
      <c r="R4" s="54"/>
      <c r="S4" s="54"/>
    </row>
    <row r="5" spans="1:19" x14ac:dyDescent="0.25">
      <c r="A5" s="220"/>
      <c r="B5" s="220"/>
      <c r="C5" s="220"/>
      <c r="D5" s="221" t="s">
        <v>427</v>
      </c>
      <c r="E5" s="221" t="s">
        <v>428</v>
      </c>
      <c r="F5" s="222">
        <v>45504</v>
      </c>
      <c r="G5" s="223">
        <v>45535</v>
      </c>
      <c r="H5" s="222">
        <v>45565</v>
      </c>
      <c r="I5" s="223">
        <v>45596</v>
      </c>
      <c r="J5" s="222">
        <v>45626</v>
      </c>
      <c r="K5" s="223">
        <v>45657</v>
      </c>
      <c r="L5" s="222">
        <v>45688</v>
      </c>
      <c r="M5" s="223">
        <v>45716</v>
      </c>
      <c r="N5" s="222">
        <v>45747</v>
      </c>
      <c r="O5" s="223">
        <v>45777</v>
      </c>
      <c r="P5" s="222">
        <v>45808</v>
      </c>
      <c r="Q5" s="223">
        <v>45838</v>
      </c>
      <c r="R5" s="222">
        <v>45869</v>
      </c>
      <c r="S5" s="223">
        <v>45900</v>
      </c>
    </row>
    <row r="6" spans="1:19" x14ac:dyDescent="0.25">
      <c r="A6" s="54"/>
      <c r="B6" s="54"/>
      <c r="C6" s="54"/>
      <c r="D6" s="54"/>
      <c r="E6" s="54"/>
      <c r="F6" s="54"/>
      <c r="G6" s="54"/>
      <c r="H6" s="54"/>
      <c r="I6" s="54"/>
      <c r="J6" s="54"/>
      <c r="K6" s="54"/>
      <c r="L6" s="54"/>
      <c r="M6" s="54"/>
      <c r="N6" s="54"/>
      <c r="O6" s="54"/>
      <c r="P6" s="54"/>
      <c r="Q6" s="54"/>
      <c r="R6" s="54"/>
      <c r="S6" s="54"/>
    </row>
    <row r="7" spans="1:19" x14ac:dyDescent="0.25">
      <c r="A7" s="54"/>
      <c r="B7" s="54" t="s">
        <v>429</v>
      </c>
      <c r="C7" s="54"/>
      <c r="D7" s="54"/>
      <c r="E7" s="54"/>
      <c r="F7" s="54"/>
      <c r="G7" s="54"/>
      <c r="H7" s="54"/>
      <c r="I7" s="54"/>
      <c r="J7" s="54"/>
      <c r="K7" s="54"/>
      <c r="L7" s="54"/>
      <c r="M7" s="54"/>
      <c r="N7" s="54"/>
      <c r="O7" s="54"/>
      <c r="P7" s="54"/>
      <c r="Q7" s="54"/>
      <c r="R7" s="54"/>
      <c r="S7" s="54"/>
    </row>
    <row r="8" spans="1:19" x14ac:dyDescent="0.25">
      <c r="A8" s="54"/>
      <c r="B8" s="54"/>
      <c r="C8" s="54" t="s">
        <v>430</v>
      </c>
      <c r="D8" s="224">
        <f>+'4 Test Yr ADIT Support'!C10</f>
        <v>17551377.390000001</v>
      </c>
      <c r="E8" s="224">
        <f>+'4 Test Yr ADIT Support'!D10</f>
        <v>17448048.390000001</v>
      </c>
      <c r="F8" s="224">
        <f>+'4 Test Yr ADIT Support'!E10</f>
        <v>17413605.390000001</v>
      </c>
      <c r="G8" s="224">
        <f>+'4 Test Yr ADIT Support'!F10</f>
        <v>17379162.390000001</v>
      </c>
      <c r="H8" s="224">
        <f>+'4 Test Yr ADIT Support'!G10</f>
        <v>17344719.390000001</v>
      </c>
      <c r="I8" s="224">
        <f>+'4 Test Yr ADIT Support'!H10</f>
        <v>17310276.390000001</v>
      </c>
      <c r="J8" s="224">
        <f>+'4 Test Yr ADIT Support'!I10</f>
        <v>17275833.390000001</v>
      </c>
      <c r="K8" s="224">
        <f>+'4 Test Yr ADIT Support'!J10</f>
        <v>17241390.390000001</v>
      </c>
      <c r="L8" s="224">
        <f>+'4 Test Yr ADIT Support'!K10</f>
        <v>17206947.390000001</v>
      </c>
      <c r="M8" s="224">
        <f>+'4 Test Yr ADIT Support'!L10</f>
        <v>17172504.390000001</v>
      </c>
      <c r="N8" s="224">
        <f>+'4 Test Yr ADIT Support'!M10</f>
        <v>17138061.390000001</v>
      </c>
      <c r="O8" s="224">
        <f>+'4 Test Yr ADIT Support'!N10</f>
        <v>17103618.390000001</v>
      </c>
      <c r="P8" s="224">
        <f>+'4 Test Yr ADIT Support'!O10</f>
        <v>17069175.390000001</v>
      </c>
      <c r="Q8" s="224">
        <f>+'4 Test Yr ADIT Support'!P10</f>
        <v>15237623.390000001</v>
      </c>
      <c r="R8" s="224">
        <f>+'4 Test Yr ADIT Support'!Q10</f>
        <v>15158344.390000001</v>
      </c>
      <c r="S8" s="224">
        <f>+'4 Test Yr ADIT Support'!R10</f>
        <v>15079065.390000001</v>
      </c>
    </row>
    <row r="9" spans="1:19" x14ac:dyDescent="0.25">
      <c r="A9" s="54"/>
      <c r="B9" s="54"/>
      <c r="C9" s="54" t="s">
        <v>431</v>
      </c>
      <c r="D9" s="225">
        <f>+'4 Test Yr ADIT Support'!C29</f>
        <v>-98218867.629999995</v>
      </c>
      <c r="E9" s="225">
        <f>+'4 Test Yr ADIT Support'!D29</f>
        <v>-101415213.39</v>
      </c>
      <c r="F9" s="225">
        <f>+'4 Test Yr ADIT Support'!E29</f>
        <v>-102379214.88999999</v>
      </c>
      <c r="G9" s="225">
        <f>+'4 Test Yr ADIT Support'!F29</f>
        <v>-103167205.36999999</v>
      </c>
      <c r="H9" s="225">
        <f>+'4 Test Yr ADIT Support'!G29</f>
        <v>-104986932.30999997</v>
      </c>
      <c r="I9" s="225">
        <f>+'4 Test Yr ADIT Support'!H29</f>
        <v>-103422778.19999999</v>
      </c>
      <c r="J9" s="225">
        <f>+'4 Test Yr ADIT Support'!I29</f>
        <v>-104257624.73999998</v>
      </c>
      <c r="K9" s="225">
        <f>+'4 Test Yr ADIT Support'!J29</f>
        <v>-104932573.63999999</v>
      </c>
      <c r="L9" s="225">
        <f>+'4 Test Yr ADIT Support'!K29</f>
        <v>-106785297.95999998</v>
      </c>
      <c r="M9" s="225">
        <f>+'4 Test Yr ADIT Support'!L29</f>
        <v>-108012010.16999999</v>
      </c>
      <c r="N9" s="225">
        <f>+'4 Test Yr ADIT Support'!M29</f>
        <v>-109391538.71999998</v>
      </c>
      <c r="O9" s="225">
        <f>+'4 Test Yr ADIT Support'!N29</f>
        <v>-112123357.53</v>
      </c>
      <c r="P9" s="225">
        <f>+'4 Test Yr ADIT Support'!O29</f>
        <v>-113859468.71999997</v>
      </c>
      <c r="Q9" s="225">
        <f>+'4 Test Yr ADIT Support'!P29</f>
        <v>-113676158.69999996</v>
      </c>
      <c r="R9" s="225">
        <f>+'4 Test Yr ADIT Support'!Q29</f>
        <v>-115875167.97999996</v>
      </c>
      <c r="S9" s="225">
        <f>+'4 Test Yr ADIT Support'!R29</f>
        <v>-118213872.07999995</v>
      </c>
    </row>
    <row r="10" spans="1:19" x14ac:dyDescent="0.25">
      <c r="A10" s="54"/>
      <c r="B10" s="54"/>
      <c r="C10" s="226" t="s">
        <v>432</v>
      </c>
      <c r="D10" s="227">
        <f>SUM(D8:D9)</f>
        <v>-80667490.239999995</v>
      </c>
      <c r="E10" s="227">
        <f t="shared" ref="E10:S10" si="0">SUM(E8:E9)</f>
        <v>-83967165</v>
      </c>
      <c r="F10" s="227">
        <f t="shared" si="0"/>
        <v>-84965609.499999985</v>
      </c>
      <c r="G10" s="227">
        <f t="shared" si="0"/>
        <v>-85788042.979999989</v>
      </c>
      <c r="H10" s="227">
        <f t="shared" si="0"/>
        <v>-87642212.919999972</v>
      </c>
      <c r="I10" s="227">
        <f t="shared" si="0"/>
        <v>-86112501.809999987</v>
      </c>
      <c r="J10" s="227">
        <f t="shared" si="0"/>
        <v>-86981791.349999979</v>
      </c>
      <c r="K10" s="227">
        <f t="shared" si="0"/>
        <v>-87691183.249999985</v>
      </c>
      <c r="L10" s="227">
        <f t="shared" si="0"/>
        <v>-89578350.569999978</v>
      </c>
      <c r="M10" s="227">
        <f t="shared" si="0"/>
        <v>-90839505.779999986</v>
      </c>
      <c r="N10" s="227">
        <f t="shared" si="0"/>
        <v>-92253477.329999983</v>
      </c>
      <c r="O10" s="227">
        <f t="shared" si="0"/>
        <v>-95019739.140000001</v>
      </c>
      <c r="P10" s="227">
        <f t="shared" si="0"/>
        <v>-96790293.329999968</v>
      </c>
      <c r="Q10" s="227">
        <f t="shared" si="0"/>
        <v>-98438535.309999958</v>
      </c>
      <c r="R10" s="227">
        <f t="shared" si="0"/>
        <v>-100716823.58999996</v>
      </c>
      <c r="S10" s="227">
        <f t="shared" si="0"/>
        <v>-103134806.68999995</v>
      </c>
    </row>
    <row r="11" spans="1:19" x14ac:dyDescent="0.25">
      <c r="A11" s="54"/>
      <c r="B11" s="54"/>
      <c r="C11" s="54" t="s">
        <v>433</v>
      </c>
      <c r="D11" s="225">
        <f>-D36</f>
        <v>12896144</v>
      </c>
      <c r="E11" s="225">
        <f t="shared" ref="E11:S11" si="1">-E36</f>
        <v>13315825</v>
      </c>
      <c r="F11" s="225">
        <f t="shared" si="1"/>
        <v>13442398</v>
      </c>
      <c r="G11" s="225">
        <f t="shared" si="1"/>
        <v>13545861</v>
      </c>
      <c r="H11" s="225">
        <f t="shared" si="1"/>
        <v>12512264</v>
      </c>
      <c r="I11" s="225">
        <f t="shared" si="1"/>
        <v>14191918</v>
      </c>
      <c r="J11" s="225">
        <f t="shared" si="1"/>
        <v>14306478</v>
      </c>
      <c r="K11" s="225">
        <f t="shared" si="1"/>
        <v>11387004</v>
      </c>
      <c r="L11" s="225">
        <f t="shared" si="1"/>
        <v>9569038</v>
      </c>
      <c r="M11" s="225">
        <f t="shared" si="1"/>
        <v>9678964</v>
      </c>
      <c r="N11" s="225">
        <f t="shared" si="1"/>
        <v>9802583</v>
      </c>
      <c r="O11" s="225">
        <f t="shared" si="1"/>
        <v>10047382</v>
      </c>
      <c r="P11" s="225">
        <f t="shared" si="1"/>
        <v>10202955</v>
      </c>
      <c r="Q11" s="225">
        <f t="shared" si="1"/>
        <v>10186529</v>
      </c>
      <c r="R11" s="225">
        <f t="shared" si="1"/>
        <v>10383582</v>
      </c>
      <c r="S11" s="225">
        <f t="shared" si="1"/>
        <v>10593153</v>
      </c>
    </row>
    <row r="12" spans="1:19" x14ac:dyDescent="0.25">
      <c r="A12" s="54"/>
      <c r="B12" s="54"/>
      <c r="C12" s="54" t="s">
        <v>434</v>
      </c>
      <c r="D12" s="225">
        <f>+D43</f>
        <v>-12021716.91742</v>
      </c>
      <c r="E12" s="225">
        <f t="shared" ref="E12:S12" si="2">+E43</f>
        <v>-12412257.711336</v>
      </c>
      <c r="F12" s="225">
        <f t="shared" si="2"/>
        <v>-12530514.445897</v>
      </c>
      <c r="G12" s="225">
        <f t="shared" si="2"/>
        <v>-12627917.017457001</v>
      </c>
      <c r="H12" s="225">
        <f t="shared" si="2"/>
        <v>-11748567.804351</v>
      </c>
      <c r="I12" s="225">
        <f t="shared" si="2"/>
        <v>-13082711.489232</v>
      </c>
      <c r="J12" s="225">
        <f t="shared" si="2"/>
        <v>-13194092.904244</v>
      </c>
      <c r="K12" s="225">
        <f t="shared" si="2"/>
        <v>-10829490.689850001</v>
      </c>
      <c r="L12" s="225">
        <f t="shared" si="2"/>
        <v>-9385111.9188049994</v>
      </c>
      <c r="M12" s="225">
        <f t="shared" si="2"/>
        <v>-9488343.4310350008</v>
      </c>
      <c r="N12" s="225">
        <f t="shared" si="2"/>
        <v>-9615065.8395189997</v>
      </c>
      <c r="O12" s="225">
        <f t="shared" si="2"/>
        <v>-9838657.4582240004</v>
      </c>
      <c r="P12" s="225">
        <f t="shared" si="2"/>
        <v>-9987953.5229809992</v>
      </c>
      <c r="Q12" s="225">
        <f t="shared" si="2"/>
        <v>-9976505.2712219991</v>
      </c>
      <c r="R12" s="225">
        <f t="shared" si="2"/>
        <v>-10159702.06573</v>
      </c>
      <c r="S12" s="225">
        <f t="shared" si="2"/>
        <v>-10355403.220519001</v>
      </c>
    </row>
    <row r="13" spans="1:19" x14ac:dyDescent="0.25">
      <c r="A13" s="54"/>
      <c r="B13" s="54"/>
      <c r="C13" s="228" t="s">
        <v>435</v>
      </c>
      <c r="D13" s="229">
        <f>SUM(D10:D12)</f>
        <v>-79793063.157419994</v>
      </c>
      <c r="E13" s="229">
        <f t="shared" ref="E13:S13" si="3">SUM(E10:E12)</f>
        <v>-83063597.711336002</v>
      </c>
      <c r="F13" s="229">
        <f t="shared" si="3"/>
        <v>-84053725.945896983</v>
      </c>
      <c r="G13" s="229">
        <f t="shared" si="3"/>
        <v>-84870098.997456998</v>
      </c>
      <c r="H13" s="229">
        <f t="shared" si="3"/>
        <v>-86878516.724350974</v>
      </c>
      <c r="I13" s="229">
        <f t="shared" si="3"/>
        <v>-85003295.299231991</v>
      </c>
      <c r="J13" s="229">
        <f t="shared" si="3"/>
        <v>-85869406.254243985</v>
      </c>
      <c r="K13" s="229">
        <f t="shared" si="3"/>
        <v>-87133669.939849988</v>
      </c>
      <c r="L13" s="229">
        <f t="shared" si="3"/>
        <v>-89394424.488804981</v>
      </c>
      <c r="M13" s="229">
        <f t="shared" si="3"/>
        <v>-90648885.211034983</v>
      </c>
      <c r="N13" s="229">
        <f t="shared" si="3"/>
        <v>-92065960.169518977</v>
      </c>
      <c r="O13" s="229">
        <f t="shared" si="3"/>
        <v>-94811014.598223999</v>
      </c>
      <c r="P13" s="229">
        <f t="shared" si="3"/>
        <v>-96575291.852980971</v>
      </c>
      <c r="Q13" s="229">
        <f t="shared" si="3"/>
        <v>-98228511.581221953</v>
      </c>
      <c r="R13" s="229">
        <f t="shared" si="3"/>
        <v>-100492943.65572996</v>
      </c>
      <c r="S13" s="229">
        <f t="shared" si="3"/>
        <v>-102897056.91051896</v>
      </c>
    </row>
    <row r="14" spans="1:19" x14ac:dyDescent="0.25">
      <c r="A14" s="54"/>
      <c r="B14" s="54"/>
      <c r="C14" s="54"/>
      <c r="D14" s="54"/>
      <c r="E14" s="54"/>
      <c r="F14" s="54"/>
      <c r="G14" s="54"/>
      <c r="H14" s="54"/>
      <c r="I14" s="54"/>
      <c r="J14" s="54"/>
      <c r="K14" s="54"/>
      <c r="L14" s="54"/>
      <c r="M14" s="54"/>
      <c r="N14" s="54"/>
      <c r="O14" s="54"/>
      <c r="P14" s="54"/>
      <c r="Q14" s="54"/>
      <c r="R14" s="54"/>
      <c r="S14" s="54"/>
    </row>
    <row r="15" spans="1:19" x14ac:dyDescent="0.25">
      <c r="A15" s="54"/>
      <c r="B15" s="54" t="s">
        <v>436</v>
      </c>
      <c r="C15" s="54"/>
      <c r="D15" s="54"/>
      <c r="E15" s="54"/>
      <c r="F15" s="54"/>
      <c r="G15" s="54"/>
      <c r="H15" s="54"/>
      <c r="I15" s="54"/>
      <c r="J15" s="54"/>
      <c r="K15" s="54"/>
      <c r="L15" s="54"/>
      <c r="M15" s="54"/>
      <c r="N15" s="54"/>
      <c r="O15" s="54"/>
      <c r="P15" s="54"/>
      <c r="Q15" s="54"/>
      <c r="R15" s="54"/>
      <c r="S15" s="54"/>
    </row>
    <row r="16" spans="1:19" x14ac:dyDescent="0.25">
      <c r="A16" s="54"/>
      <c r="B16" s="54"/>
      <c r="C16" s="54" t="s">
        <v>430</v>
      </c>
      <c r="D16" s="225">
        <v>12568882</v>
      </c>
      <c r="E16" s="225">
        <v>12543364</v>
      </c>
      <c r="F16" s="225">
        <v>12534858</v>
      </c>
      <c r="G16" s="225">
        <v>12526352</v>
      </c>
      <c r="H16" s="225">
        <v>12517846</v>
      </c>
      <c r="I16" s="225">
        <v>12509340</v>
      </c>
      <c r="J16" s="225">
        <v>12500834</v>
      </c>
      <c r="K16" s="225">
        <v>12492328</v>
      </c>
      <c r="L16" s="225">
        <v>12483822</v>
      </c>
      <c r="M16" s="225">
        <v>12475316</v>
      </c>
      <c r="N16" s="225">
        <v>12466810</v>
      </c>
      <c r="O16" s="225">
        <v>12458304</v>
      </c>
      <c r="P16" s="225">
        <v>12449798</v>
      </c>
      <c r="Q16" s="225">
        <v>11778304</v>
      </c>
      <c r="R16" s="225">
        <v>11748347</v>
      </c>
      <c r="S16" s="225">
        <v>11718390</v>
      </c>
    </row>
    <row r="17" spans="1:19" x14ac:dyDescent="0.25">
      <c r="A17" s="54"/>
      <c r="B17" s="54"/>
      <c r="C17" s="54" t="s">
        <v>431</v>
      </c>
      <c r="D17" s="225">
        <v>-102053788</v>
      </c>
      <c r="E17" s="225">
        <v>-105261568</v>
      </c>
      <c r="F17" s="225" t="str">
        <f>"Less:  General Allocated to Transmission ("&amp;ROUND('3 Plant ADIT Balances by Mo'!D40*100,4)&amp;"%)"</f>
        <v>Less:  General Allocated to Transmission (11.5487%)</v>
      </c>
      <c r="G17" s="225">
        <v>-107284496</v>
      </c>
      <c r="H17" s="225">
        <v>-108199667</v>
      </c>
      <c r="I17" s="225">
        <v>-108184118</v>
      </c>
      <c r="J17" s="225">
        <v>-110236961</v>
      </c>
      <c r="K17" s="225">
        <v>-110847143</v>
      </c>
      <c r="L17" s="225">
        <v>-110756598</v>
      </c>
      <c r="M17" s="225">
        <v>-111478095</v>
      </c>
      <c r="N17" s="225">
        <v>-113567697</v>
      </c>
      <c r="O17" s="225">
        <v>-114417063</v>
      </c>
      <c r="P17" s="225">
        <v>-115822508</v>
      </c>
      <c r="Q17" s="225">
        <v>-116193000</v>
      </c>
      <c r="R17" s="225">
        <v>-117263148</v>
      </c>
      <c r="S17" s="225">
        <v>-118505433</v>
      </c>
    </row>
    <row r="18" spans="1:19" x14ac:dyDescent="0.25">
      <c r="A18" s="54"/>
      <c r="B18" s="54"/>
      <c r="C18" s="226" t="s">
        <v>435</v>
      </c>
      <c r="D18" s="230">
        <v>-89484906</v>
      </c>
      <c r="E18" s="230">
        <v>-92718204</v>
      </c>
      <c r="F18" s="230">
        <v>-93772444</v>
      </c>
      <c r="G18" s="230">
        <v>-94758144</v>
      </c>
      <c r="H18" s="230">
        <v>-95681821</v>
      </c>
      <c r="I18" s="230">
        <v>-95674778</v>
      </c>
      <c r="J18" s="230">
        <v>-97736127</v>
      </c>
      <c r="K18" s="230">
        <v>-98354815</v>
      </c>
      <c r="L18" s="230">
        <v>-98272776</v>
      </c>
      <c r="M18" s="230">
        <v>-99002779</v>
      </c>
      <c r="N18" s="230">
        <v>-101100887</v>
      </c>
      <c r="O18" s="230">
        <v>-101958759</v>
      </c>
      <c r="P18" s="230">
        <v>-103372710</v>
      </c>
      <c r="Q18" s="230">
        <v>-104414696</v>
      </c>
      <c r="R18" s="230">
        <v>-105514801</v>
      </c>
      <c r="S18" s="230">
        <v>-106787043</v>
      </c>
    </row>
    <row r="19" spans="1:19" x14ac:dyDescent="0.25">
      <c r="A19" s="54"/>
      <c r="B19" s="54"/>
      <c r="C19" s="54"/>
      <c r="D19" s="54"/>
      <c r="E19" s="54"/>
      <c r="F19" s="54"/>
      <c r="G19" s="54"/>
      <c r="H19" s="54"/>
      <c r="I19" s="54"/>
      <c r="J19" s="54"/>
      <c r="K19" s="54"/>
      <c r="L19" s="54"/>
      <c r="M19" s="54"/>
      <c r="N19" s="54"/>
      <c r="O19" s="54"/>
      <c r="P19" s="54"/>
      <c r="Q19" s="54"/>
      <c r="R19" s="54"/>
      <c r="S19" s="54"/>
    </row>
    <row r="20" spans="1:19" x14ac:dyDescent="0.25">
      <c r="A20" s="54"/>
      <c r="B20" s="54"/>
      <c r="C20" s="54"/>
      <c r="D20" s="54"/>
      <c r="E20" s="54"/>
      <c r="F20" s="54"/>
      <c r="G20" s="54"/>
      <c r="H20" s="54"/>
      <c r="I20" s="54"/>
      <c r="J20" s="54"/>
      <c r="K20" s="54"/>
      <c r="L20" s="54"/>
      <c r="M20" s="54"/>
      <c r="N20" s="54"/>
      <c r="O20" s="54"/>
      <c r="P20" s="54"/>
      <c r="Q20" s="54"/>
      <c r="R20" s="54"/>
      <c r="S20" s="54"/>
    </row>
    <row r="21" spans="1:19" x14ac:dyDescent="0.25">
      <c r="A21" s="54"/>
      <c r="B21" s="54" t="s">
        <v>437</v>
      </c>
      <c r="C21" s="54"/>
      <c r="D21" s="54"/>
      <c r="E21" s="54"/>
      <c r="F21" s="54"/>
      <c r="G21" s="54"/>
      <c r="H21" s="54"/>
      <c r="I21" s="54"/>
      <c r="J21" s="54"/>
      <c r="K21" s="54"/>
      <c r="L21" s="54"/>
      <c r="M21" s="54"/>
      <c r="N21" s="54"/>
      <c r="O21" s="54"/>
      <c r="P21" s="54"/>
      <c r="Q21" s="54"/>
      <c r="R21" s="54"/>
      <c r="S21" s="54"/>
    </row>
    <row r="22" spans="1:19" x14ac:dyDescent="0.25">
      <c r="A22" s="54"/>
      <c r="B22" s="54"/>
      <c r="C22" s="54" t="s">
        <v>430</v>
      </c>
      <c r="D22" s="225">
        <v>22283704</v>
      </c>
      <c r="E22" s="225">
        <v>22276972</v>
      </c>
      <c r="F22" s="225">
        <v>22274728</v>
      </c>
      <c r="G22" s="225">
        <v>22272484</v>
      </c>
      <c r="H22" s="225">
        <v>22270240</v>
      </c>
      <c r="I22" s="225">
        <v>22267996</v>
      </c>
      <c r="J22" s="225">
        <v>22265752</v>
      </c>
      <c r="K22" s="225">
        <v>22263508</v>
      </c>
      <c r="L22" s="225">
        <v>22261264</v>
      </c>
      <c r="M22" s="225">
        <v>22259020</v>
      </c>
      <c r="N22" s="225">
        <v>22256776</v>
      </c>
      <c r="O22" s="225">
        <v>22254532</v>
      </c>
      <c r="P22" s="225">
        <v>22252288</v>
      </c>
      <c r="Q22" s="225">
        <v>20500068</v>
      </c>
      <c r="R22" s="225">
        <v>20440747</v>
      </c>
      <c r="S22" s="225">
        <v>20381426</v>
      </c>
    </row>
    <row r="23" spans="1:19" x14ac:dyDescent="0.25">
      <c r="A23" s="54"/>
      <c r="B23" s="54"/>
      <c r="C23" s="54" t="s">
        <v>431</v>
      </c>
      <c r="D23" s="225">
        <v>-105243876</v>
      </c>
      <c r="E23" s="225">
        <v>-111467334</v>
      </c>
      <c r="F23" s="225">
        <v>-114173706</v>
      </c>
      <c r="G23" s="225">
        <v>-116130178</v>
      </c>
      <c r="H23" s="225">
        <v>-118232672</v>
      </c>
      <c r="I23" s="225">
        <v>-102514769</v>
      </c>
      <c r="J23" s="225">
        <v>-105682919</v>
      </c>
      <c r="K23" s="225">
        <v>-118084892</v>
      </c>
      <c r="L23" s="225">
        <v>-120338891</v>
      </c>
      <c r="M23" s="225">
        <v>-121359433</v>
      </c>
      <c r="N23" s="225">
        <v>-123375237</v>
      </c>
      <c r="O23" s="225">
        <v>-125267648</v>
      </c>
      <c r="P23" s="225">
        <v>-127282271</v>
      </c>
      <c r="Q23" s="225">
        <v>-127357598</v>
      </c>
      <c r="R23" s="225">
        <v>-129035734</v>
      </c>
      <c r="S23" s="225">
        <v>-130688429</v>
      </c>
    </row>
    <row r="24" spans="1:19" x14ac:dyDescent="0.25">
      <c r="A24" s="54"/>
      <c r="B24" s="54"/>
      <c r="C24" s="226" t="s">
        <v>435</v>
      </c>
      <c r="D24" s="230">
        <v>-82960172</v>
      </c>
      <c r="E24" s="230">
        <v>-89190361</v>
      </c>
      <c r="F24" s="230">
        <v>-91898978</v>
      </c>
      <c r="G24" s="230">
        <v>-93857694</v>
      </c>
      <c r="H24" s="230">
        <v>-95962432</v>
      </c>
      <c r="I24" s="230">
        <v>-80246773</v>
      </c>
      <c r="J24" s="230">
        <v>-83417167</v>
      </c>
      <c r="K24" s="230">
        <v>-95821384</v>
      </c>
      <c r="L24" s="230">
        <v>-98077627</v>
      </c>
      <c r="M24" s="230">
        <v>-99100413</v>
      </c>
      <c r="N24" s="230">
        <v>-101118460</v>
      </c>
      <c r="O24" s="230">
        <v>-103013115</v>
      </c>
      <c r="P24" s="230">
        <v>-105029983</v>
      </c>
      <c r="Q24" s="230">
        <v>-106857529</v>
      </c>
      <c r="R24" s="230">
        <v>-108594987</v>
      </c>
      <c r="S24" s="230">
        <v>-110307002</v>
      </c>
    </row>
    <row r="25" spans="1:19" x14ac:dyDescent="0.25">
      <c r="A25" s="54"/>
      <c r="B25" s="54"/>
      <c r="C25" s="54"/>
      <c r="D25" s="54"/>
      <c r="E25" s="54"/>
      <c r="F25" s="54"/>
      <c r="G25" s="54"/>
      <c r="H25" s="54"/>
      <c r="I25" s="54"/>
      <c r="J25" s="54"/>
      <c r="K25" s="54"/>
      <c r="L25" s="54"/>
      <c r="M25" s="54"/>
      <c r="N25" s="54"/>
      <c r="O25" s="54"/>
      <c r="P25" s="54"/>
      <c r="Q25" s="54"/>
      <c r="R25" s="54"/>
      <c r="S25" s="54"/>
    </row>
    <row r="26" spans="1:19" x14ac:dyDescent="0.25">
      <c r="A26" s="54"/>
      <c r="B26" s="54"/>
      <c r="C26" s="54"/>
      <c r="D26" s="54"/>
      <c r="E26" s="54"/>
      <c r="F26" s="54"/>
      <c r="G26" s="54"/>
      <c r="H26" s="54"/>
      <c r="I26" s="54"/>
      <c r="J26" s="54"/>
      <c r="K26" s="54"/>
      <c r="L26" s="54"/>
      <c r="M26" s="54"/>
      <c r="N26" s="54"/>
      <c r="O26" s="54"/>
      <c r="P26" s="54"/>
      <c r="Q26" s="54"/>
      <c r="R26" s="54"/>
      <c r="S26" s="54"/>
    </row>
    <row r="27" spans="1:19" x14ac:dyDescent="0.25">
      <c r="A27" s="54"/>
      <c r="B27" s="54"/>
      <c r="C27" s="54"/>
      <c r="D27" s="54"/>
      <c r="E27" s="54"/>
      <c r="F27" s="54"/>
      <c r="G27" s="54"/>
      <c r="H27" s="54"/>
      <c r="I27" s="54"/>
      <c r="J27" s="54"/>
      <c r="K27" s="54"/>
      <c r="L27" s="54"/>
      <c r="M27" s="54"/>
      <c r="N27" s="54"/>
      <c r="O27" s="54"/>
      <c r="P27" s="54"/>
      <c r="Q27" s="54"/>
      <c r="R27" s="54"/>
      <c r="S27" s="54"/>
    </row>
    <row r="28" spans="1:19" x14ac:dyDescent="0.25">
      <c r="A28" s="54"/>
      <c r="B28" s="226" t="s">
        <v>438</v>
      </c>
      <c r="C28" s="226"/>
      <c r="D28" s="226"/>
      <c r="E28" s="226"/>
      <c r="F28" s="226"/>
      <c r="G28" s="226"/>
      <c r="H28" s="226"/>
      <c r="I28" s="226"/>
      <c r="J28" s="226"/>
      <c r="K28" s="54"/>
      <c r="L28" s="54"/>
      <c r="M28" s="54"/>
      <c r="N28" s="54"/>
      <c r="O28" s="54"/>
      <c r="P28" s="54"/>
      <c r="Q28" s="54"/>
      <c r="R28" s="54"/>
      <c r="S28" s="54"/>
    </row>
    <row r="29" spans="1:19" x14ac:dyDescent="0.25">
      <c r="A29" s="54"/>
      <c r="B29" s="54"/>
      <c r="C29" s="54" t="s">
        <v>439</v>
      </c>
      <c r="D29" s="225">
        <v>-98218868</v>
      </c>
      <c r="E29" s="225">
        <v>-101415213</v>
      </c>
      <c r="F29" s="225">
        <v>-102379215</v>
      </c>
      <c r="G29" s="225">
        <v>-103167205</v>
      </c>
      <c r="H29" s="225">
        <v>-104986932</v>
      </c>
      <c r="I29" s="225">
        <v>-103422778</v>
      </c>
      <c r="J29" s="225">
        <v>-104257625</v>
      </c>
      <c r="K29" s="225">
        <v>-104932574</v>
      </c>
      <c r="L29" s="225">
        <v>-106785298</v>
      </c>
      <c r="M29" s="225">
        <v>-108012010</v>
      </c>
      <c r="N29" s="225">
        <v>-109391539</v>
      </c>
      <c r="O29" s="225">
        <v>-112123358</v>
      </c>
      <c r="P29" s="225">
        <v>-113859469</v>
      </c>
      <c r="Q29" s="225">
        <v>-113676159</v>
      </c>
      <c r="R29" s="225">
        <v>-115875168</v>
      </c>
      <c r="S29" s="225">
        <v>-118213872</v>
      </c>
    </row>
    <row r="30" spans="1:19" x14ac:dyDescent="0.25">
      <c r="A30" s="54"/>
      <c r="B30" s="54"/>
      <c r="C30" s="54" t="s">
        <v>440</v>
      </c>
      <c r="D30" s="225">
        <v>-102053788</v>
      </c>
      <c r="E30" s="225">
        <v>-105261568</v>
      </c>
      <c r="F30" s="225">
        <v>-106307302</v>
      </c>
      <c r="G30" s="225">
        <v>-107284496</v>
      </c>
      <c r="H30" s="225">
        <v>-108199667</v>
      </c>
      <c r="I30" s="225">
        <v>-108184118</v>
      </c>
      <c r="J30" s="225">
        <v>-110236961</v>
      </c>
      <c r="K30" s="225">
        <v>-110847143</v>
      </c>
      <c r="L30" s="225">
        <v>-110756598</v>
      </c>
      <c r="M30" s="225">
        <v>-111478095</v>
      </c>
      <c r="N30" s="225">
        <v>-113567697</v>
      </c>
      <c r="O30" s="225">
        <v>-114417063</v>
      </c>
      <c r="P30" s="225">
        <v>-115822508</v>
      </c>
      <c r="Q30" s="225">
        <v>-116193000</v>
      </c>
      <c r="R30" s="225">
        <v>-117263148</v>
      </c>
      <c r="S30" s="225">
        <v>-118505433</v>
      </c>
    </row>
    <row r="31" spans="1:19" x14ac:dyDescent="0.25">
      <c r="A31" s="54"/>
      <c r="B31" s="54"/>
      <c r="C31" s="54" t="s">
        <v>441</v>
      </c>
      <c r="D31" s="227">
        <v>-200272655</v>
      </c>
      <c r="E31" s="227">
        <v>-206676782</v>
      </c>
      <c r="F31" s="227">
        <v>-208686517</v>
      </c>
      <c r="G31" s="227">
        <v>-210451701</v>
      </c>
      <c r="H31" s="227">
        <v>-213186599</v>
      </c>
      <c r="I31" s="227">
        <v>-211606896</v>
      </c>
      <c r="J31" s="227">
        <v>-214494586</v>
      </c>
      <c r="K31" s="227">
        <v>-215779717</v>
      </c>
      <c r="L31" s="227">
        <v>-217541896</v>
      </c>
      <c r="M31" s="227">
        <v>-219490105</v>
      </c>
      <c r="N31" s="227">
        <v>-222959235</v>
      </c>
      <c r="O31" s="227">
        <v>-226540420</v>
      </c>
      <c r="P31" s="227">
        <v>-229681976</v>
      </c>
      <c r="Q31" s="227">
        <v>-229869159</v>
      </c>
      <c r="R31" s="227">
        <v>-233138316</v>
      </c>
      <c r="S31" s="227">
        <v>-236719305</v>
      </c>
    </row>
    <row r="32" spans="1:19" x14ac:dyDescent="0.25">
      <c r="A32" s="54"/>
      <c r="B32" s="54"/>
      <c r="C32" s="54"/>
      <c r="D32" s="54"/>
      <c r="E32" s="54"/>
      <c r="F32" s="54"/>
      <c r="G32" s="54"/>
      <c r="H32" s="54"/>
      <c r="I32" s="54"/>
      <c r="J32" s="54"/>
      <c r="K32" s="54"/>
      <c r="L32" s="54"/>
      <c r="M32" s="54"/>
      <c r="N32" s="54"/>
      <c r="O32" s="54"/>
      <c r="P32" s="54"/>
      <c r="Q32" s="54"/>
      <c r="R32" s="54"/>
      <c r="S32" s="54"/>
    </row>
    <row r="33" spans="1:19" x14ac:dyDescent="0.25">
      <c r="A33" s="54"/>
      <c r="B33" s="54"/>
      <c r="C33" s="54" t="s">
        <v>442</v>
      </c>
      <c r="D33" s="231">
        <v>0.1313</v>
      </c>
      <c r="E33" s="232">
        <v>0.1313</v>
      </c>
      <c r="F33" s="232">
        <v>0.1313</v>
      </c>
      <c r="G33" s="232">
        <v>0.1313</v>
      </c>
      <c r="H33" s="231">
        <v>0.1192</v>
      </c>
      <c r="I33" s="231">
        <v>0.13719999999999999</v>
      </c>
      <c r="J33" s="232">
        <v>0.13719999999999999</v>
      </c>
      <c r="K33" s="231">
        <v>0.1085</v>
      </c>
      <c r="L33" s="231">
        <v>8.9599999999999999E-2</v>
      </c>
      <c r="M33" s="232">
        <v>8.9599999999999999E-2</v>
      </c>
      <c r="N33" s="232">
        <v>8.9599999999999999E-2</v>
      </c>
      <c r="O33" s="232">
        <v>8.9599999999999999E-2</v>
      </c>
      <c r="P33" s="232">
        <v>8.9599999999999999E-2</v>
      </c>
      <c r="Q33" s="232">
        <v>8.9599999999999999E-2</v>
      </c>
      <c r="R33" s="232">
        <v>8.9599999999999999E-2</v>
      </c>
      <c r="S33" s="232">
        <v>8.9599999999999999E-2</v>
      </c>
    </row>
    <row r="34" spans="1:19" x14ac:dyDescent="0.25">
      <c r="A34" s="54"/>
      <c r="B34" s="54"/>
      <c r="C34" s="54" t="s">
        <v>443</v>
      </c>
      <c r="D34" s="231">
        <v>6.7999999999999996E-3</v>
      </c>
      <c r="E34" s="232">
        <v>6.7999999999999996E-3</v>
      </c>
      <c r="F34" s="232">
        <v>6.7999999999999996E-3</v>
      </c>
      <c r="G34" s="232">
        <v>6.7999999999999996E-3</v>
      </c>
      <c r="H34" s="231">
        <v>7.1000000000000004E-3</v>
      </c>
      <c r="I34" s="231">
        <v>5.4999999999999997E-3</v>
      </c>
      <c r="J34" s="232">
        <v>5.4999999999999997E-3</v>
      </c>
      <c r="K34" s="231">
        <v>7.7000000000000002E-3</v>
      </c>
      <c r="L34" s="231">
        <v>9.4000000000000004E-3</v>
      </c>
      <c r="M34" s="232">
        <v>9.4000000000000004E-3</v>
      </c>
      <c r="N34" s="232">
        <v>9.4000000000000004E-3</v>
      </c>
      <c r="O34" s="232">
        <v>9.4000000000000004E-3</v>
      </c>
      <c r="P34" s="232">
        <v>9.4000000000000004E-3</v>
      </c>
      <c r="Q34" s="232">
        <v>9.4000000000000004E-3</v>
      </c>
      <c r="R34" s="232">
        <v>9.4000000000000004E-3</v>
      </c>
      <c r="S34" s="232">
        <v>9.4000000000000004E-3</v>
      </c>
    </row>
    <row r="35" spans="1:19" x14ac:dyDescent="0.25">
      <c r="A35" s="54"/>
      <c r="B35" s="54"/>
      <c r="C35" s="54"/>
      <c r="D35" s="54"/>
      <c r="E35" s="54"/>
      <c r="F35" s="54"/>
      <c r="G35" s="54"/>
      <c r="H35" s="54"/>
      <c r="I35" s="54"/>
      <c r="J35" s="54"/>
      <c r="K35" s="54"/>
      <c r="L35" s="54"/>
      <c r="M35" s="54"/>
      <c r="N35" s="54"/>
      <c r="O35" s="54"/>
      <c r="P35" s="54"/>
      <c r="Q35" s="54"/>
      <c r="R35" s="54"/>
      <c r="S35" s="54"/>
    </row>
    <row r="36" spans="1:19" x14ac:dyDescent="0.25">
      <c r="A36" s="54"/>
      <c r="B36" s="54"/>
      <c r="C36" s="54" t="s">
        <v>444</v>
      </c>
      <c r="D36" s="225">
        <v>-12896144</v>
      </c>
      <c r="E36" s="225">
        <v>-13315825</v>
      </c>
      <c r="F36" s="225">
        <v>-13442398</v>
      </c>
      <c r="G36" s="225">
        <v>-13545861</v>
      </c>
      <c r="H36" s="225">
        <v>-12512264</v>
      </c>
      <c r="I36" s="225">
        <v>-14191918</v>
      </c>
      <c r="J36" s="225">
        <v>-14306478</v>
      </c>
      <c r="K36" s="225">
        <v>-11387004</v>
      </c>
      <c r="L36" s="225">
        <v>-9569038</v>
      </c>
      <c r="M36" s="225">
        <v>-9678964</v>
      </c>
      <c r="N36" s="225">
        <v>-9802583</v>
      </c>
      <c r="O36" s="225">
        <v>-10047382</v>
      </c>
      <c r="P36" s="225">
        <v>-10202955</v>
      </c>
      <c r="Q36" s="225">
        <v>-10186529</v>
      </c>
      <c r="R36" s="225">
        <v>-10383582</v>
      </c>
      <c r="S36" s="225">
        <v>-10593153</v>
      </c>
    </row>
    <row r="37" spans="1:19" x14ac:dyDescent="0.25">
      <c r="A37" s="54"/>
      <c r="B37" s="54"/>
      <c r="C37" s="54" t="s">
        <v>445</v>
      </c>
      <c r="D37" s="225">
        <v>-695196</v>
      </c>
      <c r="E37" s="225">
        <v>-717047</v>
      </c>
      <c r="F37" s="225">
        <v>-724171</v>
      </c>
      <c r="G37" s="225">
        <v>-730827</v>
      </c>
      <c r="H37" s="225">
        <v>-770263</v>
      </c>
      <c r="I37" s="225">
        <v>-598945</v>
      </c>
      <c r="J37" s="225">
        <v>-610311</v>
      </c>
      <c r="K37" s="225">
        <v>-856446</v>
      </c>
      <c r="L37" s="225">
        <v>-1041447</v>
      </c>
      <c r="M37" s="225">
        <v>-1048231</v>
      </c>
      <c r="N37" s="225">
        <v>-1067880</v>
      </c>
      <c r="O37" s="225">
        <v>-1075866</v>
      </c>
      <c r="P37" s="225">
        <v>-1089082</v>
      </c>
      <c r="Q37" s="225">
        <v>-1092565</v>
      </c>
      <c r="R37" s="225">
        <v>-1102628</v>
      </c>
      <c r="S37" s="225">
        <v>-1114309</v>
      </c>
    </row>
    <row r="38" spans="1:19" x14ac:dyDescent="0.25">
      <c r="A38" s="54"/>
      <c r="B38" s="54"/>
      <c r="C38" s="54" t="s">
        <v>446</v>
      </c>
      <c r="D38" s="227">
        <v>-13591340</v>
      </c>
      <c r="E38" s="227">
        <v>-14032872</v>
      </c>
      <c r="F38" s="227">
        <v>-14166569</v>
      </c>
      <c r="G38" s="227">
        <v>-14276689</v>
      </c>
      <c r="H38" s="227">
        <v>-13282527</v>
      </c>
      <c r="I38" s="227">
        <v>-14790864</v>
      </c>
      <c r="J38" s="227">
        <v>-14916788</v>
      </c>
      <c r="K38" s="227">
        <v>-12243450</v>
      </c>
      <c r="L38" s="227">
        <v>-10610485</v>
      </c>
      <c r="M38" s="227">
        <v>-10727195</v>
      </c>
      <c r="N38" s="227">
        <v>-10870463</v>
      </c>
      <c r="O38" s="227">
        <v>-11123248</v>
      </c>
      <c r="P38" s="227">
        <v>-11292037</v>
      </c>
      <c r="Q38" s="227">
        <v>-11279094</v>
      </c>
      <c r="R38" s="227">
        <v>-11486210</v>
      </c>
      <c r="S38" s="227">
        <v>-11707463</v>
      </c>
    </row>
    <row r="39" spans="1:19" x14ac:dyDescent="0.25">
      <c r="A39" s="54"/>
      <c r="B39" s="54"/>
      <c r="C39" s="54"/>
      <c r="D39" s="54"/>
      <c r="E39" s="54"/>
      <c r="F39" s="54"/>
      <c r="G39" s="54"/>
      <c r="H39" s="54"/>
      <c r="I39" s="54"/>
      <c r="J39" s="54"/>
      <c r="K39" s="54"/>
      <c r="L39" s="54"/>
      <c r="M39" s="54"/>
      <c r="N39" s="54"/>
      <c r="O39" s="54"/>
      <c r="P39" s="54"/>
      <c r="Q39" s="54"/>
      <c r="R39" s="54"/>
      <c r="S39" s="54"/>
    </row>
    <row r="40" spans="1:19" x14ac:dyDescent="0.25">
      <c r="A40" s="54"/>
      <c r="B40" s="54"/>
      <c r="C40" s="54" t="s">
        <v>447</v>
      </c>
      <c r="D40" s="233">
        <v>0.11548700000000001</v>
      </c>
      <c r="E40" s="231">
        <f>+D40</f>
        <v>0.11548700000000001</v>
      </c>
      <c r="F40" s="231">
        <f t="shared" ref="F40:S40" si="4">+E40</f>
        <v>0.11548700000000001</v>
      </c>
      <c r="G40" s="231">
        <f t="shared" si="4"/>
        <v>0.11548700000000001</v>
      </c>
      <c r="H40" s="231">
        <f t="shared" si="4"/>
        <v>0.11548700000000001</v>
      </c>
      <c r="I40" s="231">
        <f t="shared" si="4"/>
        <v>0.11548700000000001</v>
      </c>
      <c r="J40" s="231">
        <f t="shared" si="4"/>
        <v>0.11548700000000001</v>
      </c>
      <c r="K40" s="231">
        <f t="shared" si="4"/>
        <v>0.11548700000000001</v>
      </c>
      <c r="L40" s="231">
        <f t="shared" si="4"/>
        <v>0.11548700000000001</v>
      </c>
      <c r="M40" s="231">
        <f t="shared" si="4"/>
        <v>0.11548700000000001</v>
      </c>
      <c r="N40" s="231">
        <f t="shared" si="4"/>
        <v>0.11548700000000001</v>
      </c>
      <c r="O40" s="231">
        <f t="shared" si="4"/>
        <v>0.11548700000000001</v>
      </c>
      <c r="P40" s="231">
        <f t="shared" si="4"/>
        <v>0.11548700000000001</v>
      </c>
      <c r="Q40" s="231">
        <f t="shared" si="4"/>
        <v>0.11548700000000001</v>
      </c>
      <c r="R40" s="231">
        <f t="shared" si="4"/>
        <v>0.11548700000000001</v>
      </c>
      <c r="S40" s="231">
        <f t="shared" si="4"/>
        <v>0.11548700000000001</v>
      </c>
    </row>
    <row r="41" spans="1:19" x14ac:dyDescent="0.25">
      <c r="A41" s="54"/>
      <c r="B41" s="54"/>
      <c r="C41" s="54"/>
      <c r="D41" s="54"/>
      <c r="E41" s="54"/>
      <c r="F41" s="54"/>
      <c r="G41" s="54"/>
      <c r="H41" s="54"/>
      <c r="I41" s="54"/>
      <c r="J41" s="54"/>
      <c r="K41" s="54"/>
      <c r="L41" s="54"/>
      <c r="M41" s="54"/>
      <c r="N41" s="54"/>
      <c r="O41" s="54"/>
      <c r="P41" s="54"/>
      <c r="Q41" s="54"/>
      <c r="R41" s="54"/>
      <c r="S41" s="54"/>
    </row>
    <row r="42" spans="1:19" x14ac:dyDescent="0.25">
      <c r="A42" s="54"/>
      <c r="B42" s="54"/>
      <c r="C42" s="54" t="s">
        <v>448</v>
      </c>
      <c r="D42" s="225">
        <f>+D38*D40</f>
        <v>-1569623.0825800002</v>
      </c>
      <c r="E42" s="225">
        <f t="shared" ref="E42:S42" si="5">+E38*E40</f>
        <v>-1620614.2886640001</v>
      </c>
      <c r="F42" s="225">
        <f t="shared" si="5"/>
        <v>-1636054.5541030001</v>
      </c>
      <c r="G42" s="225">
        <f t="shared" si="5"/>
        <v>-1648771.982543</v>
      </c>
      <c r="H42" s="225">
        <f t="shared" si="5"/>
        <v>-1533959.1956490001</v>
      </c>
      <c r="I42" s="225">
        <f t="shared" si="5"/>
        <v>-1708152.510768</v>
      </c>
      <c r="J42" s="225">
        <f t="shared" si="5"/>
        <v>-1722695.0957560001</v>
      </c>
      <c r="K42" s="225">
        <f t="shared" si="5"/>
        <v>-1413959.31015</v>
      </c>
      <c r="L42" s="225">
        <f t="shared" si="5"/>
        <v>-1225373.0811950001</v>
      </c>
      <c r="M42" s="225">
        <f t="shared" si="5"/>
        <v>-1238851.5689650001</v>
      </c>
      <c r="N42" s="225">
        <f t="shared" si="5"/>
        <v>-1255397.1604810001</v>
      </c>
      <c r="O42" s="225">
        <f t="shared" si="5"/>
        <v>-1284590.5417760001</v>
      </c>
      <c r="P42" s="225">
        <f t="shared" si="5"/>
        <v>-1304083.4770190001</v>
      </c>
      <c r="Q42" s="225">
        <f t="shared" si="5"/>
        <v>-1302588.728778</v>
      </c>
      <c r="R42" s="225">
        <f t="shared" si="5"/>
        <v>-1326507.9342700001</v>
      </c>
      <c r="S42" s="225">
        <f t="shared" si="5"/>
        <v>-1352059.779481</v>
      </c>
    </row>
    <row r="43" spans="1:19" x14ac:dyDescent="0.25">
      <c r="A43" s="54"/>
      <c r="B43" s="54"/>
      <c r="C43" s="234" t="s">
        <v>449</v>
      </c>
      <c r="D43" s="235">
        <f>+D38-D42</f>
        <v>-12021716.91742</v>
      </c>
      <c r="E43" s="235">
        <f t="shared" ref="E43:S43" si="6">+E38-E42</f>
        <v>-12412257.711336</v>
      </c>
      <c r="F43" s="235">
        <f t="shared" si="6"/>
        <v>-12530514.445897</v>
      </c>
      <c r="G43" s="235">
        <f t="shared" si="6"/>
        <v>-12627917.017457001</v>
      </c>
      <c r="H43" s="235">
        <f t="shared" si="6"/>
        <v>-11748567.804351</v>
      </c>
      <c r="I43" s="235">
        <f t="shared" si="6"/>
        <v>-13082711.489232</v>
      </c>
      <c r="J43" s="235">
        <f t="shared" si="6"/>
        <v>-13194092.904244</v>
      </c>
      <c r="K43" s="235">
        <f t="shared" si="6"/>
        <v>-10829490.689850001</v>
      </c>
      <c r="L43" s="235">
        <f t="shared" si="6"/>
        <v>-9385111.9188049994</v>
      </c>
      <c r="M43" s="235">
        <f t="shared" si="6"/>
        <v>-9488343.4310350008</v>
      </c>
      <c r="N43" s="235">
        <f t="shared" si="6"/>
        <v>-9615065.8395189997</v>
      </c>
      <c r="O43" s="235">
        <f t="shared" si="6"/>
        <v>-9838657.4582240004</v>
      </c>
      <c r="P43" s="235">
        <f t="shared" si="6"/>
        <v>-9987953.5229809992</v>
      </c>
      <c r="Q43" s="235">
        <f t="shared" si="6"/>
        <v>-9976505.2712219991</v>
      </c>
      <c r="R43" s="235">
        <f t="shared" si="6"/>
        <v>-10159702.06573</v>
      </c>
      <c r="S43" s="235">
        <f t="shared" si="6"/>
        <v>-10355403.220519001</v>
      </c>
    </row>
    <row r="44" spans="1:19" x14ac:dyDescent="0.25">
      <c r="A44" s="54"/>
      <c r="B44" s="54"/>
      <c r="C44" s="54" t="s">
        <v>446</v>
      </c>
      <c r="D44" s="236">
        <f>SUM(D42:D43)</f>
        <v>-13591340</v>
      </c>
      <c r="E44" s="236">
        <f t="shared" ref="E44:S44" si="7">SUM(E42:E43)</f>
        <v>-14032872</v>
      </c>
      <c r="F44" s="236">
        <f t="shared" si="7"/>
        <v>-14166569</v>
      </c>
      <c r="G44" s="236">
        <f t="shared" si="7"/>
        <v>-14276689</v>
      </c>
      <c r="H44" s="236">
        <f t="shared" si="7"/>
        <v>-13282527</v>
      </c>
      <c r="I44" s="236">
        <f t="shared" si="7"/>
        <v>-14790864</v>
      </c>
      <c r="J44" s="236">
        <f t="shared" si="7"/>
        <v>-14916788</v>
      </c>
      <c r="K44" s="236">
        <f t="shared" si="7"/>
        <v>-12243450</v>
      </c>
      <c r="L44" s="236">
        <f t="shared" si="7"/>
        <v>-10610485</v>
      </c>
      <c r="M44" s="236">
        <f t="shared" si="7"/>
        <v>-10727195</v>
      </c>
      <c r="N44" s="236">
        <f t="shared" si="7"/>
        <v>-10870463</v>
      </c>
      <c r="O44" s="236">
        <f t="shared" si="7"/>
        <v>-11123248</v>
      </c>
      <c r="P44" s="236">
        <f t="shared" si="7"/>
        <v>-11292037</v>
      </c>
      <c r="Q44" s="236">
        <f t="shared" si="7"/>
        <v>-11279094</v>
      </c>
      <c r="R44" s="236">
        <f t="shared" si="7"/>
        <v>-11486210</v>
      </c>
      <c r="S44" s="236">
        <f t="shared" si="7"/>
        <v>-11707463</v>
      </c>
    </row>
    <row r="45" spans="1:19" x14ac:dyDescent="0.25">
      <c r="A45" s="54"/>
      <c r="B45" s="54"/>
      <c r="C45" s="54"/>
      <c r="D45" s="237">
        <f>+D38-D44</f>
        <v>0</v>
      </c>
      <c r="E45" s="237">
        <f t="shared" ref="E45:S45" si="8">+E38-E44</f>
        <v>0</v>
      </c>
      <c r="F45" s="237">
        <f t="shared" si="8"/>
        <v>0</v>
      </c>
      <c r="G45" s="237">
        <f t="shared" si="8"/>
        <v>0</v>
      </c>
      <c r="H45" s="237">
        <f t="shared" si="8"/>
        <v>0</v>
      </c>
      <c r="I45" s="237">
        <f t="shared" si="8"/>
        <v>0</v>
      </c>
      <c r="J45" s="237">
        <f t="shared" si="8"/>
        <v>0</v>
      </c>
      <c r="K45" s="237">
        <f t="shared" si="8"/>
        <v>0</v>
      </c>
      <c r="L45" s="237">
        <f t="shared" si="8"/>
        <v>0</v>
      </c>
      <c r="M45" s="237">
        <f t="shared" si="8"/>
        <v>0</v>
      </c>
      <c r="N45" s="237">
        <f t="shared" si="8"/>
        <v>0</v>
      </c>
      <c r="O45" s="237">
        <f t="shared" si="8"/>
        <v>0</v>
      </c>
      <c r="P45" s="237">
        <f t="shared" si="8"/>
        <v>0</v>
      </c>
      <c r="Q45" s="237">
        <f t="shared" si="8"/>
        <v>0</v>
      </c>
      <c r="R45" s="237">
        <f t="shared" si="8"/>
        <v>0</v>
      </c>
      <c r="S45" s="237">
        <f t="shared" si="8"/>
        <v>0</v>
      </c>
    </row>
  </sheetData>
  <mergeCells count="1">
    <mergeCell ref="A1:J3"/>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E8FE8-E5FC-4CF9-BF85-55675D17140A}">
  <dimension ref="A1:Y154"/>
  <sheetViews>
    <sheetView workbookViewId="0">
      <pane xSplit="1" ySplit="6" topLeftCell="B7" activePane="bottomRight" state="frozen"/>
      <selection pane="topRight" activeCell="B1" sqref="B1"/>
      <selection pane="bottomLeft" activeCell="A7" sqref="A7"/>
      <selection pane="bottomRight" sqref="A1:XFD1048576"/>
    </sheetView>
  </sheetViews>
  <sheetFormatPr defaultColWidth="9.140625" defaultRowHeight="15.75" x14ac:dyDescent="0.25"/>
  <cols>
    <col min="1" max="1" width="41.7109375" style="43" customWidth="1"/>
    <col min="2" max="2" width="15.7109375" style="238" customWidth="1"/>
    <col min="3" max="17" width="14.7109375" style="43" customWidth="1"/>
    <col min="18" max="18" width="16.5703125" style="43" customWidth="1"/>
    <col min="19" max="24" width="14.7109375" style="43" customWidth="1"/>
    <col min="25" max="16384" width="9.140625" style="43"/>
  </cols>
  <sheetData>
    <row r="1" spans="1:25" x14ac:dyDescent="0.25">
      <c r="A1" s="43" t="s">
        <v>317</v>
      </c>
    </row>
    <row r="2" spans="1:25" x14ac:dyDescent="0.25">
      <c r="A2" s="43" t="s">
        <v>318</v>
      </c>
    </row>
    <row r="3" spans="1:25" x14ac:dyDescent="0.25">
      <c r="A3" s="43" t="s">
        <v>450</v>
      </c>
    </row>
    <row r="4" spans="1:25" x14ac:dyDescent="0.25">
      <c r="A4" s="239" t="s">
        <v>451</v>
      </c>
    </row>
    <row r="6" spans="1:25" s="240" customFormat="1" x14ac:dyDescent="0.25">
      <c r="B6" s="241" t="s">
        <v>890</v>
      </c>
      <c r="C6" s="240" t="s">
        <v>452</v>
      </c>
      <c r="D6" s="240" t="s">
        <v>453</v>
      </c>
      <c r="E6" s="240" t="s">
        <v>454</v>
      </c>
      <c r="F6" s="240" t="s">
        <v>455</v>
      </c>
      <c r="G6" s="240" t="s">
        <v>456</v>
      </c>
      <c r="H6" s="240" t="s">
        <v>457</v>
      </c>
      <c r="I6" s="240" t="s">
        <v>458</v>
      </c>
      <c r="J6" s="240" t="s">
        <v>459</v>
      </c>
      <c r="K6" s="240" t="s">
        <v>460</v>
      </c>
      <c r="L6" s="240" t="s">
        <v>461</v>
      </c>
      <c r="M6" s="240" t="s">
        <v>462</v>
      </c>
      <c r="N6" s="240" t="s">
        <v>463</v>
      </c>
      <c r="O6" s="240" t="s">
        <v>464</v>
      </c>
      <c r="P6" s="240" t="s">
        <v>465</v>
      </c>
      <c r="Q6" s="240" t="s">
        <v>466</v>
      </c>
      <c r="R6" s="240" t="s">
        <v>467</v>
      </c>
      <c r="S6" s="240" t="s">
        <v>468</v>
      </c>
      <c r="T6" s="240" t="s">
        <v>469</v>
      </c>
      <c r="U6" s="240" t="s">
        <v>470</v>
      </c>
      <c r="V6" s="240" t="s">
        <v>471</v>
      </c>
      <c r="W6" s="240" t="s">
        <v>472</v>
      </c>
      <c r="X6" s="240" t="s">
        <v>473</v>
      </c>
    </row>
    <row r="7" spans="1:25" x14ac:dyDescent="0.25">
      <c r="A7" s="49"/>
      <c r="B7" s="241"/>
      <c r="C7" s="43">
        <v>3</v>
      </c>
      <c r="E7" s="43">
        <v>3</v>
      </c>
    </row>
    <row r="8" spans="1:25" x14ac:dyDescent="0.25">
      <c r="A8" s="50"/>
    </row>
    <row r="9" spans="1:25" x14ac:dyDescent="0.25">
      <c r="A9" s="242" t="s">
        <v>474</v>
      </c>
      <c r="B9" s="243">
        <v>75300</v>
      </c>
      <c r="C9" s="240"/>
      <c r="D9" s="240"/>
      <c r="E9" s="240"/>
      <c r="F9" s="240"/>
      <c r="G9" s="240"/>
      <c r="H9" s="240"/>
      <c r="I9" s="240"/>
      <c r="J9" s="240"/>
      <c r="K9" s="240"/>
      <c r="L9" s="240"/>
      <c r="M9" s="240"/>
      <c r="N9" s="240"/>
      <c r="O9" s="240"/>
      <c r="P9" s="240"/>
      <c r="Q9" s="240"/>
      <c r="R9" s="240"/>
      <c r="S9" s="240"/>
      <c r="T9" s="240"/>
      <c r="U9" s="240"/>
      <c r="V9" s="240"/>
      <c r="W9" s="240"/>
      <c r="X9" s="240"/>
    </row>
    <row r="10" spans="1:25" x14ac:dyDescent="0.25">
      <c r="A10" s="50" t="s">
        <v>94</v>
      </c>
      <c r="B10" s="238">
        <v>919001171</v>
      </c>
      <c r="C10" s="244">
        <f>+SUMIFS('6 2024 BMI Query'!$G:$G,'6 2024 BMI Query'!$E:$E,$B10,'6 2024 BMI Query'!$C:$C,0)+SUMIFS('6 2024 BMI Query'!$G:$G,'6 2024 BMI Query'!$E:$E,$B10,'6 2024 BMI Query'!$C:$C,1)+SUMIFS('6 2024 BMI Query'!$G:$G,'6 2024 BMI Query'!$E:$E,$B10,'6 2024 BMI Query'!$C:$C,2)+SUMIFS('6 2024 BMI Query'!$G:$G,'6 2024 BMI Query'!$E:$E,$B10,'6 2024 BMI Query'!$C:$C,3)</f>
        <v>17551377.390000001</v>
      </c>
      <c r="D10" s="244">
        <f>+C10+SUMIFS('6 2024 BMI Query'!$G:$G,'6 2024 BMI Query'!$E:$E,$B10,'6 2024 BMI Query'!$C:$C,4)+SUMIFS('6 2024 BMI Query'!$G:$G,'6 2024 BMI Query'!$E:$E,$B10,'6 2024 BMI Query'!$C:$C,5)+SUMIFS('6 2024 BMI Query'!$G:$G,'6 2024 BMI Query'!$E:$E,$B10,'6 2024 BMI Query'!$C:$C,6)</f>
        <v>17448048.390000001</v>
      </c>
      <c r="E10" s="244">
        <f>+D10+SUMIFS('6 2024 BMI Query'!$G:$G,'6 2024 BMI Query'!$E:$E,$B10,'6 2024 BMI Query'!$C:$C,7)</f>
        <v>17413605.390000001</v>
      </c>
      <c r="F10" s="244">
        <f>+E10+SUMIFS('6 2024 BMI Query'!$G:$G,'6 2024 BMI Query'!$E:$E,$B10,'6 2024 BMI Query'!$C:$C,8)</f>
        <v>17379162.390000001</v>
      </c>
      <c r="G10" s="244">
        <f>+F10+SUMIFS('6 2024 BMI Query'!$G:$G,'6 2024 BMI Query'!$E:$E,$B10,'6 2024 BMI Query'!$C:$C,9)</f>
        <v>17344719.390000001</v>
      </c>
      <c r="H10" s="244">
        <f>+G10+SUMIFS('6 2024 BMI Query'!$G:$G,'6 2024 BMI Query'!$E:$E,$B10,'6 2024 BMI Query'!$C:$C,10)</f>
        <v>17310276.390000001</v>
      </c>
      <c r="I10" s="244">
        <f>+H10+SUMIFS('6 2024 BMI Query'!$G:$G,'6 2024 BMI Query'!$E:$E,$B10,'6 2024 BMI Query'!$C:$C,11)</f>
        <v>17275833.390000001</v>
      </c>
      <c r="J10" s="244">
        <f>+I10+SUMIFS('6 2024 BMI Query'!$G:$G,'6 2024 BMI Query'!$E:$E,$B10,'6 2024 BMI Query'!$C:$C,12)</f>
        <v>17241390.390000001</v>
      </c>
      <c r="K10" s="244">
        <f>+SUMIFS('7 2025 BMI Query'!$G:$G,'7 2025 BMI Query'!$E:$E,$B10,'7 2025 BMI Query'!$C:$C,0)+SUMIFS('7 2025 BMI Query'!$G:$G,'7 2025 BMI Query'!$E:$E,$B10,'7 2025 BMI Query'!$C:$C,1)</f>
        <v>17206947.390000001</v>
      </c>
      <c r="L10" s="244">
        <f>+K10+SUMIFS('7 2025 BMI Query'!$G:$G,'7 2025 BMI Query'!$E:$E,$B10,'7 2025 BMI Query'!$C:$C,2)</f>
        <v>17172504.390000001</v>
      </c>
      <c r="M10" s="244">
        <f>+L10+SUMIFS('7 2025 BMI Query'!$G:$G,'7 2025 BMI Query'!$E:$E,$B10,'7 2025 BMI Query'!$C:$C,3)</f>
        <v>17138061.390000001</v>
      </c>
      <c r="N10" s="244">
        <f>+M10+SUMIFS('7 2025 BMI Query'!$G:$G,'7 2025 BMI Query'!$E:$E,$B10,'7 2025 BMI Query'!$C:$C,4)</f>
        <v>17103618.390000001</v>
      </c>
      <c r="O10" s="244">
        <f>+N10+SUMIFS('7 2025 BMI Query'!$G:$G,'7 2025 BMI Query'!$E:$E,$B10,'7 2025 BMI Query'!$C:$C,5)</f>
        <v>17069175.390000001</v>
      </c>
      <c r="P10" s="244">
        <f>+O10+SUMIFS('7 2025 BMI Query'!$G:$G,'7 2025 BMI Query'!$E:$E,$B10,'7 2025 BMI Query'!$C:$C,6)</f>
        <v>15237623.390000001</v>
      </c>
      <c r="Q10" s="244">
        <f>+P10+SUMIFS('7 2025 BMI Query'!$G:$G,'7 2025 BMI Query'!$E:$E,$B10,'7 2025 BMI Query'!$C:$C,7)</f>
        <v>15158344.390000001</v>
      </c>
      <c r="R10" s="244">
        <f>+Q10+SUMIFS('7 2025 BMI Query'!$G:$G,'7 2025 BMI Query'!$E:$E,$B10,'7 2025 BMI Query'!$C:$C,8)</f>
        <v>15079065.390000001</v>
      </c>
      <c r="S10" s="244"/>
      <c r="T10" s="244"/>
      <c r="U10" s="244"/>
      <c r="V10" s="244"/>
      <c r="W10" s="244"/>
      <c r="X10" s="244"/>
    </row>
    <row r="11" spans="1:25" x14ac:dyDescent="0.25">
      <c r="A11" s="50" t="s">
        <v>104</v>
      </c>
      <c r="B11" s="238">
        <v>919025101</v>
      </c>
      <c r="C11" s="244">
        <f>+SUMIFS('6 2024 BMI Query'!$G:$G,'6 2024 BMI Query'!$E:$E,$B11,'6 2024 BMI Query'!$C:$C,0)+SUMIFS('6 2024 BMI Query'!$G:$G,'6 2024 BMI Query'!$E:$E,$B11,'6 2024 BMI Query'!$C:$C,1)+SUMIFS('6 2024 BMI Query'!$G:$G,'6 2024 BMI Query'!$E:$E,$B11,'6 2024 BMI Query'!$C:$C,2)+SUMIFS('6 2024 BMI Query'!$G:$G,'6 2024 BMI Query'!$E:$E,$B11,'6 2024 BMI Query'!$C:$C,3)</f>
        <v>7186674.8100000005</v>
      </c>
      <c r="D11" s="244">
        <f>+C11+SUMIFS('6 2024 BMI Query'!$G:$G,'6 2024 BMI Query'!$E:$E,$B11,'6 2024 BMI Query'!$C:$C,4)+SUMIFS('6 2024 BMI Query'!$G:$G,'6 2024 BMI Query'!$E:$E,$B11,'6 2024 BMI Query'!$C:$C,5)+SUMIFS('6 2024 BMI Query'!$G:$G,'6 2024 BMI Query'!$E:$E,$B11,'6 2024 BMI Query'!$C:$C,6)</f>
        <v>9306371.3399999999</v>
      </c>
      <c r="E11" s="244">
        <f>+D11+SUMIFS('6 2024 BMI Query'!$G:$G,'6 2024 BMI Query'!$E:$E,$B11,'6 2024 BMI Query'!$C:$C,7)</f>
        <v>9306371.3399999999</v>
      </c>
      <c r="F11" s="244">
        <f>+E11+SUMIFS('6 2024 BMI Query'!$G:$G,'6 2024 BMI Query'!$E:$E,$B11,'6 2024 BMI Query'!$C:$C,8)</f>
        <v>9156064.7899999991</v>
      </c>
      <c r="G11" s="244">
        <f>+F11+SUMIFS('6 2024 BMI Query'!$G:$G,'6 2024 BMI Query'!$E:$E,$B11,'6 2024 BMI Query'!$C:$C,9)</f>
        <v>9138890.0599999987</v>
      </c>
      <c r="H11" s="244">
        <f>+G11+SUMIFS('6 2024 BMI Query'!$G:$G,'6 2024 BMI Query'!$E:$E,$B11,'6 2024 BMI Query'!$C:$C,10)</f>
        <v>9120281.0399999991</v>
      </c>
      <c r="I11" s="244">
        <f>+H11+SUMIFS('6 2024 BMI Query'!$G:$G,'6 2024 BMI Query'!$E:$E,$B11,'6 2024 BMI Query'!$C:$C,11)</f>
        <v>9101672</v>
      </c>
      <c r="J11" s="244">
        <f>+I11+SUMIFS('6 2024 BMI Query'!$G:$G,'6 2024 BMI Query'!$E:$E,$B11,'6 2024 BMI Query'!$C:$C,12)</f>
        <v>10258968.92</v>
      </c>
      <c r="K11" s="244">
        <f>+SUMIFS('7 2025 BMI Query'!$G:$G,'7 2025 BMI Query'!$E:$E,$B11,'7 2025 BMI Query'!$C:$C,0)+SUMIFS('7 2025 BMI Query'!$G:$G,'7 2025 BMI Query'!$E:$E,$B11,'7 2025 BMI Query'!$C:$C,1)</f>
        <v>10818466.949999999</v>
      </c>
      <c r="L11" s="244">
        <f>+K11+SUMIFS('7 2025 BMI Query'!$G:$G,'7 2025 BMI Query'!$E:$E,$B11,'7 2025 BMI Query'!$C:$C,2)</f>
        <v>11157735.529999999</v>
      </c>
      <c r="M11" s="244">
        <f>+L11+SUMIFS('7 2025 BMI Query'!$G:$G,'7 2025 BMI Query'!$E:$E,$B11,'7 2025 BMI Query'!$C:$C,3)</f>
        <v>10472167.449999999</v>
      </c>
      <c r="N11" s="244">
        <f>+M11+SUMIFS('7 2025 BMI Query'!$G:$G,'7 2025 BMI Query'!$E:$E,$B11,'7 2025 BMI Query'!$C:$C,4)</f>
        <v>10636382.59</v>
      </c>
      <c r="O11" s="244">
        <f>+N11+SUMIFS('7 2025 BMI Query'!$G:$G,'7 2025 BMI Query'!$E:$E,$B11,'7 2025 BMI Query'!$C:$C,5)</f>
        <v>10807331.25</v>
      </c>
      <c r="P11" s="244">
        <f>+O11+SUMIFS('7 2025 BMI Query'!$G:$G,'7 2025 BMI Query'!$E:$E,$B11,'7 2025 BMI Query'!$C:$C,6)</f>
        <v>11117291.65</v>
      </c>
      <c r="Q11" s="244">
        <f>+P11+SUMIFS('7 2025 BMI Query'!$G:$G,'7 2025 BMI Query'!$E:$E,$B11,'7 2025 BMI Query'!$C:$C,7)</f>
        <v>11509342.75</v>
      </c>
      <c r="R11" s="244">
        <f>+Q11+SUMIFS('7 2025 BMI Query'!$G:$G,'7 2025 BMI Query'!$E:$E,$B11,'7 2025 BMI Query'!$C:$C,8)</f>
        <v>11783790.880000001</v>
      </c>
      <c r="S11" s="244"/>
      <c r="T11" s="244"/>
      <c r="U11" s="244"/>
      <c r="V11" s="244"/>
      <c r="W11" s="244"/>
      <c r="X11" s="244"/>
    </row>
    <row r="12" spans="1:25" x14ac:dyDescent="0.25">
      <c r="A12" s="50" t="s">
        <v>475</v>
      </c>
      <c r="B12" s="238">
        <v>919001101</v>
      </c>
      <c r="C12" s="244">
        <f>+SUMIFS('6 2024 BMI Query'!$G:$G,'6 2024 BMI Query'!$E:$E,$B12,'6 2024 BMI Query'!$C:$C,0)+SUMIFS('6 2024 BMI Query'!$G:$G,'6 2024 BMI Query'!$E:$E,$B12,'6 2024 BMI Query'!$C:$C,1)+SUMIFS('6 2024 BMI Query'!$G:$G,'6 2024 BMI Query'!$E:$E,$B12,'6 2024 BMI Query'!$C:$C,2)+SUMIFS('6 2024 BMI Query'!$G:$G,'6 2024 BMI Query'!$E:$E,$B12,'6 2024 BMI Query'!$C:$C,3)</f>
        <v>-17551377.390000001</v>
      </c>
      <c r="D12" s="244">
        <f>+C12+SUMIFS('6 2024 BMI Query'!$G:$G,'6 2024 BMI Query'!$E:$E,$B12,'6 2024 BMI Query'!$C:$C,4)+SUMIFS('6 2024 BMI Query'!$G:$G,'6 2024 BMI Query'!$E:$E,$B12,'6 2024 BMI Query'!$C:$C,5)+SUMIFS('6 2024 BMI Query'!$G:$G,'6 2024 BMI Query'!$E:$E,$B12,'6 2024 BMI Query'!$C:$C,6)</f>
        <v>-17448048.390000001</v>
      </c>
      <c r="E12" s="244">
        <f>+D12+SUMIFS('6 2024 BMI Query'!$G:$G,'6 2024 BMI Query'!$E:$E,$B12,'6 2024 BMI Query'!$C:$C,7)</f>
        <v>-17413605.390000001</v>
      </c>
      <c r="F12" s="244">
        <f>+E12+SUMIFS('6 2024 BMI Query'!$G:$G,'6 2024 BMI Query'!$E:$E,$B12,'6 2024 BMI Query'!$C:$C,8)</f>
        <v>-17379162.379999999</v>
      </c>
      <c r="G12" s="244">
        <f>+F12+SUMIFS('6 2024 BMI Query'!$G:$G,'6 2024 BMI Query'!$E:$E,$B12,'6 2024 BMI Query'!$C:$C,9)</f>
        <v>-17344719.390000001</v>
      </c>
      <c r="H12" s="244">
        <f>+G12+SUMIFS('6 2024 BMI Query'!$G:$G,'6 2024 BMI Query'!$E:$E,$B12,'6 2024 BMI Query'!$C:$C,10)</f>
        <v>-17310276.400000002</v>
      </c>
      <c r="I12" s="244">
        <f>+H12+SUMIFS('6 2024 BMI Query'!$G:$G,'6 2024 BMI Query'!$E:$E,$B12,'6 2024 BMI Query'!$C:$C,11)</f>
        <v>-17275833.390000001</v>
      </c>
      <c r="J12" s="244">
        <f>+I12+SUMIFS('6 2024 BMI Query'!$G:$G,'6 2024 BMI Query'!$E:$E,$B12,'6 2024 BMI Query'!$C:$C,12)</f>
        <v>-17241390.390000001</v>
      </c>
      <c r="K12" s="244">
        <f>+SUMIFS('7 2025 BMI Query'!$G:$G,'7 2025 BMI Query'!$E:$E,$B12,'7 2025 BMI Query'!$C:$C,0)+SUMIFS('7 2025 BMI Query'!$G:$G,'7 2025 BMI Query'!$E:$E,$B12,'7 2025 BMI Query'!$C:$C,1)</f>
        <v>-17206947.379999999</v>
      </c>
      <c r="L12" s="244">
        <f>+K12+SUMIFS('7 2025 BMI Query'!$G:$G,'7 2025 BMI Query'!$E:$E,$B12,'7 2025 BMI Query'!$C:$C,2)</f>
        <v>-17172504.379999999</v>
      </c>
      <c r="M12" s="244">
        <f>+L12+SUMIFS('7 2025 BMI Query'!$G:$G,'7 2025 BMI Query'!$E:$E,$B12,'7 2025 BMI Query'!$C:$C,3)</f>
        <v>-17138061.369999997</v>
      </c>
      <c r="N12" s="244">
        <f>+M12+SUMIFS('7 2025 BMI Query'!$G:$G,'7 2025 BMI Query'!$E:$E,$B12,'7 2025 BMI Query'!$C:$C,4)</f>
        <v>-17103618.379999999</v>
      </c>
      <c r="O12" s="244">
        <f>+N12+SUMIFS('7 2025 BMI Query'!$G:$G,'7 2025 BMI Query'!$E:$E,$B12,'7 2025 BMI Query'!$C:$C,5)</f>
        <v>-17069175.379999999</v>
      </c>
      <c r="P12" s="244">
        <f>+O12+SUMIFS('7 2025 BMI Query'!$G:$G,'7 2025 BMI Query'!$E:$E,$B12,'7 2025 BMI Query'!$C:$C,6)</f>
        <v>-15237623.369999999</v>
      </c>
      <c r="Q12" s="244">
        <f>+P12+SUMIFS('7 2025 BMI Query'!$G:$G,'7 2025 BMI Query'!$E:$E,$B12,'7 2025 BMI Query'!$C:$C,7)</f>
        <v>-15158344.389999999</v>
      </c>
      <c r="R12" s="244">
        <f>+Q12+SUMIFS('7 2025 BMI Query'!$G:$G,'7 2025 BMI Query'!$E:$E,$B12,'7 2025 BMI Query'!$C:$C,8)</f>
        <v>-15079065.389999999</v>
      </c>
      <c r="S12" s="244"/>
      <c r="T12" s="244"/>
      <c r="U12" s="244"/>
      <c r="V12" s="244"/>
      <c r="W12" s="244"/>
      <c r="X12" s="244"/>
      <c r="Y12" s="43" t="s">
        <v>476</v>
      </c>
    </row>
    <row r="13" spans="1:25" x14ac:dyDescent="0.25">
      <c r="A13" s="50" t="s">
        <v>477</v>
      </c>
      <c r="B13" s="238">
        <v>919001111</v>
      </c>
      <c r="C13" s="244">
        <f>+SUMIFS('6 2024 BMI Query'!$G:$G,'6 2024 BMI Query'!$E:$E,$B13,'6 2024 BMI Query'!$C:$C,0)+SUMIFS('6 2024 BMI Query'!$G:$G,'6 2024 BMI Query'!$E:$E,$B13,'6 2024 BMI Query'!$C:$C,1)+SUMIFS('6 2024 BMI Query'!$G:$G,'6 2024 BMI Query'!$E:$E,$B13,'6 2024 BMI Query'!$C:$C,2)+SUMIFS('6 2024 BMI Query'!$G:$G,'6 2024 BMI Query'!$E:$E,$B13,'6 2024 BMI Query'!$C:$C,3)</f>
        <v>16136803.909999998</v>
      </c>
      <c r="D13" s="244">
        <f>+C13+SUMIFS('6 2024 BMI Query'!$G:$G,'6 2024 BMI Query'!$E:$E,$B13,'6 2024 BMI Query'!$C:$C,4)+SUMIFS('6 2024 BMI Query'!$G:$G,'6 2024 BMI Query'!$E:$E,$B13,'6 2024 BMI Query'!$C:$C,5)+SUMIFS('6 2024 BMI Query'!$G:$G,'6 2024 BMI Query'!$E:$E,$B13,'6 2024 BMI Query'!$C:$C,6)</f>
        <v>15990814.019999998</v>
      </c>
      <c r="E13" s="244">
        <f>+D13+SUMIFS('6 2024 BMI Query'!$G:$G,'6 2024 BMI Query'!$E:$E,$B13,'6 2024 BMI Query'!$C:$C,7)</f>
        <v>15934668.359999998</v>
      </c>
      <c r="F13" s="244">
        <f>+E13+SUMIFS('6 2024 BMI Query'!$G:$G,'6 2024 BMI Query'!$E:$E,$B13,'6 2024 BMI Query'!$C:$C,8)</f>
        <v>15887540.109999998</v>
      </c>
      <c r="G13" s="244">
        <f>+F13+SUMIFS('6 2024 BMI Query'!$G:$G,'6 2024 BMI Query'!$E:$E,$B13,'6 2024 BMI Query'!$C:$C,9)</f>
        <v>15832312.769999998</v>
      </c>
      <c r="H13" s="244">
        <f>+G13+SUMIFS('6 2024 BMI Query'!$G:$G,'6 2024 BMI Query'!$E:$E,$B13,'6 2024 BMI Query'!$C:$C,10)</f>
        <v>15779131.379999997</v>
      </c>
      <c r="I13" s="244">
        <f>+H13+SUMIFS('6 2024 BMI Query'!$G:$G,'6 2024 BMI Query'!$E:$E,$B13,'6 2024 BMI Query'!$C:$C,11)</f>
        <v>15724107.569999997</v>
      </c>
      <c r="J13" s="244">
        <f>+I13+SUMIFS('6 2024 BMI Query'!$G:$G,'6 2024 BMI Query'!$E:$E,$B13,'6 2024 BMI Query'!$C:$C,12)</f>
        <v>15723743.619999997</v>
      </c>
      <c r="K13" s="244">
        <f>+SUMIFS('7 2025 BMI Query'!$G:$G,'7 2025 BMI Query'!$E:$E,$B13,'7 2025 BMI Query'!$C:$C,0)+SUMIFS('7 2025 BMI Query'!$G:$G,'7 2025 BMI Query'!$E:$E,$B13,'7 2025 BMI Query'!$C:$C,1)</f>
        <v>15662415.979999999</v>
      </c>
      <c r="L13" s="244">
        <f>+K13+SUMIFS('7 2025 BMI Query'!$G:$G,'7 2025 BMI Query'!$E:$E,$B13,'7 2025 BMI Query'!$C:$C,2)</f>
        <v>15594370.759999998</v>
      </c>
      <c r="M13" s="244">
        <f>+L13+SUMIFS('7 2025 BMI Query'!$G:$G,'7 2025 BMI Query'!$E:$E,$B13,'7 2025 BMI Query'!$C:$C,3)</f>
        <v>15610136.739999998</v>
      </c>
      <c r="N13" s="244">
        <f>+M13+SUMIFS('7 2025 BMI Query'!$G:$G,'7 2025 BMI Query'!$E:$E,$B13,'7 2025 BMI Query'!$C:$C,4)</f>
        <v>15552419.209999999</v>
      </c>
      <c r="O13" s="244">
        <f>+N13+SUMIFS('7 2025 BMI Query'!$G:$G,'7 2025 BMI Query'!$E:$E,$B13,'7 2025 BMI Query'!$C:$C,5)</f>
        <v>15493027.52</v>
      </c>
      <c r="P13" s="244">
        <f>+O13+SUMIFS('7 2025 BMI Query'!$G:$G,'7 2025 BMI Query'!$E:$E,$B13,'7 2025 BMI Query'!$C:$C,6)</f>
        <v>15432711.42</v>
      </c>
      <c r="Q13" s="244">
        <f>+P13+SUMIFS('7 2025 BMI Query'!$G:$G,'7 2025 BMI Query'!$E:$E,$B13,'7 2025 BMI Query'!$C:$C,7)</f>
        <v>15375322.539999999</v>
      </c>
      <c r="R13" s="244">
        <f>+Q13+SUMIFS('7 2025 BMI Query'!$G:$G,'7 2025 BMI Query'!$E:$E,$B13,'7 2025 BMI Query'!$C:$C,8)</f>
        <v>15313861.359999999</v>
      </c>
      <c r="S13" s="244"/>
      <c r="T13" s="244"/>
      <c r="U13" s="244"/>
      <c r="V13" s="244"/>
      <c r="W13" s="244"/>
      <c r="X13" s="244"/>
      <c r="Y13" s="43" t="s">
        <v>476</v>
      </c>
    </row>
    <row r="14" spans="1:25" x14ac:dyDescent="0.25">
      <c r="A14" s="50" t="s">
        <v>110</v>
      </c>
      <c r="B14" s="238">
        <v>919001161</v>
      </c>
      <c r="C14" s="244">
        <f>+SUMIFS('6 2024 BMI Query'!$G:$G,'6 2024 BMI Query'!$E:$E,$B14,'6 2024 BMI Query'!$C:$C,0)+SUMIFS('6 2024 BMI Query'!$G:$G,'6 2024 BMI Query'!$E:$E,$B14,'6 2024 BMI Query'!$C:$C,1)+SUMIFS('6 2024 BMI Query'!$G:$G,'6 2024 BMI Query'!$E:$E,$B14,'6 2024 BMI Query'!$C:$C,2)+SUMIFS('6 2024 BMI Query'!$G:$G,'6 2024 BMI Query'!$E:$E,$B14,'6 2024 BMI Query'!$C:$C,3)</f>
        <v>11388342</v>
      </c>
      <c r="D14" s="244">
        <f>+C14+SUMIFS('6 2024 BMI Query'!$G:$G,'6 2024 BMI Query'!$E:$E,$B14,'6 2024 BMI Query'!$C:$C,4)+SUMIFS('6 2024 BMI Query'!$G:$G,'6 2024 BMI Query'!$E:$E,$B14,'6 2024 BMI Query'!$C:$C,5)+SUMIFS('6 2024 BMI Query'!$G:$G,'6 2024 BMI Query'!$E:$E,$B14,'6 2024 BMI Query'!$C:$C,6)</f>
        <v>10742637</v>
      </c>
      <c r="E14" s="244">
        <f>+D14+SUMIFS('6 2024 BMI Query'!$G:$G,'6 2024 BMI Query'!$E:$E,$B14,'6 2024 BMI Query'!$C:$C,7)</f>
        <v>10527402</v>
      </c>
      <c r="F14" s="244">
        <f>+E14+SUMIFS('6 2024 BMI Query'!$G:$G,'6 2024 BMI Query'!$E:$E,$B14,'6 2024 BMI Query'!$C:$C,8)</f>
        <v>10312167</v>
      </c>
      <c r="G14" s="244">
        <f>+F14+SUMIFS('6 2024 BMI Query'!$G:$G,'6 2024 BMI Query'!$E:$E,$B14,'6 2024 BMI Query'!$C:$C,9)</f>
        <v>10096932</v>
      </c>
      <c r="H14" s="244">
        <f>+G14+SUMIFS('6 2024 BMI Query'!$G:$G,'6 2024 BMI Query'!$E:$E,$B14,'6 2024 BMI Query'!$C:$C,10)</f>
        <v>9881697</v>
      </c>
      <c r="I14" s="244">
        <f>+H14+SUMIFS('6 2024 BMI Query'!$G:$G,'6 2024 BMI Query'!$E:$E,$B14,'6 2024 BMI Query'!$C:$C,11)</f>
        <v>9666462</v>
      </c>
      <c r="J14" s="244">
        <f>+I14+SUMIFS('6 2024 BMI Query'!$G:$G,'6 2024 BMI Query'!$E:$E,$B14,'6 2024 BMI Query'!$C:$C,12)</f>
        <v>9451227</v>
      </c>
      <c r="K14" s="244">
        <f>+SUMIFS('7 2025 BMI Query'!$G:$G,'7 2025 BMI Query'!$E:$E,$B14,'7 2025 BMI Query'!$C:$C,0)+SUMIFS('7 2025 BMI Query'!$G:$G,'7 2025 BMI Query'!$E:$E,$B14,'7 2025 BMI Query'!$C:$C,1)</f>
        <v>9235992</v>
      </c>
      <c r="L14" s="244">
        <f>+K14+SUMIFS('7 2025 BMI Query'!$G:$G,'7 2025 BMI Query'!$E:$E,$B14,'7 2025 BMI Query'!$C:$C,2)</f>
        <v>9020757</v>
      </c>
      <c r="M14" s="244">
        <f>+L14+SUMIFS('7 2025 BMI Query'!$G:$G,'7 2025 BMI Query'!$E:$E,$B14,'7 2025 BMI Query'!$C:$C,3)</f>
        <v>8805522</v>
      </c>
      <c r="N14" s="244">
        <f>+M14+SUMIFS('7 2025 BMI Query'!$G:$G,'7 2025 BMI Query'!$E:$E,$B14,'7 2025 BMI Query'!$C:$C,4)</f>
        <v>8590287</v>
      </c>
      <c r="O14" s="244">
        <f>+N14+SUMIFS('7 2025 BMI Query'!$G:$G,'7 2025 BMI Query'!$E:$E,$B14,'7 2025 BMI Query'!$C:$C,5)</f>
        <v>8375052</v>
      </c>
      <c r="P14" s="244">
        <f>+O14+SUMIFS('7 2025 BMI Query'!$G:$G,'7 2025 BMI Query'!$E:$E,$B14,'7 2025 BMI Query'!$C:$C,6)</f>
        <v>8159817</v>
      </c>
      <c r="Q14" s="244">
        <f>+P14+SUMIFS('7 2025 BMI Query'!$G:$G,'7 2025 BMI Query'!$E:$E,$B14,'7 2025 BMI Query'!$C:$C,7)</f>
        <v>7944582</v>
      </c>
      <c r="R14" s="244">
        <f>+Q14+SUMIFS('7 2025 BMI Query'!$G:$G,'7 2025 BMI Query'!$E:$E,$B14,'7 2025 BMI Query'!$C:$C,8)</f>
        <v>7729347</v>
      </c>
      <c r="S14" s="244"/>
      <c r="T14" s="244"/>
      <c r="U14" s="244"/>
      <c r="V14" s="244"/>
      <c r="W14" s="244"/>
      <c r="X14" s="244"/>
    </row>
    <row r="15" spans="1:25" x14ac:dyDescent="0.25">
      <c r="A15" s="50" t="s">
        <v>478</v>
      </c>
      <c r="B15" s="238">
        <v>919001121</v>
      </c>
      <c r="C15" s="244">
        <f>+SUMIFS('6 2024 BMI Query'!$G:$G,'6 2024 BMI Query'!$E:$E,$B15,'6 2024 BMI Query'!$C:$C,0)+SUMIFS('6 2024 BMI Query'!$G:$G,'6 2024 BMI Query'!$E:$E,$B15,'6 2024 BMI Query'!$C:$C,1)+SUMIFS('6 2024 BMI Query'!$G:$G,'6 2024 BMI Query'!$E:$E,$B15,'6 2024 BMI Query'!$C:$C,2)+SUMIFS('6 2024 BMI Query'!$G:$G,'6 2024 BMI Query'!$E:$E,$B15,'6 2024 BMI Query'!$C:$C,3)</f>
        <v>-11388342</v>
      </c>
      <c r="D15" s="244">
        <f>+C15+SUMIFS('6 2024 BMI Query'!$G:$G,'6 2024 BMI Query'!$E:$E,$B15,'6 2024 BMI Query'!$C:$C,4)+SUMIFS('6 2024 BMI Query'!$G:$G,'6 2024 BMI Query'!$E:$E,$B15,'6 2024 BMI Query'!$C:$C,5)+SUMIFS('6 2024 BMI Query'!$G:$G,'6 2024 BMI Query'!$E:$E,$B15,'6 2024 BMI Query'!$C:$C,6)</f>
        <v>-10742637</v>
      </c>
      <c r="E15" s="244">
        <f>+D15+SUMIFS('6 2024 BMI Query'!$G:$G,'6 2024 BMI Query'!$E:$E,$B15,'6 2024 BMI Query'!$C:$C,7)</f>
        <v>-10527402</v>
      </c>
      <c r="F15" s="244">
        <f>+E15+SUMIFS('6 2024 BMI Query'!$G:$G,'6 2024 BMI Query'!$E:$E,$B15,'6 2024 BMI Query'!$C:$C,8)</f>
        <v>-10312167</v>
      </c>
      <c r="G15" s="244">
        <f>+F15+SUMIFS('6 2024 BMI Query'!$G:$G,'6 2024 BMI Query'!$E:$E,$B15,'6 2024 BMI Query'!$C:$C,9)</f>
        <v>-10096932</v>
      </c>
      <c r="H15" s="244">
        <f>+G15+SUMIFS('6 2024 BMI Query'!$G:$G,'6 2024 BMI Query'!$E:$E,$B15,'6 2024 BMI Query'!$C:$C,10)</f>
        <v>-9881697</v>
      </c>
      <c r="I15" s="244">
        <f>+H15+SUMIFS('6 2024 BMI Query'!$G:$G,'6 2024 BMI Query'!$E:$E,$B15,'6 2024 BMI Query'!$C:$C,11)</f>
        <v>-9666462</v>
      </c>
      <c r="J15" s="244">
        <f>+I15+SUMIFS('6 2024 BMI Query'!$G:$G,'6 2024 BMI Query'!$E:$E,$B15,'6 2024 BMI Query'!$C:$C,12)</f>
        <v>-9451227</v>
      </c>
      <c r="K15" s="244">
        <f>+SUMIFS('7 2025 BMI Query'!$G:$G,'7 2025 BMI Query'!$E:$E,$B15,'7 2025 BMI Query'!$C:$C,0)+SUMIFS('7 2025 BMI Query'!$G:$G,'7 2025 BMI Query'!$E:$E,$B15,'7 2025 BMI Query'!$C:$C,1)</f>
        <v>-9235992</v>
      </c>
      <c r="L15" s="244">
        <f>+K15+SUMIFS('7 2025 BMI Query'!$G:$G,'7 2025 BMI Query'!$E:$E,$B15,'7 2025 BMI Query'!$C:$C,2)</f>
        <v>-9020757</v>
      </c>
      <c r="M15" s="244">
        <f>+L15+SUMIFS('7 2025 BMI Query'!$G:$G,'7 2025 BMI Query'!$E:$E,$B15,'7 2025 BMI Query'!$C:$C,3)</f>
        <v>-8805522</v>
      </c>
      <c r="N15" s="244">
        <f>+M15+SUMIFS('7 2025 BMI Query'!$G:$G,'7 2025 BMI Query'!$E:$E,$B15,'7 2025 BMI Query'!$C:$C,4)</f>
        <v>-8590287</v>
      </c>
      <c r="O15" s="244">
        <f>+N15+SUMIFS('7 2025 BMI Query'!$G:$G,'7 2025 BMI Query'!$E:$E,$B15,'7 2025 BMI Query'!$C:$C,5)</f>
        <v>-8375052</v>
      </c>
      <c r="P15" s="244">
        <f>+O15+SUMIFS('7 2025 BMI Query'!$G:$G,'7 2025 BMI Query'!$E:$E,$B15,'7 2025 BMI Query'!$C:$C,6)</f>
        <v>-8159817</v>
      </c>
      <c r="Q15" s="244">
        <f>+P15+SUMIFS('7 2025 BMI Query'!$G:$G,'7 2025 BMI Query'!$E:$E,$B15,'7 2025 BMI Query'!$C:$C,7)</f>
        <v>-7944582</v>
      </c>
      <c r="R15" s="244">
        <f>+Q15+SUMIFS('7 2025 BMI Query'!$G:$G,'7 2025 BMI Query'!$E:$E,$B15,'7 2025 BMI Query'!$C:$C,8)</f>
        <v>-7729347</v>
      </c>
      <c r="S15" s="244"/>
      <c r="T15" s="244"/>
      <c r="U15" s="244"/>
      <c r="V15" s="244"/>
      <c r="W15" s="244"/>
      <c r="X15" s="244"/>
      <c r="Y15" s="43" t="s">
        <v>476</v>
      </c>
    </row>
    <row r="16" spans="1:25" x14ac:dyDescent="0.25">
      <c r="A16" s="50" t="s">
        <v>479</v>
      </c>
      <c r="B16" s="238">
        <v>919001131</v>
      </c>
      <c r="C16" s="244">
        <f>+SUMIFS('6 2024 BMI Query'!$G:$G,'6 2024 BMI Query'!$E:$E,$B16,'6 2024 BMI Query'!$C:$C,0)+SUMIFS('6 2024 BMI Query'!$G:$G,'6 2024 BMI Query'!$E:$E,$B16,'6 2024 BMI Query'!$C:$C,1)+SUMIFS('6 2024 BMI Query'!$G:$G,'6 2024 BMI Query'!$E:$E,$B16,'6 2024 BMI Query'!$C:$C,2)+SUMIFS('6 2024 BMI Query'!$G:$G,'6 2024 BMI Query'!$E:$E,$B16,'6 2024 BMI Query'!$C:$C,3)</f>
        <v>4330891.67</v>
      </c>
      <c r="D16" s="244">
        <f>+C16+SUMIFS('6 2024 BMI Query'!$G:$G,'6 2024 BMI Query'!$E:$E,$B16,'6 2024 BMI Query'!$C:$C,4)+SUMIFS('6 2024 BMI Query'!$G:$G,'6 2024 BMI Query'!$E:$E,$B16,'6 2024 BMI Query'!$C:$C,5)+SUMIFS('6 2024 BMI Query'!$G:$G,'6 2024 BMI Query'!$E:$E,$B16,'6 2024 BMI Query'!$C:$C,6)</f>
        <v>4085918.16</v>
      </c>
      <c r="E16" s="244">
        <f>+D16+SUMIFS('6 2024 BMI Query'!$G:$G,'6 2024 BMI Query'!$E:$E,$B16,'6 2024 BMI Query'!$C:$C,7)</f>
        <v>4004260.33</v>
      </c>
      <c r="F16" s="244">
        <f>+E16+SUMIFS('6 2024 BMI Query'!$G:$G,'6 2024 BMI Query'!$E:$E,$B16,'6 2024 BMI Query'!$C:$C,8)</f>
        <v>3922602.49</v>
      </c>
      <c r="G16" s="244">
        <f>+F16+SUMIFS('6 2024 BMI Query'!$G:$G,'6 2024 BMI Query'!$E:$E,$B16,'6 2024 BMI Query'!$C:$C,9)</f>
        <v>3840944.66</v>
      </c>
      <c r="H16" s="244">
        <f>+G16+SUMIFS('6 2024 BMI Query'!$G:$G,'6 2024 BMI Query'!$E:$E,$B16,'6 2024 BMI Query'!$C:$C,10)</f>
        <v>3759286.8200000003</v>
      </c>
      <c r="I16" s="244">
        <f>+H16+SUMIFS('6 2024 BMI Query'!$G:$G,'6 2024 BMI Query'!$E:$E,$B16,'6 2024 BMI Query'!$C:$C,11)</f>
        <v>3677628.99</v>
      </c>
      <c r="J16" s="244">
        <f>+I16+SUMIFS('6 2024 BMI Query'!$G:$G,'6 2024 BMI Query'!$E:$E,$B16,'6 2024 BMI Query'!$C:$C,12)</f>
        <v>3595971.1500000004</v>
      </c>
      <c r="K16" s="244">
        <f>+SUMIFS('7 2025 BMI Query'!$G:$G,'7 2025 BMI Query'!$E:$E,$B16,'7 2025 BMI Query'!$C:$C,0)+SUMIFS('7 2025 BMI Query'!$G:$G,'7 2025 BMI Query'!$E:$E,$B16,'7 2025 BMI Query'!$C:$C,1)</f>
        <v>3514313.32</v>
      </c>
      <c r="L16" s="244">
        <f>+K16+SUMIFS('7 2025 BMI Query'!$G:$G,'7 2025 BMI Query'!$E:$E,$B16,'7 2025 BMI Query'!$C:$C,2)</f>
        <v>3432655.48</v>
      </c>
      <c r="M16" s="244">
        <f>+L16+SUMIFS('7 2025 BMI Query'!$G:$G,'7 2025 BMI Query'!$E:$E,$B16,'7 2025 BMI Query'!$C:$C,3)</f>
        <v>3350997.65</v>
      </c>
      <c r="N16" s="244">
        <f>+M16+SUMIFS('7 2025 BMI Query'!$G:$G,'7 2025 BMI Query'!$E:$E,$B16,'7 2025 BMI Query'!$C:$C,4)</f>
        <v>3269339.81</v>
      </c>
      <c r="O16" s="244">
        <f>+N16+SUMIFS('7 2025 BMI Query'!$G:$G,'7 2025 BMI Query'!$E:$E,$B16,'7 2025 BMI Query'!$C:$C,5)</f>
        <v>3187681.97</v>
      </c>
      <c r="P16" s="244">
        <f>+O16+SUMIFS('7 2025 BMI Query'!$G:$G,'7 2025 BMI Query'!$E:$E,$B16,'7 2025 BMI Query'!$C:$C,6)</f>
        <v>3106024.14</v>
      </c>
      <c r="Q16" s="244">
        <f>+P16+SUMIFS('7 2025 BMI Query'!$G:$G,'7 2025 BMI Query'!$E:$E,$B16,'7 2025 BMI Query'!$C:$C,7)</f>
        <v>3024366.3000000003</v>
      </c>
      <c r="R16" s="244">
        <f>+Q16+SUMIFS('7 2025 BMI Query'!$G:$G,'7 2025 BMI Query'!$E:$E,$B16,'7 2025 BMI Query'!$C:$C,8)</f>
        <v>2942708.47</v>
      </c>
      <c r="S16" s="244"/>
      <c r="T16" s="244"/>
      <c r="U16" s="244"/>
      <c r="V16" s="244"/>
      <c r="W16" s="244"/>
      <c r="X16" s="244"/>
      <c r="Y16" s="43" t="s">
        <v>480</v>
      </c>
    </row>
    <row r="17" spans="1:25" x14ac:dyDescent="0.25">
      <c r="A17" s="50" t="s">
        <v>106</v>
      </c>
      <c r="B17" s="238">
        <v>919010011</v>
      </c>
      <c r="C17" s="244">
        <f>+SUMIFS('6 2024 BMI Query'!$G:$G,'6 2024 BMI Query'!$E:$E,$B17,'6 2024 BMI Query'!$A:$A,$B9,'6 2024 BMI Query'!$C:$C,0)+SUMIFS('6 2024 BMI Query'!$G:$G,'6 2024 BMI Query'!$E:$E,$B17,'6 2024 BMI Query'!$A:$A,$B9,'6 2024 BMI Query'!$C:$C,1)+SUMIFS('6 2024 BMI Query'!$G:$G,'6 2024 BMI Query'!$E:$E,$B17,'6 2024 BMI Query'!$A:$A,$B9,'6 2024 BMI Query'!$C:$C,2)+SUMIFS('6 2024 BMI Query'!$G:$G,'6 2024 BMI Query'!$E:$E,$B17,'6 2024 BMI Query'!$A:$A,$B9,'6 2024 BMI Query'!$C:$C,3)</f>
        <v>5321103.17</v>
      </c>
      <c r="D17" s="244">
        <f>+C17+SUMIFS('6 2024 BMI Query'!$G:$G,'6 2024 BMI Query'!$E:$E,$B17,'6 2024 BMI Query'!$A:$A,$B9,'6 2024 BMI Query'!$C:$C,4)+SUMIFS('6 2024 BMI Query'!$G:$G,'6 2024 BMI Query'!$E:$E,$B17,'6 2024 BMI Query'!$A:$A,$B9,'6 2024 BMI Query'!$C:$C,5)+SUMIFS('6 2024 BMI Query'!$G:$G,'6 2024 BMI Query'!$E:$E,$B17,'6 2024 BMI Query'!$A:$A,$B9,'6 2024 BMI Query'!$C:$C,6)</f>
        <v>5425494.3099999996</v>
      </c>
      <c r="E17" s="244">
        <f>+D17+SUMIFS('6 2024 BMI Query'!$G:$G,'6 2024 BMI Query'!$E:$E,$B17,'6 2024 BMI Query'!$A:$A,$B9,'6 2024 BMI Query'!$C:$C,7)</f>
        <v>5390736.2299999995</v>
      </c>
      <c r="F17" s="244">
        <f>+E17+SUMIFS('6 2024 BMI Query'!$G:$G,'6 2024 BMI Query'!$E:$E,$B17,'6 2024 BMI Query'!$A:$A,$B9,'6 2024 BMI Query'!$C:$C,8)</f>
        <v>6080069.9699999997</v>
      </c>
      <c r="G17" s="244">
        <f>+F17+SUMIFS('6 2024 BMI Query'!$G:$G,'6 2024 BMI Query'!$E:$E,$B17,'6 2024 BMI Query'!$A:$A,$B9,'6 2024 BMI Query'!$C:$C,9)</f>
        <v>7992755.9299999997</v>
      </c>
      <c r="H17" s="244">
        <f>+G17+SUMIFS('6 2024 BMI Query'!$G:$G,'6 2024 BMI Query'!$E:$E,$B17,'6 2024 BMI Query'!$A:$A,$B9,'6 2024 BMI Query'!$C:$C,10)</f>
        <v>9637091.1899999995</v>
      </c>
      <c r="I17" s="244">
        <f>+H17+SUMIFS('6 2024 BMI Query'!$G:$G,'6 2024 BMI Query'!$E:$E,$B17,'6 2024 BMI Query'!$A:$A,$B9,'6 2024 BMI Query'!$C:$C,11)</f>
        <v>10381736.66</v>
      </c>
      <c r="J17" s="244">
        <f>+I17+SUMIFS('6 2024 BMI Query'!$G:$G,'6 2024 BMI Query'!$E:$E,$B17,'6 2024 BMI Query'!$A:$A,$B9,'6 2024 BMI Query'!$C:$C,12)</f>
        <v>11122823.640000001</v>
      </c>
      <c r="K17" s="244">
        <f>+SUMIFS('7 2025 BMI Query'!$G:$G,'7 2025 BMI Query'!$E:$E,$B17,'7 2025 BMI Query'!$A:$A,$B9,'7 2025 BMI Query'!$C:$C,0)+SUMIFS('7 2025 BMI Query'!$G:$G,'7 2025 BMI Query'!$E:$E,$B17,'7 2025 BMI Query'!$A:$A,$B9,'7 2025 BMI Query'!$C:$C,1)</f>
        <v>12140163.460000001</v>
      </c>
      <c r="L17" s="244">
        <f>+K17+SUMIFS('7 2025 BMI Query'!$G:$G,'7 2025 BMI Query'!$E:$E,$B17,'7 2025 BMI Query'!$A:$A,$B9,'7 2025 BMI Query'!$C:$C,2)</f>
        <v>12528990.010000002</v>
      </c>
      <c r="M17" s="244">
        <f>+L17+SUMIFS('7 2025 BMI Query'!$G:$G,'7 2025 BMI Query'!$E:$E,$B17,'7 2025 BMI Query'!$A:$A,$B9,'7 2025 BMI Query'!$C:$C,3)</f>
        <v>12972341.360000001</v>
      </c>
      <c r="N17" s="244">
        <f>+M17+SUMIFS('7 2025 BMI Query'!$G:$G,'7 2025 BMI Query'!$E:$E,$B17,'7 2025 BMI Query'!$A:$A,$B9,'7 2025 BMI Query'!$C:$C,4)</f>
        <v>13007371.930000002</v>
      </c>
      <c r="O17" s="244">
        <f>+N17+SUMIFS('7 2025 BMI Query'!$G:$G,'7 2025 BMI Query'!$E:$E,$B17,'7 2025 BMI Query'!$A:$A,$B9,'7 2025 BMI Query'!$C:$C,5)</f>
        <v>13010881.610000001</v>
      </c>
      <c r="P17" s="244">
        <f>+O17+SUMIFS('7 2025 BMI Query'!$G:$G,'7 2025 BMI Query'!$E:$E,$B17,'7 2025 BMI Query'!$A:$A,$B9,'7 2025 BMI Query'!$C:$C,6)</f>
        <v>13588895.850000001</v>
      </c>
      <c r="Q17" s="244">
        <f>+P17+SUMIFS('7 2025 BMI Query'!$G:$G,'7 2025 BMI Query'!$E:$E,$B17,'7 2025 BMI Query'!$A:$A,$B9,'7 2025 BMI Query'!$C:$C,7)</f>
        <v>12366260.390000001</v>
      </c>
      <c r="R17" s="244">
        <f>+Q17+SUMIFS('7 2025 BMI Query'!$G:$G,'7 2025 BMI Query'!$E:$E,$B17,'7 2025 BMI Query'!$A:$A,$B9,'7 2025 BMI Query'!$C:$C,8)</f>
        <v>11242722.870000001</v>
      </c>
      <c r="S17" s="244"/>
      <c r="T17" s="244"/>
      <c r="U17" s="244"/>
      <c r="V17" s="244"/>
      <c r="W17" s="244"/>
      <c r="X17" s="244"/>
    </row>
    <row r="18" spans="1:25" x14ac:dyDescent="0.25">
      <c r="A18" s="50" t="s">
        <v>481</v>
      </c>
      <c r="B18" s="238" t="s">
        <v>482</v>
      </c>
      <c r="C18" s="244">
        <f>+SUMIFS('6 2024 BMI Query'!$G:$G,'6 2024 BMI Query'!$E:$E,$B18,'6 2024 BMI Query'!$A:$A,$B9,'6 2024 BMI Query'!$C:$C,0)+SUMIFS('6 2024 BMI Query'!$G:$G,'6 2024 BMI Query'!$E:$E,$B18,'6 2024 BMI Query'!$A:$A,$B9,'6 2024 BMI Query'!$C:$C,1)+SUMIFS('6 2024 BMI Query'!$G:$G,'6 2024 BMI Query'!$E:$E,$B18,'6 2024 BMI Query'!$A:$A,$B9,'6 2024 BMI Query'!$C:$C,2)+SUMIFS('6 2024 BMI Query'!$G:$G,'6 2024 BMI Query'!$E:$E,$B18,'6 2024 BMI Query'!$A:$A,$B9,'6 2024 BMI Query'!$C:$C,3)</f>
        <v>18959249.260000002</v>
      </c>
      <c r="D18" s="244">
        <f>+C18+SUMIFS('6 2024 BMI Query'!$G:$G,'6 2024 BMI Query'!$E:$E,$B18,'6 2024 BMI Query'!$A:$A,$B9,'6 2024 BMI Query'!$C:$C,4)+SUMIFS('6 2024 BMI Query'!$G:$G,'6 2024 BMI Query'!$E:$E,$B18,'6 2024 BMI Query'!$A:$A,$B9,'6 2024 BMI Query'!$C:$C,5)+SUMIFS('6 2024 BMI Query'!$G:$G,'6 2024 BMI Query'!$E:$E,$B18,'6 2024 BMI Query'!$A:$A,$B9,'6 2024 BMI Query'!$C:$C,6)</f>
        <v>22102536.010000005</v>
      </c>
      <c r="E18" s="244">
        <f>+D18+SUMIFS('6 2024 BMI Query'!$G:$G,'6 2024 BMI Query'!$E:$E,$B18,'6 2024 BMI Query'!$A:$A,$B9,'6 2024 BMI Query'!$C:$C,7)</f>
        <v>23362380.930000007</v>
      </c>
      <c r="F18" s="244">
        <f>+E18+SUMIFS('6 2024 BMI Query'!$G:$G,'6 2024 BMI Query'!$E:$E,$B18,'6 2024 BMI Query'!$A:$A,$B9,'6 2024 BMI Query'!$C:$C,8)</f>
        <v>24412379.380000006</v>
      </c>
      <c r="G18" s="244">
        <f>+F18+SUMIFS('6 2024 BMI Query'!$G:$G,'6 2024 BMI Query'!$E:$E,$B18,'6 2024 BMI Query'!$A:$A,$B9,'6 2024 BMI Query'!$C:$C,9)</f>
        <v>28807798.020000007</v>
      </c>
      <c r="H18" s="244">
        <f>+G18+SUMIFS('6 2024 BMI Query'!$G:$G,'6 2024 BMI Query'!$E:$E,$B18,'6 2024 BMI Query'!$C:$C,10)</f>
        <v>10677029.290000007</v>
      </c>
      <c r="I18" s="244">
        <f>+H18+SUMIFS('6 2024 BMI Query'!$G:$G,'6 2024 BMI Query'!$E:$E,$B18,'6 2024 BMI Query'!$C:$C,11)</f>
        <v>12060303.720000006</v>
      </c>
      <c r="J18" s="244">
        <f>+I18+SUMIFS('6 2024 BMI Query'!$G:$G,'6 2024 BMI Query'!$E:$E,$B18,'6 2024 BMI Query'!$C:$C,12)</f>
        <v>9845500.1600000057</v>
      </c>
      <c r="K18" s="244">
        <f>+SUMIFS('7 2025 BMI Query'!$G:$G,'7 2025 BMI Query'!$E:$E,$B18,'7 2025 BMI Query'!$A:$A,$B9,'7 2025 BMI Query'!$C:$C,0)+SUMIFS('7 2025 BMI Query'!$G:$G,'7 2025 BMI Query'!$E:$E,$B18,'7 2025 BMI Query'!$A:$A,$B9,'7 2025 BMI Query'!$C:$C,1)</f>
        <v>14492606.760000002</v>
      </c>
      <c r="L18" s="244">
        <f>+K18+SUMIFS('7 2025 BMI Query'!$G:$G,'7 2025 BMI Query'!$E:$E,$B18,'7 2025 BMI Query'!$A:$A,$B9,'7 2025 BMI Query'!$C:$C,2)</f>
        <v>13156319.010000002</v>
      </c>
      <c r="M18" s="244">
        <f>+L18+SUMIFS('7 2025 BMI Query'!$G:$G,'7 2025 BMI Query'!$E:$E,$B18,'7 2025 BMI Query'!$A:$A,$B9,'7 2025 BMI Query'!$C:$C,3)</f>
        <v>23212844.310000002</v>
      </c>
      <c r="N18" s="244">
        <f>+M18+SUMIFS('7 2025 BMI Query'!$G:$G,'7 2025 BMI Query'!$E:$E,$B18,'7 2025 BMI Query'!$A:$A,$B9,'7 2025 BMI Query'!$C:$C,4)</f>
        <v>20306066.420000002</v>
      </c>
      <c r="O18" s="244">
        <f>+N18+SUMIFS('7 2025 BMI Query'!$G:$G,'7 2025 BMI Query'!$E:$E,$B18,'7 2025 BMI Query'!$A:$A,$B9,'7 2025 BMI Query'!$C:$C,5)</f>
        <v>21975967.850000001</v>
      </c>
      <c r="P18" s="244">
        <f>+O18+SUMIFS('7 2025 BMI Query'!$G:$G,'7 2025 BMI Query'!$E:$E,$B18,'7 2025 BMI Query'!$A:$A,$B9,'7 2025 BMI Query'!$C:$C,6)</f>
        <v>28431689.66</v>
      </c>
      <c r="Q18" s="244">
        <f>+P18+SUMIFS('7 2025 BMI Query'!$G:$G,'7 2025 BMI Query'!$E:$E,$B18,'7 2025 BMI Query'!$A:$A,$B9,'7 2025 BMI Query'!$C:$C,7)</f>
        <v>25930052.780000001</v>
      </c>
      <c r="R18" s="244">
        <f>+Q18+SUMIFS('7 2025 BMI Query'!$G:$G,'7 2025 BMI Query'!$E:$E,$B18,'7 2025 BMI Query'!$A:$A,$B9,'7 2025 BMI Query'!$C:$C,8)</f>
        <v>27373952.780000001</v>
      </c>
      <c r="S18" s="244"/>
      <c r="T18" s="244"/>
      <c r="U18" s="244"/>
      <c r="V18" s="244"/>
      <c r="W18" s="244"/>
      <c r="X18" s="244"/>
    </row>
    <row r="19" spans="1:25" x14ac:dyDescent="0.25">
      <c r="A19" s="50" t="s">
        <v>483</v>
      </c>
      <c r="B19" s="238" t="s">
        <v>484</v>
      </c>
      <c r="C19" s="244">
        <f>+SUMIFS('6 2024 BMI Query'!$G:$G,'6 2024 BMI Query'!$E:$E,$B19,'6 2024 BMI Query'!$A:$A,$B9,'6 2024 BMI Query'!$C:$C,0)+SUMIFS('6 2024 BMI Query'!$G:$G,'6 2024 BMI Query'!$E:$E,$B19,'6 2024 BMI Query'!$A:$A,$B9,'6 2024 BMI Query'!$C:$C,1)+SUMIFS('6 2024 BMI Query'!$G:$G,'6 2024 BMI Query'!$E:$E,$B19,'6 2024 BMI Query'!$A:$A,$B9,'6 2024 BMI Query'!$C:$C,2)+SUMIFS('6 2024 BMI Query'!$G:$G,'6 2024 BMI Query'!$E:$E,$B19,'6 2024 BMI Query'!$A:$A,$B9,'6 2024 BMI Query'!$C:$C,3)</f>
        <v>7288870.75</v>
      </c>
      <c r="D19" s="244">
        <f>+C19+SUMIFS('6 2024 BMI Query'!$G:$G,'6 2024 BMI Query'!$E:$E,$B19,'6 2024 BMI Query'!$A:$A,$B9,'6 2024 BMI Query'!$C:$C,4)+SUMIFS('6 2024 BMI Query'!$G:$G,'6 2024 BMI Query'!$E:$E,$B19,'6 2024 BMI Query'!$A:$A,$B9,'6 2024 BMI Query'!$C:$C,5)+SUMIFS('6 2024 BMI Query'!$G:$G,'6 2024 BMI Query'!$E:$E,$B19,'6 2024 BMI Query'!$A:$A,$B9,'6 2024 BMI Query'!$C:$C,6)</f>
        <v>7217272.3399999999</v>
      </c>
      <c r="E19" s="244">
        <f>+D19+SUMIFS('6 2024 BMI Query'!$G:$G,'6 2024 BMI Query'!$E:$E,$B19,'6 2024 BMI Query'!$A:$A,$B9,'6 2024 BMI Query'!$C:$C,7)</f>
        <v>7217272.3399999999</v>
      </c>
      <c r="F19" s="244">
        <f>+E19+SUMIFS('6 2024 BMI Query'!$G:$G,'6 2024 BMI Query'!$E:$E,$B19,'6 2024 BMI Query'!$A:$A,$B9,'6 2024 BMI Query'!$C:$C,8)</f>
        <v>7217272.3399999999</v>
      </c>
      <c r="G19" s="244">
        <f>+F19+SUMIFS('6 2024 BMI Query'!$G:$G,'6 2024 BMI Query'!$E:$E,$B19,'6 2024 BMI Query'!$A:$A,$B9,'6 2024 BMI Query'!$C:$C,9)</f>
        <v>7315408.9199999999</v>
      </c>
      <c r="H19" s="244">
        <f>+G19+SUMIFS('6 2024 BMI Query'!$G:$G,'6 2024 BMI Query'!$E:$E,$B19,'6 2024 BMI Query'!$C:$C,10)</f>
        <v>7315408.9199999999</v>
      </c>
      <c r="I19" s="244">
        <f>+H19+SUMIFS('6 2024 BMI Query'!$G:$G,'6 2024 BMI Query'!$E:$E,$B19,'6 2024 BMI Query'!$C:$C,11)</f>
        <v>7207583.1100000003</v>
      </c>
      <c r="J19" s="244">
        <f>+I19+SUMIFS('6 2024 BMI Query'!$G:$G,'6 2024 BMI Query'!$E:$E,$B19,'6 2024 BMI Query'!$C:$C,12)</f>
        <v>6940225.1800000006</v>
      </c>
      <c r="K19" s="244">
        <f>+SUMIFS('7 2025 BMI Query'!$G:$G,'7 2025 BMI Query'!$E:$E,$B19,'7 2025 BMI Query'!$A:$A,$B9,'7 2025 BMI Query'!$C:$C,0)+SUMIFS('7 2025 BMI Query'!$G:$G,'7 2025 BMI Query'!$E:$E,$B19,'7 2025 BMI Query'!$A:$A,$B9,'7 2025 BMI Query'!$C:$C,1)</f>
        <v>7048787.6900000004</v>
      </c>
      <c r="L19" s="244">
        <f>+K19+SUMIFS('7 2025 BMI Query'!$G:$G,'7 2025 BMI Query'!$E:$E,$B19,'7 2025 BMI Query'!$A:$A,$B9,'7 2025 BMI Query'!$C:$C,2)</f>
        <v>7048787.6900000004</v>
      </c>
      <c r="M19" s="244">
        <f>+L19+SUMIFS('7 2025 BMI Query'!$G:$G,'7 2025 BMI Query'!$E:$E,$B19,'7 2025 BMI Query'!$A:$A,$B9,'7 2025 BMI Query'!$C:$C,3)</f>
        <v>6964931.4000000004</v>
      </c>
      <c r="N19" s="244">
        <f>+M19+SUMIFS('7 2025 BMI Query'!$G:$G,'7 2025 BMI Query'!$E:$E,$B19,'7 2025 BMI Query'!$A:$A,$B9,'7 2025 BMI Query'!$C:$C,4)</f>
        <v>6964931.4000000004</v>
      </c>
      <c r="O19" s="244">
        <f>+N19+SUMIFS('7 2025 BMI Query'!$G:$G,'7 2025 BMI Query'!$E:$E,$B19,'7 2025 BMI Query'!$A:$A,$B9,'7 2025 BMI Query'!$C:$C,5)</f>
        <v>6964931.4000000004</v>
      </c>
      <c r="P19" s="244">
        <f>+O19+SUMIFS('7 2025 BMI Query'!$G:$G,'7 2025 BMI Query'!$E:$E,$B19,'7 2025 BMI Query'!$A:$A,$B9,'7 2025 BMI Query'!$C:$C,6)</f>
        <v>6881075.1200000001</v>
      </c>
      <c r="Q19" s="244">
        <f>+P19+SUMIFS('7 2025 BMI Query'!$G:$G,'7 2025 BMI Query'!$E:$E,$B19,'7 2025 BMI Query'!$A:$A,$B9,'7 2025 BMI Query'!$C:$C,7)</f>
        <v>6881075.1200000001</v>
      </c>
      <c r="R19" s="244">
        <f>+Q19+SUMIFS('7 2025 BMI Query'!$G:$G,'7 2025 BMI Query'!$E:$E,$B19,'7 2025 BMI Query'!$A:$A,$B9,'7 2025 BMI Query'!$C:$C,8)</f>
        <v>6825170.9299999997</v>
      </c>
      <c r="S19" s="244"/>
      <c r="T19" s="244"/>
      <c r="U19" s="244"/>
      <c r="V19" s="244"/>
      <c r="W19" s="244"/>
      <c r="X19" s="244"/>
    </row>
    <row r="20" spans="1:25" x14ac:dyDescent="0.25">
      <c r="A20" s="43" t="s">
        <v>109</v>
      </c>
      <c r="B20" s="238">
        <v>919081001</v>
      </c>
      <c r="C20" s="244">
        <f>+SUMIFS('6 2024 BMI Query'!$G:$G,'6 2024 BMI Query'!$E:$E,$B20,'6 2024 BMI Query'!$A:$A,$B9,'6 2024 BMI Query'!$C:$C,0)+SUMIFS('6 2024 BMI Query'!$G:$G,'6 2024 BMI Query'!$E:$E,$B20,'6 2024 BMI Query'!$A:$A,$B9,'6 2024 BMI Query'!$C:$C,1)+SUMIFS('6 2024 BMI Query'!$G:$G,'6 2024 BMI Query'!$E:$E,$B20,'6 2024 BMI Query'!$A:$A,$B9,'6 2024 BMI Query'!$C:$C,2)+SUMIFS('6 2024 BMI Query'!$G:$G,'6 2024 BMI Query'!$E:$E,$B20,'6 2024 BMI Query'!$A:$A,$B9,'6 2024 BMI Query'!$C:$C,3)</f>
        <v>55245634.719999999</v>
      </c>
      <c r="D20" s="244">
        <f>+C20+SUMIFS('6 2024 BMI Query'!$G:$G,'6 2024 BMI Query'!$E:$E,$B20,'6 2024 BMI Query'!$A:$A,$B9,'6 2024 BMI Query'!$C:$C,4)+SUMIFS('6 2024 BMI Query'!$G:$G,'6 2024 BMI Query'!$E:$E,$B20,'6 2024 BMI Query'!$A:$A,$B9,'6 2024 BMI Query'!$C:$C,5)+SUMIFS('6 2024 BMI Query'!$G:$G,'6 2024 BMI Query'!$E:$E,$B20,'6 2024 BMI Query'!$A:$A,$B9,'6 2024 BMI Query'!$C:$C,6)</f>
        <v>54195442.469999999</v>
      </c>
      <c r="E20" s="244">
        <f>+D20+SUMIFS('6 2024 BMI Query'!$G:$G,'6 2024 BMI Query'!$E:$E,$B20,'6 2024 BMI Query'!$A:$A,$B9,'6 2024 BMI Query'!$C:$C,7)</f>
        <v>53845378.379999995</v>
      </c>
      <c r="F20" s="244">
        <f>+E20+SUMIFS('6 2024 BMI Query'!$G:$G,'6 2024 BMI Query'!$E:$E,$B20,'6 2024 BMI Query'!$A:$A,$B9,'6 2024 BMI Query'!$C:$C,8)</f>
        <v>53495314.299999997</v>
      </c>
      <c r="G20" s="244">
        <f>+F20+SUMIFS('6 2024 BMI Query'!$G:$G,'6 2024 BMI Query'!$E:$E,$B20,'6 2024 BMI Query'!$A:$A,$B9,'6 2024 BMI Query'!$C:$C,9)</f>
        <v>53145250.209999993</v>
      </c>
      <c r="H20" s="244">
        <f>+G20+SUMIFS('6 2024 BMI Query'!$G:$G,'6 2024 BMI Query'!$E:$E,$B20,'6 2024 BMI Query'!$C:$C,10)</f>
        <v>52658530.719999991</v>
      </c>
      <c r="I20" s="244">
        <f>+H20+SUMIFS('6 2024 BMI Query'!$G:$G,'6 2024 BMI Query'!$E:$E,$B20,'6 2024 BMI Query'!$C:$C,11)</f>
        <v>52171811.209999993</v>
      </c>
      <c r="J20" s="244">
        <f>+I20+SUMIFS('6 2024 BMI Query'!$G:$G,'6 2024 BMI Query'!$E:$E,$B20,'6 2024 BMI Query'!$C:$C,12)</f>
        <v>51685091.709999993</v>
      </c>
      <c r="K20" s="244">
        <f>+SUMIFS('7 2025 BMI Query'!$G:$G,'7 2025 BMI Query'!$E:$E,$B20,'7 2025 BMI Query'!$A:$A,$B9,'7 2025 BMI Query'!$C:$C,0)+SUMIFS('7 2025 BMI Query'!$G:$G,'7 2025 BMI Query'!$E:$E,$B20,'7 2025 BMI Query'!$A:$A,$B9,'7 2025 BMI Query'!$C:$C,1)</f>
        <v>51744993.869999997</v>
      </c>
      <c r="L20" s="244">
        <f>+K20+SUMIFS('7 2025 BMI Query'!$G:$G,'7 2025 BMI Query'!$E:$E,$B20,'7 2025 BMI Query'!$A:$A,$B9,'7 2025 BMI Query'!$C:$C,2)</f>
        <v>51394929.789999999</v>
      </c>
      <c r="M20" s="244">
        <f>+L20+SUMIFS('7 2025 BMI Query'!$G:$G,'7 2025 BMI Query'!$E:$E,$B20,'7 2025 BMI Query'!$A:$A,$B9,'7 2025 BMI Query'!$C:$C,3)</f>
        <v>51044865.699999996</v>
      </c>
      <c r="N20" s="244">
        <f>+M20+SUMIFS('7 2025 BMI Query'!$G:$G,'7 2025 BMI Query'!$E:$E,$B20,'7 2025 BMI Query'!$A:$A,$B9,'7 2025 BMI Query'!$C:$C,4)</f>
        <v>50694801.619999997</v>
      </c>
      <c r="O20" s="244">
        <f>+N20+SUMIFS('7 2025 BMI Query'!$G:$G,'7 2025 BMI Query'!$E:$E,$B20,'7 2025 BMI Query'!$A:$A,$B9,'7 2025 BMI Query'!$C:$C,5)</f>
        <v>50344737.529999994</v>
      </c>
      <c r="P20" s="244">
        <f>+O20+SUMIFS('7 2025 BMI Query'!$G:$G,'7 2025 BMI Query'!$E:$E,$B20,'7 2025 BMI Query'!$A:$A,$B9,'7 2025 BMI Query'!$C:$C,6)</f>
        <v>49994673.449999996</v>
      </c>
      <c r="Q20" s="244">
        <f>+P20+SUMIFS('7 2025 BMI Query'!$G:$G,'7 2025 BMI Query'!$E:$E,$B20,'7 2025 BMI Query'!$A:$A,$B9,'7 2025 BMI Query'!$C:$C,7)</f>
        <v>49644609.359999992</v>
      </c>
      <c r="R20" s="244">
        <f>+Q20+SUMIFS('7 2025 BMI Query'!$G:$G,'7 2025 BMI Query'!$E:$E,$B20,'7 2025 BMI Query'!$A:$A,$B9,'7 2025 BMI Query'!$C:$C,8)</f>
        <v>49294545.279999994</v>
      </c>
      <c r="S20" s="244"/>
      <c r="T20" s="244"/>
      <c r="U20" s="244"/>
      <c r="V20" s="244"/>
      <c r="W20" s="244"/>
      <c r="X20" s="244"/>
    </row>
    <row r="21" spans="1:25" x14ac:dyDescent="0.25">
      <c r="A21" s="50" t="s">
        <v>112</v>
      </c>
      <c r="C21" s="244">
        <f>+C24+C25-SUM(C10:C20)</f>
        <v>10634770.959999964</v>
      </c>
      <c r="D21" s="244">
        <f t="shared" ref="D21:Q21" si="0">+D24+D25-SUM(D10:D20)</f>
        <v>9245699.8399999589</v>
      </c>
      <c r="E21" s="244">
        <f t="shared" si="0"/>
        <v>6311500.9399999678</v>
      </c>
      <c r="F21" s="244">
        <f t="shared" si="0"/>
        <v>7089881.3899999708</v>
      </c>
      <c r="G21" s="244">
        <f t="shared" si="0"/>
        <v>14248002.209999964</v>
      </c>
      <c r="H21" s="244">
        <f t="shared" si="0"/>
        <v>24926006.199999988</v>
      </c>
      <c r="I21" s="244">
        <f t="shared" si="0"/>
        <v>22691284.919999987</v>
      </c>
      <c r="J21" s="244">
        <f t="shared" si="0"/>
        <v>24095340.999999985</v>
      </c>
      <c r="K21" s="244">
        <f t="shared" si="0"/>
        <v>16490083.840000033</v>
      </c>
      <c r="L21" s="244">
        <f t="shared" si="0"/>
        <v>17046537.430000037</v>
      </c>
      <c r="M21" s="244">
        <f t="shared" si="0"/>
        <v>17690122.910000026</v>
      </c>
      <c r="N21" s="244">
        <f t="shared" si="0"/>
        <v>18095187.700000018</v>
      </c>
      <c r="O21" s="244">
        <f t="shared" si="0"/>
        <v>18498254.710000038</v>
      </c>
      <c r="P21" s="244">
        <f t="shared" si="0"/>
        <v>14113568.800000042</v>
      </c>
      <c r="Q21" s="244">
        <f t="shared" si="0"/>
        <v>14743534.50000006</v>
      </c>
      <c r="R21" s="244">
        <f>+R24+R25-SUM(R10:R20)-R22</f>
        <v>15472537.410000086</v>
      </c>
      <c r="S21" s="244"/>
      <c r="T21" s="244"/>
      <c r="U21" s="244"/>
      <c r="V21" s="244"/>
      <c r="W21" s="244"/>
      <c r="X21" s="244"/>
    </row>
    <row r="22" spans="1:25" x14ac:dyDescent="0.25">
      <c r="A22" s="245" t="s">
        <v>485</v>
      </c>
      <c r="B22" s="238" t="s">
        <v>486</v>
      </c>
      <c r="C22" s="244"/>
      <c r="D22" s="244"/>
      <c r="E22" s="244"/>
      <c r="F22" s="244"/>
      <c r="G22" s="244"/>
      <c r="H22" s="244"/>
      <c r="I22" s="244"/>
      <c r="J22" s="244"/>
      <c r="K22" s="244"/>
      <c r="L22" s="244"/>
      <c r="M22" s="244"/>
      <c r="N22" s="244"/>
      <c r="O22" s="244"/>
      <c r="P22" s="244"/>
      <c r="Q22" s="244"/>
      <c r="R22" s="246">
        <v>673751</v>
      </c>
      <c r="S22" s="244"/>
      <c r="T22" s="244"/>
      <c r="U22" s="244"/>
      <c r="V22" s="244"/>
      <c r="W22" s="244"/>
      <c r="X22" s="244"/>
    </row>
    <row r="23" spans="1:25" x14ac:dyDescent="0.25">
      <c r="A23" s="50" t="s">
        <v>487</v>
      </c>
      <c r="C23" s="247">
        <f>SUM(C9:C22)</f>
        <v>125103999.24999997</v>
      </c>
      <c r="D23" s="247">
        <f t="shared" ref="D23:R23" si="1">SUM(D9:D22)</f>
        <v>127569548.48999996</v>
      </c>
      <c r="E23" s="247">
        <f t="shared" si="1"/>
        <v>125372568.84999996</v>
      </c>
      <c r="F23" s="247">
        <f t="shared" si="1"/>
        <v>127261124.77999997</v>
      </c>
      <c r="G23" s="247">
        <f t="shared" si="1"/>
        <v>140321362.77999997</v>
      </c>
      <c r="H23" s="247">
        <f t="shared" si="1"/>
        <v>133872765.54999998</v>
      </c>
      <c r="I23" s="247">
        <f t="shared" si="1"/>
        <v>133016128.17999998</v>
      </c>
      <c r="J23" s="247">
        <f t="shared" si="1"/>
        <v>133267665.37999998</v>
      </c>
      <c r="K23" s="247">
        <f t="shared" si="1"/>
        <v>131911831.88000003</v>
      </c>
      <c r="L23" s="247">
        <f t="shared" si="1"/>
        <v>131360325.71000004</v>
      </c>
      <c r="M23" s="247">
        <f t="shared" si="1"/>
        <v>141318407.54000002</v>
      </c>
      <c r="N23" s="247">
        <f t="shared" si="1"/>
        <v>138526500.69000003</v>
      </c>
      <c r="O23" s="247">
        <f t="shared" si="1"/>
        <v>140282813.85000002</v>
      </c>
      <c r="P23" s="247">
        <f t="shared" si="1"/>
        <v>142665930.11000004</v>
      </c>
      <c r="Q23" s="247">
        <f t="shared" ref="Q23" si="2">SUM(Q9:Q22)</f>
        <v>139474563.74000007</v>
      </c>
      <c r="R23" s="247">
        <f t="shared" si="1"/>
        <v>140923040.98000008</v>
      </c>
      <c r="S23" s="247">
        <f t="shared" ref="S23" si="3">SUM(S9:S22)</f>
        <v>0</v>
      </c>
      <c r="T23" s="247">
        <f t="shared" ref="T23" si="4">SUM(T9:T22)</f>
        <v>0</v>
      </c>
      <c r="U23" s="247">
        <f t="shared" ref="U23" si="5">SUM(U9:U22)</f>
        <v>0</v>
      </c>
      <c r="V23" s="247">
        <f t="shared" ref="V23" si="6">SUM(V9:V22)</f>
        <v>0</v>
      </c>
      <c r="W23" s="247">
        <f t="shared" ref="W23" si="7">SUM(W9:W22)</f>
        <v>0</v>
      </c>
      <c r="X23" s="247">
        <f t="shared" ref="X23" si="8">SUM(X9:X22)</f>
        <v>0</v>
      </c>
    </row>
    <row r="24" spans="1:25" x14ac:dyDescent="0.25">
      <c r="A24" s="245" t="s">
        <v>488</v>
      </c>
      <c r="B24" s="238">
        <v>19011</v>
      </c>
      <c r="C24" s="248">
        <f>SUMIFS('6 2024 BMI Query'!$G:$G,'6 2024 BMI Query'!$D:$D,$B24,'6 2024 BMI Query'!$A:$A,$B9,'6 2024 BMI Query'!$C:$C,0)+SUMIFS('6 2024 BMI Query'!$G:$G,'6 2024 BMI Query'!$D:$D,$B24,'6 2024 BMI Query'!$A:$A,$B9,'6 2024 BMI Query'!$C:$C,1)+SUMIFS('6 2024 BMI Query'!$G:$G,'6 2024 BMI Query'!$D:$D,$B24,'6 2024 BMI Query'!$A:$A,$B9,'6 2024 BMI Query'!$C:$C,2)+SUMIFS('6 2024 BMI Query'!$G:$G,'6 2024 BMI Query'!$D:$D,$B24,'6 2024 BMI Query'!$A:$A,$B9,'6 2024 BMI Query'!$C:$C,3)</f>
        <v>125008331.44999997</v>
      </c>
      <c r="D24" s="248">
        <f>+C24+SUMIFS('6 2024 BMI Query'!$G:$G,'6 2024 BMI Query'!$D:$D,$B24,'6 2024 BMI Query'!$A:$A,$B9,'6 2024 BMI Query'!$C:$C,4)+SUMIFS('6 2024 BMI Query'!$G:$G,'6 2024 BMI Query'!$D:$D,$B24,'6 2024 BMI Query'!$A:$A,$B9,'6 2024 BMI Query'!$C:$C,5)+SUMIFS('6 2024 BMI Query'!$G:$G,'6 2024 BMI Query'!$D:$D,$B24,'6 2024 BMI Query'!$A:$A,$B9,'6 2024 BMI Query'!$C:$C,6)</f>
        <v>127586580.32999997</v>
      </c>
      <c r="E24" s="248">
        <f>+D24+SUMIFS('6 2024 BMI Query'!$G:$G,'6 2024 BMI Query'!$D:$D,$B24,'6 2024 BMI Query'!$A:$A,$B9,'6 2024 BMI Query'!$C:$C,7)</f>
        <v>125389600.68999997</v>
      </c>
      <c r="F24" s="248">
        <f>+E24+SUMIFS('6 2024 BMI Query'!$G:$G,'6 2024 BMI Query'!$D:$D,$B24,'6 2024 BMI Query'!$A:$A,$B9,'6 2024 BMI Query'!$C:$C,8)</f>
        <v>127278156.61999997</v>
      </c>
      <c r="G24" s="248">
        <f>+F24+SUMIFS('6 2024 BMI Query'!$G:$G,'6 2024 BMI Query'!$D:$D,$B24,'6 2024 BMI Query'!$A:$A,$B9,'6 2024 BMI Query'!$C:$C,9)</f>
        <v>140338394.61999997</v>
      </c>
      <c r="H24" s="248">
        <f>+G24+SUMIFS('6 2024 BMI Query'!$G:$G,'6 2024 BMI Query'!$D:$D,$B24,'6 2024 BMI Query'!$A:$A,$B9,'6 2024 BMI Query'!$C:$C,10)</f>
        <v>133624208.70999998</v>
      </c>
      <c r="I24" s="248">
        <f>+H24+SUMIFS('6 2024 BMI Query'!$G:$G,'6 2024 BMI Query'!$D:$D,$B24,'6 2024 BMI Query'!$A:$A,$B9,'6 2024 BMI Query'!$C:$C,11)</f>
        <v>132767571.33999997</v>
      </c>
      <c r="J24" s="248">
        <f>+I24+SUMIFS('6 2024 BMI Query'!$G:$G,'6 2024 BMI Query'!$D:$D,$B24,'6 2024 BMI Query'!$A:$A,$B9,'6 2024 BMI Query'!$C:$C,12)</f>
        <v>133019108.53999998</v>
      </c>
      <c r="K24" s="248">
        <f>SUMIFS('7 2025 BMI Query'!$G:$G,'7 2025 BMI Query'!$D:$D,$B24,'7 2025 BMI Query'!$A:$A,$B9,'7 2025 BMI Query'!$C:$C,0)+SUMIFS('7 2025 BMI Query'!$G:$G,'7 2025 BMI Query'!$D:$D,$B24,'7 2025 BMI Query'!$A:$A,$B9,'7 2025 BMI Query'!$C:$C,1)</f>
        <v>131673452.10000002</v>
      </c>
      <c r="L24" s="248">
        <f>+K24+SUMIFS('7 2025 BMI Query'!$G:$G,'7 2025 BMI Query'!$D:$D,$B24,'7 2025 BMI Query'!$A:$A,$B9,'7 2025 BMI Query'!$C:$C,2)</f>
        <v>131141182.03000003</v>
      </c>
      <c r="M24" s="248">
        <f>+L24+SUMIFS('7 2025 BMI Query'!$G:$G,'7 2025 BMI Query'!$D:$D,$B24,'7 2025 BMI Query'!$A:$A,$B9,'7 2025 BMI Query'!$C:$C,3)</f>
        <v>141020212.56000003</v>
      </c>
      <c r="N24" s="248">
        <f>+M24+SUMIFS('7 2025 BMI Query'!$G:$G,'7 2025 BMI Query'!$D:$D,$B24,'7 2025 BMI Query'!$A:$A,$B9,'7 2025 BMI Query'!$C:$C,4)</f>
        <v>138235234.00000003</v>
      </c>
      <c r="O24" s="248">
        <f>+N24+SUMIFS('7 2025 BMI Query'!$G:$G,'7 2025 BMI Query'!$D:$D,$B24,'7 2025 BMI Query'!$A:$A,$B9,'7 2025 BMI Query'!$C:$C,5)</f>
        <v>140001142.21000004</v>
      </c>
      <c r="P24" s="248">
        <f>+O24+SUMIFS('7 2025 BMI Query'!$G:$G,'7 2025 BMI Query'!$D:$D,$B24,'7 2025 BMI Query'!$A:$A,$B9,'7 2025 BMI Query'!$C:$C,6)</f>
        <v>142404749.04000005</v>
      </c>
      <c r="Q24" s="248">
        <f>+P24+SUMIFS('7 2025 BMI Query'!$G:$G,'7 2025 BMI Query'!$D:$D,$B24,'7 2025 BMI Query'!$A:$A,$B9,'7 2025 BMI Query'!$C:$C,7)</f>
        <v>139221915.09000006</v>
      </c>
      <c r="R24" s="248">
        <f>+Q24+SUMIFS('7 2025 BMI Query'!$G:$G,'7 2025 BMI Query'!$D:$D,$B24,'7 2025 BMI Query'!$A:$A,$B9,'7 2025 BMI Query'!$C:$C,8)+R22</f>
        <v>140670355.33000007</v>
      </c>
      <c r="S24" s="248"/>
      <c r="T24" s="248"/>
      <c r="U24" s="248"/>
      <c r="V24" s="248"/>
      <c r="W24" s="248"/>
      <c r="X24" s="248"/>
    </row>
    <row r="25" spans="1:25" x14ac:dyDescent="0.25">
      <c r="A25" s="245" t="s">
        <v>340</v>
      </c>
      <c r="B25" s="238">
        <v>19011</v>
      </c>
      <c r="C25" s="248">
        <f>SUMIFS('6 2024 BMI Query'!$G:$G,'6 2024 BMI Query'!$D:$D,$B25,'6 2024 BMI Query'!$A:$A,75002,'6 2024 BMI Query'!$C:$C,0)+SUMIFS('6 2024 BMI Query'!$G:$G,'6 2024 BMI Query'!$D:$D,$B25,'6 2024 BMI Query'!$A:$A,75002,'6 2024 BMI Query'!$C:$C,1)+SUMIFS('6 2024 BMI Query'!$G:$G,'6 2024 BMI Query'!$D:$D,$B25,'6 2024 BMI Query'!$A:$A,75002,'6 2024 BMI Query'!$C:$C,2)+SUMIFS('6 2024 BMI Query'!$G:$G,'6 2024 BMI Query'!$D:$D,$B25,'6 2024 BMI Query'!$A:$A,75002,'6 2024 BMI Query'!$C:$C,3)</f>
        <v>95667.800000000017</v>
      </c>
      <c r="D25" s="248">
        <f>+C25+SUMIFS('6 2024 BMI Query'!$G:$G,'6 2024 BMI Query'!$D:$D,$B25,'6 2024 BMI Query'!$A:$A,75002,'6 2024 BMI Query'!$C:$C,4)+SUMIFS('6 2024 BMI Query'!$G:$G,'6 2024 BMI Query'!$D:$D,$B25,'6 2024 BMI Query'!$A:$A,75002,'6 2024 BMI Query'!$C:$C,5)+SUMIFS('6 2024 BMI Query'!$G:$G,'6 2024 BMI Query'!$D:$D,$B25,'6 2024 BMI Query'!$A:$A,75002,'6 2024 BMI Query'!$C:$C,6)</f>
        <v>-17031.839999999982</v>
      </c>
      <c r="E25" s="248">
        <f>+D25+SUMIFS('6 2024 BMI Query'!$G:$G,'6 2024 BMI Query'!$D:$D,$B25,'6 2024 BMI Query'!$A:$A,75002,'6 2024 BMI Query'!$C:$C,7)</f>
        <v>-17031.839999999982</v>
      </c>
      <c r="F25" s="248">
        <f>+E25+SUMIFS('6 2024 BMI Query'!$G:$G,'6 2024 BMI Query'!$D:$D,$B25,'6 2024 BMI Query'!$A:$A,75002,'6 2024 BMI Query'!$C:$C,8)</f>
        <v>-17031.839999999982</v>
      </c>
      <c r="G25" s="248">
        <f>+F25+SUMIFS('6 2024 BMI Query'!$G:$G,'6 2024 BMI Query'!$D:$D,$B25,'6 2024 BMI Query'!$A:$A,75002,'6 2024 BMI Query'!$C:$C,9)</f>
        <v>-17031.839999999982</v>
      </c>
      <c r="H25" s="248">
        <f>+G25+SUMIFS('6 2024 BMI Query'!$G:$G,'6 2024 BMI Query'!$D:$D,$B25,'6 2024 BMI Query'!$A:$A,75002,'6 2024 BMI Query'!$C:$C,10)</f>
        <v>248556.84000000003</v>
      </c>
      <c r="I25" s="248">
        <f>+H25+SUMIFS('6 2024 BMI Query'!$G:$G,'6 2024 BMI Query'!$D:$D,$B25,'6 2024 BMI Query'!$A:$A,75002,'6 2024 BMI Query'!$C:$C,11)</f>
        <v>248556.84000000003</v>
      </c>
      <c r="J25" s="248">
        <f>+I25+SUMIFS('6 2024 BMI Query'!$G:$G,'6 2024 BMI Query'!$D:$D,$B25,'6 2024 BMI Query'!$A:$A,75002,'6 2024 BMI Query'!$C:$C,12)</f>
        <v>248556.84000000003</v>
      </c>
      <c r="K25" s="248">
        <f>SUMIFS('7 2025 BMI Query'!$G:$G,'7 2025 BMI Query'!$D:$D,$B25,'7 2025 BMI Query'!$A:$A,75002,'7 2025 BMI Query'!$C:$C,0)+SUMIFS('7 2025 BMI Query'!$G:$G,'7 2025 BMI Query'!$D:$D,$B25,'7 2025 BMI Query'!$A:$A,75002,'7 2025 BMI Query'!$C:$C,1)</f>
        <v>238379.78</v>
      </c>
      <c r="L25" s="248">
        <f>+K25+SUMIFS('7 2025 BMI Query'!$G:$G,'7 2025 BMI Query'!$D:$D,$B25,'7 2025 BMI Query'!$A:$A,75002,'7 2025 BMI Query'!$C:$C,2)</f>
        <v>219143.67999999999</v>
      </c>
      <c r="M25" s="248">
        <f>+L25+SUMIFS('7 2025 BMI Query'!$G:$G,'7 2025 BMI Query'!$D:$D,$B25,'7 2025 BMI Query'!$A:$A,75002,'7 2025 BMI Query'!$C:$C,3)</f>
        <v>298194.98</v>
      </c>
      <c r="N25" s="248">
        <f>+M25+SUMIFS('7 2025 BMI Query'!$G:$G,'7 2025 BMI Query'!$D:$D,$B25,'7 2025 BMI Query'!$A:$A,75002,'7 2025 BMI Query'!$C:$C,4)</f>
        <v>291266.69</v>
      </c>
      <c r="O25" s="248">
        <f>+N25+SUMIFS('7 2025 BMI Query'!$G:$G,'7 2025 BMI Query'!$D:$D,$B25,'7 2025 BMI Query'!$A:$A,75002,'7 2025 BMI Query'!$C:$C,5)</f>
        <v>281671.64</v>
      </c>
      <c r="P25" s="248">
        <f>+O25+SUMIFS('7 2025 BMI Query'!$G:$G,'7 2025 BMI Query'!$D:$D,$B25,'7 2025 BMI Query'!$A:$A,75002,'7 2025 BMI Query'!$C:$C,6)</f>
        <v>261181.07</v>
      </c>
      <c r="Q25" s="248">
        <f>+P25+SUMIFS('7 2025 BMI Query'!$G:$G,'7 2025 BMI Query'!$D:$D,$B25,'7 2025 BMI Query'!$A:$A,75002,'7 2025 BMI Query'!$C:$C,7)</f>
        <v>252648.65</v>
      </c>
      <c r="R25" s="248">
        <f>+Q25+SUMIFS('7 2025 BMI Query'!$G:$G,'7 2025 BMI Query'!$D:$D,$B25,'7 2025 BMI Query'!$A:$A,$B10,'7 2025 BMI Query'!$C:$C,8)+37</f>
        <v>252685.65</v>
      </c>
      <c r="S25" s="248"/>
      <c r="T25" s="248"/>
      <c r="U25" s="248"/>
      <c r="V25" s="248"/>
      <c r="W25" s="248"/>
      <c r="X25" s="248"/>
    </row>
    <row r="26" spans="1:25" ht="16.5" thickBot="1" x14ac:dyDescent="0.3">
      <c r="A26" s="245"/>
      <c r="C26" s="249">
        <f>SUM(C24:C25)</f>
        <v>125103999.24999997</v>
      </c>
      <c r="D26" s="249">
        <f t="shared" ref="D26:R26" si="9">SUM(D24:D25)</f>
        <v>127569548.48999996</v>
      </c>
      <c r="E26" s="249">
        <f t="shared" si="9"/>
        <v>125372568.84999996</v>
      </c>
      <c r="F26" s="249">
        <f t="shared" si="9"/>
        <v>127261124.77999997</v>
      </c>
      <c r="G26" s="249">
        <f t="shared" si="9"/>
        <v>140321362.77999997</v>
      </c>
      <c r="H26" s="249">
        <f t="shared" si="9"/>
        <v>133872765.54999998</v>
      </c>
      <c r="I26" s="249">
        <f t="shared" si="9"/>
        <v>133016128.17999998</v>
      </c>
      <c r="J26" s="249">
        <f t="shared" si="9"/>
        <v>133267665.37999998</v>
      </c>
      <c r="K26" s="249">
        <f t="shared" si="9"/>
        <v>131911831.88000003</v>
      </c>
      <c r="L26" s="249">
        <f t="shared" si="9"/>
        <v>131360325.71000004</v>
      </c>
      <c r="M26" s="249">
        <f t="shared" si="9"/>
        <v>141318407.54000002</v>
      </c>
      <c r="N26" s="249">
        <f t="shared" si="9"/>
        <v>138526500.69000003</v>
      </c>
      <c r="O26" s="249">
        <f t="shared" si="9"/>
        <v>140282813.85000002</v>
      </c>
      <c r="P26" s="249">
        <f t="shared" si="9"/>
        <v>142665930.11000004</v>
      </c>
      <c r="Q26" s="249">
        <f t="shared" si="9"/>
        <v>139474563.74000007</v>
      </c>
      <c r="R26" s="249">
        <f t="shared" si="9"/>
        <v>140923040.98000008</v>
      </c>
      <c r="S26" s="249">
        <f t="shared" ref="S26" si="10">SUM(S24:S25)</f>
        <v>0</v>
      </c>
      <c r="T26" s="249">
        <f t="shared" ref="T26" si="11">SUM(T24:T25)</f>
        <v>0</v>
      </c>
      <c r="U26" s="249">
        <f t="shared" ref="U26" si="12">SUM(U24:U25)</f>
        <v>0</v>
      </c>
      <c r="V26" s="249">
        <f t="shared" ref="V26" si="13">SUM(V24:V25)</f>
        <v>0</v>
      </c>
      <c r="W26" s="249">
        <f t="shared" ref="W26" si="14">SUM(W24:W25)</f>
        <v>0</v>
      </c>
      <c r="X26" s="249">
        <f t="shared" ref="X26" si="15">SUM(X24:X25)</f>
        <v>0</v>
      </c>
    </row>
    <row r="27" spans="1:25" ht="16.5" thickTop="1" x14ac:dyDescent="0.25">
      <c r="A27" s="50"/>
      <c r="C27" s="250"/>
      <c r="D27" s="250"/>
      <c r="E27" s="250"/>
      <c r="F27" s="250"/>
      <c r="G27" s="250"/>
      <c r="H27" s="250"/>
      <c r="I27" s="250"/>
      <c r="J27" s="250"/>
      <c r="K27" s="250"/>
      <c r="L27" s="250"/>
      <c r="M27" s="250"/>
      <c r="N27" s="250"/>
      <c r="O27" s="250"/>
      <c r="P27" s="250"/>
      <c r="Q27" s="250"/>
      <c r="R27" s="250"/>
      <c r="S27" s="250"/>
      <c r="T27" s="250"/>
      <c r="U27" s="250"/>
      <c r="V27" s="250"/>
      <c r="W27" s="250"/>
      <c r="X27" s="250"/>
    </row>
    <row r="28" spans="1:25" x14ac:dyDescent="0.25">
      <c r="A28" s="50"/>
    </row>
    <row r="29" spans="1:25" x14ac:dyDescent="0.25">
      <c r="A29" s="50" t="s">
        <v>96</v>
      </c>
      <c r="B29" s="238">
        <v>28211</v>
      </c>
      <c r="C29" s="244">
        <f>+C34-SUM(C30:C31)</f>
        <v>-98218867.629999995</v>
      </c>
      <c r="D29" s="244">
        <f t="shared" ref="D29:P29" si="16">+D34-SUM(D30:D31)</f>
        <v>-101415213.39</v>
      </c>
      <c r="E29" s="244">
        <f t="shared" si="16"/>
        <v>-102379214.88999999</v>
      </c>
      <c r="F29" s="244">
        <f t="shared" si="16"/>
        <v>-103167205.36999999</v>
      </c>
      <c r="G29" s="244">
        <f t="shared" si="16"/>
        <v>-104986932.30999997</v>
      </c>
      <c r="H29" s="244">
        <f t="shared" ref="H29:I29" si="17">+H34-SUM(H30:H31)</f>
        <v>-103422778.19999999</v>
      </c>
      <c r="I29" s="244">
        <f t="shared" si="17"/>
        <v>-104257624.73999998</v>
      </c>
      <c r="J29" s="244">
        <f t="shared" ref="J29" si="18">+J34-SUM(J30:J31)</f>
        <v>-104932573.63999999</v>
      </c>
      <c r="K29" s="244">
        <f t="shared" si="16"/>
        <v>-106785297.95999998</v>
      </c>
      <c r="L29" s="244">
        <f t="shared" si="16"/>
        <v>-108012010.16999999</v>
      </c>
      <c r="M29" s="244">
        <f t="shared" si="16"/>
        <v>-109391538.71999998</v>
      </c>
      <c r="N29" s="244">
        <f t="shared" si="16"/>
        <v>-112123357.53</v>
      </c>
      <c r="O29" s="244">
        <f t="shared" si="16"/>
        <v>-113859468.71999997</v>
      </c>
      <c r="P29" s="244">
        <f t="shared" si="16"/>
        <v>-113676158.69999996</v>
      </c>
      <c r="Q29" s="244">
        <f t="shared" ref="Q29:R29" si="19">+Q34-SUM(Q30:Q31)</f>
        <v>-115875167.97999996</v>
      </c>
      <c r="R29" s="244">
        <f t="shared" si="19"/>
        <v>-118213872.07999995</v>
      </c>
      <c r="S29" s="244"/>
      <c r="T29" s="244"/>
      <c r="U29" s="244"/>
      <c r="V29" s="244"/>
      <c r="W29" s="244"/>
      <c r="X29" s="244"/>
    </row>
    <row r="30" spans="1:25" x14ac:dyDescent="0.25">
      <c r="A30" s="50" t="s">
        <v>116</v>
      </c>
      <c r="B30" s="238">
        <v>928290001</v>
      </c>
      <c r="C30" s="244">
        <f>+SUMIFS('6 2024 BMI Query'!$G:$G,'6 2024 BMI Query'!$E:$E,$B30,'6 2024 BMI Query'!$A:$A,$B9,'6 2024 BMI Query'!$C:$C,0)+SUMIFS('6 2024 BMI Query'!$G:$G,'6 2024 BMI Query'!$E:$E,$B30,'6 2024 BMI Query'!$A:$A,$B9,'6 2024 BMI Query'!$C:$C,1)+SUMIFS('6 2024 BMI Query'!$G:$G,'6 2024 BMI Query'!$E:$E,$B30,'6 2024 BMI Query'!$A:$A,$B9,'6 2024 BMI Query'!$C:$C,2)+SUMIFS('6 2024 BMI Query'!$G:$G,'6 2024 BMI Query'!$E:$E,$B30,'6 2024 BMI Query'!$A:$A,$B9,'6 2024 BMI Query'!$C:$C,3)</f>
        <v>1691.4899999999998</v>
      </c>
      <c r="D30" s="244">
        <f>+C30+SUMIFS('6 2024 BMI Query'!$G:$G,'6 2024 BMI Query'!$E:$E,$B30,'6 2024 BMI Query'!$A:$A,$B9,'6 2024 BMI Query'!$C:$C,4)+SUMIFS('6 2024 BMI Query'!$G:$G,'6 2024 BMI Query'!$E:$E,$B30,'6 2024 BMI Query'!$A:$A,$B9,'6 2024 BMI Query'!$C:$C,5)+SUMIFS('6 2024 BMI Query'!$G:$G,'6 2024 BMI Query'!$E:$E,$B30,'6 2024 BMI Query'!$A:$A,$B9,'6 2024 BMI Query'!$C:$C,6)</f>
        <v>2097.37</v>
      </c>
      <c r="E30" s="244">
        <f>+D30+SUMIFS('6 2024 BMI Query'!$G:$G,'6 2024 BMI Query'!$E:$E,$B30,'6 2024 BMI Query'!$A:$A,$B9,'6 2024 BMI Query'!$C:$C,7)</f>
        <v>2232.66</v>
      </c>
      <c r="F30" s="244">
        <f>+E30+SUMIFS('6 2024 BMI Query'!$G:$G,'6 2024 BMI Query'!$E:$E,$B30,'6 2024 BMI Query'!$A:$A,$B9,'6 2024 BMI Query'!$C:$C,8)</f>
        <v>2367.9499999999998</v>
      </c>
      <c r="G30" s="244">
        <f>+F30+SUMIFS('6 2024 BMI Query'!$G:$G,'6 2024 BMI Query'!$E:$E,$B30,'6 2024 BMI Query'!$A:$A,$B9,'6 2024 BMI Query'!$C:$C,9)</f>
        <v>2503.2399999999998</v>
      </c>
      <c r="H30" s="244">
        <f>+G30+SUMIFS('6 2024 BMI Query'!$G:$G,'6 2024 BMI Query'!$E:$E,$B30,'6 2024 BMI Query'!$A:$A,$B9,'6 2024 BMI Query'!$C:$C,10)</f>
        <v>1352.9299999999998</v>
      </c>
      <c r="I30" s="244">
        <f>+H30+SUMIFS('6 2024 BMI Query'!$G:$G,'6 2024 BMI Query'!$E:$E,$B30,'6 2024 BMI Query'!$A:$A,$B9,'6 2024 BMI Query'!$C:$C,11)</f>
        <v>1488.2199999999998</v>
      </c>
      <c r="J30" s="244">
        <f>+I30+SUMIFS('6 2024 BMI Query'!$G:$G,'6 2024 BMI Query'!$E:$E,$B30,'6 2024 BMI Query'!$A:$A,$B9,'6 2024 BMI Query'!$C:$C,12)</f>
        <v>1623.5099999999998</v>
      </c>
      <c r="K30" s="244">
        <f>+SUMIFS('7 2025 BMI Query'!$G:$G,'7 2025 BMI Query'!$E:$E,$B30,'7 2025 BMI Query'!$A:$A,$B9,'7 2025 BMI Query'!$C:$C,0)+SUMIFS('7 2025 BMI Query'!$G:$G,'7 2025 BMI Query'!$E:$E,$B30,'7 2025 BMI Query'!$A:$A,$B9,'7 2025 BMI Query'!$C:$C,1)</f>
        <v>1758.8</v>
      </c>
      <c r="L30" s="244">
        <f>+K30+SUMIFS('7 2025 BMI Query'!$G:$G,'7 2025 BMI Query'!$E:$E,$B30,'7 2025 BMI Query'!$A:$A,$B9,'7 2025 BMI Query'!$C:$C,2)</f>
        <v>1894.1</v>
      </c>
      <c r="M30" s="244">
        <f>+L30+SUMIFS('7 2025 BMI Query'!$G:$G,'7 2025 BMI Query'!$E:$E,$B30,'7 2025 BMI Query'!$A:$A,$B9,'7 2025 BMI Query'!$C:$C,3)</f>
        <v>2029.3899999999999</v>
      </c>
      <c r="N30" s="244">
        <f>+M30+SUMIFS('7 2025 BMI Query'!$G:$G,'7 2025 BMI Query'!$E:$E,$B30,'7 2025 BMI Query'!$A:$A,$B9,'7 2025 BMI Query'!$C:$C,4)</f>
        <v>2164.6799999999998</v>
      </c>
      <c r="O30" s="244">
        <f>+N30+SUMIFS('7 2025 BMI Query'!$G:$G,'7 2025 BMI Query'!$E:$E,$B30,'7 2025 BMI Query'!$A:$A,$B9,'7 2025 BMI Query'!$C:$C,5)</f>
        <v>2299.9699999999998</v>
      </c>
      <c r="P30" s="244">
        <f>+O30+SUMIFS('7 2025 BMI Query'!$G:$G,'7 2025 BMI Query'!$E:$E,$B30,'7 2025 BMI Query'!$A:$A,$B9,'7 2025 BMI Query'!$C:$C,6)</f>
        <v>2435.27</v>
      </c>
      <c r="Q30" s="244">
        <f>+P30+SUMIFS('7 2025 BMI Query'!$G:$G,'7 2025 BMI Query'!$E:$E,$B30,'7 2025 BMI Query'!$A:$A,$B9,'7 2025 BMI Query'!$C:$C,7)</f>
        <v>2570.56</v>
      </c>
      <c r="R30" s="244">
        <f>+Q30+SUMIFS('7 2025 BMI Query'!$G:$G,'7 2025 BMI Query'!$E:$E,$B30,'7 2025 BMI Query'!$A:$A,$B9,'7 2025 BMI Query'!$C:$C,8)</f>
        <v>2705.85</v>
      </c>
      <c r="S30" s="244"/>
      <c r="T30" s="244"/>
      <c r="U30" s="244"/>
      <c r="V30" s="244"/>
      <c r="W30" s="244"/>
      <c r="X30" s="244"/>
    </row>
    <row r="31" spans="1:25" x14ac:dyDescent="0.25">
      <c r="A31" s="50" t="s">
        <v>489</v>
      </c>
      <c r="B31" s="238">
        <v>928201101</v>
      </c>
      <c r="C31" s="244">
        <f>+SUMIFS('6 2024 BMI Query'!$G:$G,'6 2024 BMI Query'!$E:$E,$B31,'6 2024 BMI Query'!$C:$C,0)+SUMIFS('6 2024 BMI Query'!$G:$G,'6 2024 BMI Query'!$E:$E,$B31,'6 2024 BMI Query'!$C:$C,1)+SUMIFS('6 2024 BMI Query'!$G:$G,'6 2024 BMI Query'!$E:$E,$B31,'6 2024 BMI Query'!$C:$C,2)+SUMIFS('6 2024 BMI Query'!$G:$G,'6 2024 BMI Query'!$E:$E,$B31,'6 2024 BMI Query'!$C:$C,3)</f>
        <v>78256496.849999994</v>
      </c>
      <c r="D31" s="244">
        <f>+C31+SUMIFS('6 2024 BMI Query'!$G:$G,'6 2024 BMI Query'!$E:$E,$B31,'6 2024 BMI Query'!$C:$C,4)+SUMIFS('6 2024 BMI Query'!$G:$G,'6 2024 BMI Query'!$E:$E,$B31,'6 2024 BMI Query'!$C:$C,5)+SUMIFS('6 2024 BMI Query'!$G:$G,'6 2024 BMI Query'!$E:$E,$B31,'6 2024 BMI Query'!$C:$C,6)</f>
        <v>77603967.829999983</v>
      </c>
      <c r="E31" s="244">
        <f>+D31+SUMIFS('6 2024 BMI Query'!$G:$G,'6 2024 BMI Query'!$E:$E,$B31,'6 2024 BMI Query'!$C:$C,7)</f>
        <v>77358310.12999998</v>
      </c>
      <c r="F31" s="244">
        <f>+E31+SUMIFS('6 2024 BMI Query'!$G:$G,'6 2024 BMI Query'!$E:$E,$B31,'6 2024 BMI Query'!$C:$C,8)</f>
        <v>77146575.119999975</v>
      </c>
      <c r="G31" s="244">
        <f>+F31+SUMIFS('6 2024 BMI Query'!$G:$G,'6 2024 BMI Query'!$E:$E,$B31,'6 2024 BMI Query'!$C:$C,9)</f>
        <v>76904372.199999973</v>
      </c>
      <c r="H31" s="244">
        <f>+G31+SUMIFS('6 2024 BMI Query'!$G:$G,'6 2024 BMI Query'!$E:$E,$B31,'6 2024 BMI Query'!$C:$C,10)</f>
        <v>76669865.799999967</v>
      </c>
      <c r="I31" s="244">
        <f>+H31+SUMIFS('6 2024 BMI Query'!$G:$G,'6 2024 BMI Query'!$E:$E,$B31,'6 2024 BMI Query'!$C:$C,11)</f>
        <v>76428428.529999971</v>
      </c>
      <c r="J31" s="244">
        <f>+I31+SUMIFS('6 2024 BMI Query'!$G:$G,'6 2024 BMI Query'!$E:$E,$B31,'6 2024 BMI Query'!$C:$C,12)</f>
        <v>76392616.35999997</v>
      </c>
      <c r="K31" s="244">
        <f>+SUMIFS('7 2025 BMI Query'!$G:$G,'7 2025 BMI Query'!$E:$E,$B31,'7 2025 BMI Query'!$C:$C,0)+SUMIFS('7 2025 BMI Query'!$G:$G,'7 2025 BMI Query'!$E:$E,$B31,'7 2025 BMI Query'!$C:$C,1)</f>
        <v>76127464.629999995</v>
      </c>
      <c r="L31" s="244">
        <f>+K31+SUMIFS('7 2025 BMI Query'!$G:$G,'7 2025 BMI Query'!$E:$E,$B31,'7 2025 BMI Query'!$C:$C,2)</f>
        <v>75837042.049999997</v>
      </c>
      <c r="M31" s="244">
        <f>+L31+SUMIFS('7 2025 BMI Query'!$G:$G,'7 2025 BMI Query'!$E:$E,$B31,'7 2025 BMI Query'!$C:$C,3)</f>
        <v>75861909.129999995</v>
      </c>
      <c r="N31" s="244">
        <f>+M31+SUMIFS('7 2025 BMI Query'!$G:$G,'7 2025 BMI Query'!$E:$E,$B31,'7 2025 BMI Query'!$C:$C,4)</f>
        <v>75610338.289999992</v>
      </c>
      <c r="O31" s="244">
        <f>+N31+SUMIFS('7 2025 BMI Query'!$G:$G,'7 2025 BMI Query'!$E:$E,$B31,'7 2025 BMI Query'!$C:$C,5)</f>
        <v>75352469.359999985</v>
      </c>
      <c r="P31" s="244">
        <f>+O31+SUMIFS('7 2025 BMI Query'!$G:$G,'7 2025 BMI Query'!$E:$E,$B31,'7 2025 BMI Query'!$C:$C,6)</f>
        <v>73294013.929999977</v>
      </c>
      <c r="Q31" s="244">
        <f>+P31+SUMIFS('7 2025 BMI Query'!$G:$G,'7 2025 BMI Query'!$E:$E,$B31,'7 2025 BMI Query'!$C:$C,7)</f>
        <v>72998843.49999997</v>
      </c>
      <c r="R31" s="244">
        <f>+Q31+SUMIFS('7 2025 BMI Query'!$G:$G,'7 2025 BMI Query'!$E:$E,$B31,'7 2025 BMI Query'!$C:$C,8)</f>
        <v>72688353.439999968</v>
      </c>
      <c r="S31" s="244"/>
      <c r="T31" s="244"/>
      <c r="U31" s="244"/>
      <c r="V31" s="244"/>
      <c r="W31" s="244"/>
      <c r="X31" s="244"/>
      <c r="Y31" s="43" t="s">
        <v>490</v>
      </c>
    </row>
    <row r="32" spans="1:25" x14ac:dyDescent="0.25">
      <c r="A32" s="245" t="s">
        <v>491</v>
      </c>
      <c r="C32" s="244"/>
      <c r="D32" s="244"/>
      <c r="E32" s="244"/>
      <c r="F32" s="244"/>
      <c r="G32" s="244"/>
      <c r="H32" s="244"/>
      <c r="I32" s="244"/>
      <c r="J32" s="244"/>
      <c r="K32" s="244"/>
      <c r="L32" s="244"/>
      <c r="M32" s="244"/>
      <c r="N32" s="244"/>
      <c r="O32" s="244"/>
      <c r="P32" s="244"/>
      <c r="Q32" s="244"/>
      <c r="R32" s="244"/>
      <c r="S32" s="244"/>
      <c r="T32" s="244"/>
      <c r="U32" s="244"/>
      <c r="V32" s="244"/>
      <c r="W32" s="244"/>
      <c r="X32" s="244"/>
    </row>
    <row r="33" spans="1:25" x14ac:dyDescent="0.25">
      <c r="A33" s="50" t="s">
        <v>492</v>
      </c>
      <c r="C33" s="247">
        <f t="shared" ref="C33:X33" si="20">SUM(C29:C32)</f>
        <v>-19960679.290000007</v>
      </c>
      <c r="D33" s="247">
        <f t="shared" si="20"/>
        <v>-23809148.190000013</v>
      </c>
      <c r="E33" s="247">
        <f t="shared" si="20"/>
        <v>-25018672.100000009</v>
      </c>
      <c r="F33" s="247">
        <f t="shared" si="20"/>
        <v>-26018262.300000012</v>
      </c>
      <c r="G33" s="247">
        <f t="shared" si="20"/>
        <v>-28080056.870000005</v>
      </c>
      <c r="H33" s="247">
        <f t="shared" ref="H33:I33" si="21">SUM(H29:H32)</f>
        <v>-26751559.470000014</v>
      </c>
      <c r="I33" s="247">
        <f t="shared" si="21"/>
        <v>-27827707.99000001</v>
      </c>
      <c r="J33" s="247">
        <f t="shared" ref="J33" si="22">SUM(J29:J32)</f>
        <v>-28538333.770000011</v>
      </c>
      <c r="K33" s="247">
        <f t="shared" si="20"/>
        <v>-30656074.529999986</v>
      </c>
      <c r="L33" s="247">
        <f t="shared" si="20"/>
        <v>-32173074.019999996</v>
      </c>
      <c r="M33" s="247">
        <f t="shared" si="20"/>
        <v>-33527600.199999988</v>
      </c>
      <c r="N33" s="247">
        <f t="shared" si="20"/>
        <v>-36510854.560000002</v>
      </c>
      <c r="O33" s="247">
        <f t="shared" si="20"/>
        <v>-38504699.389999986</v>
      </c>
      <c r="P33" s="247">
        <f t="shared" si="20"/>
        <v>-40379709.499999985</v>
      </c>
      <c r="Q33" s="247">
        <f t="shared" ref="Q33:R33" si="23">SUM(Q29:Q32)</f>
        <v>-42873753.919999987</v>
      </c>
      <c r="R33" s="247">
        <f t="shared" si="23"/>
        <v>-45522812.789999992</v>
      </c>
      <c r="S33" s="247">
        <f t="shared" si="20"/>
        <v>0</v>
      </c>
      <c r="T33" s="247">
        <f t="shared" si="20"/>
        <v>0</v>
      </c>
      <c r="U33" s="247">
        <f t="shared" si="20"/>
        <v>0</v>
      </c>
      <c r="V33" s="247">
        <f t="shared" si="20"/>
        <v>0</v>
      </c>
      <c r="W33" s="247">
        <f t="shared" si="20"/>
        <v>0</v>
      </c>
      <c r="X33" s="247">
        <f t="shared" si="20"/>
        <v>0</v>
      </c>
    </row>
    <row r="34" spans="1:25" x14ac:dyDescent="0.25">
      <c r="A34" s="245" t="s">
        <v>493</v>
      </c>
      <c r="B34" s="238">
        <v>28211</v>
      </c>
      <c r="C34" s="248">
        <f>SUMIFS('6 2024 BMI Query'!$G:$G,'6 2024 BMI Query'!$D:$D,$B34,'6 2024 BMI Query'!$A:$A,$B9,'6 2024 BMI Query'!$C:$C,0)+SUMIFS('6 2024 BMI Query'!$G:$G,'6 2024 BMI Query'!$D:$D,$B34,'6 2024 BMI Query'!$A:$A,$B9,'6 2024 BMI Query'!$C:$C,1)+SUMIFS('6 2024 BMI Query'!$G:$G,'6 2024 BMI Query'!$D:$D,$B34,'6 2024 BMI Query'!$A:$A,$B9,'6 2024 BMI Query'!$C:$C,2)+SUMIFS('6 2024 BMI Query'!$G:$G,'6 2024 BMI Query'!$D:$D,$B34,'6 2024 BMI Query'!$A:$A,$B9,'6 2024 BMI Query'!$C:$C,3)</f>
        <v>-19960679.29000001</v>
      </c>
      <c r="D34" s="248">
        <f>+C34+SUMIFS('6 2024 BMI Query'!$G:$G,'6 2024 BMI Query'!$D:$D,$B34,'6 2024 BMI Query'!$A:$A,$B9,'6 2024 BMI Query'!$C:$C,4)+SUMIFS('6 2024 BMI Query'!$G:$G,'6 2024 BMI Query'!$D:$D,$B34,'6 2024 BMI Query'!$A:$A,$B9,'6 2024 BMI Query'!$C:$C,5)+SUMIFS('6 2024 BMI Query'!$G:$G,'6 2024 BMI Query'!$D:$D,$B34,'6 2024 BMI Query'!$A:$A,$B9,'6 2024 BMI Query'!$C:$C,6)</f>
        <v>-23809148.190000009</v>
      </c>
      <c r="E34" s="248">
        <f>+D34+SUMIFS('6 2024 BMI Query'!$G:$G,'6 2024 BMI Query'!$D:$D,$B34,'6 2024 BMI Query'!$A:$A,$B9,'6 2024 BMI Query'!$C:$C,7)</f>
        <v>-25018672.100000009</v>
      </c>
      <c r="F34" s="248">
        <f>+E34+SUMIFS('6 2024 BMI Query'!$G:$G,'6 2024 BMI Query'!$D:$D,$B34,'6 2024 BMI Query'!$A:$A,$B9,'6 2024 BMI Query'!$C:$C,8)</f>
        <v>-26018262.300000008</v>
      </c>
      <c r="G34" s="248">
        <f>+F34+SUMIFS('6 2024 BMI Query'!$G:$G,'6 2024 BMI Query'!$D:$D,$B34,'6 2024 BMI Query'!$A:$A,$B9,'6 2024 BMI Query'!$C:$C,9)</f>
        <v>-28080056.870000008</v>
      </c>
      <c r="H34" s="248">
        <f>+G34+SUMIFS('6 2024 BMI Query'!$G:$G,'6 2024 BMI Query'!$D:$D,$B34,'6 2024 BMI Query'!$A:$A,$B9,'6 2024 BMI Query'!$C:$C,10)</f>
        <v>-26751559.47000001</v>
      </c>
      <c r="I34" s="248">
        <f>+H34+SUMIFS('6 2024 BMI Query'!$G:$G,'6 2024 BMI Query'!$D:$D,$B34,'6 2024 BMI Query'!$A:$A,$B9,'6 2024 BMI Query'!$C:$C,11)</f>
        <v>-27827707.99000001</v>
      </c>
      <c r="J34" s="248">
        <f>+I34+SUMIFS('6 2024 BMI Query'!$G:$G,'6 2024 BMI Query'!$D:$D,$B34,'6 2024 BMI Query'!$A:$A,$B9,'6 2024 BMI Query'!$C:$C,12)</f>
        <v>-28538333.770000011</v>
      </c>
      <c r="K34" s="248">
        <f>SUMIFS('7 2025 BMI Query'!$G:$G,'7 2025 BMI Query'!$D:$D,$B34,'7 2025 BMI Query'!$A:$A,$B9,'7 2025 BMI Query'!$C:$C,0)+SUMIFS('7 2025 BMI Query'!$G:$G,'7 2025 BMI Query'!$D:$D,$B34,'7 2025 BMI Query'!$A:$A,$B9,'7 2025 BMI Query'!$C:$C,1)</f>
        <v>-30656074.529999994</v>
      </c>
      <c r="L34" s="248">
        <f>+K34+SUMIFS('7 2025 BMI Query'!$G:$G,'7 2025 BMI Query'!$D:$D,$B34,'7 2025 BMI Query'!$A:$A,$B9,'7 2025 BMI Query'!$C:$C,2)</f>
        <v>-32173074.019999992</v>
      </c>
      <c r="M34" s="248">
        <f>+L34+SUMIFS('7 2025 BMI Query'!$G:$G,'7 2025 BMI Query'!$D:$D,$B34,'7 2025 BMI Query'!$A:$A,$B9,'7 2025 BMI Query'!$C:$C,3)</f>
        <v>-33527600.199999992</v>
      </c>
      <c r="N34" s="248">
        <f>+M34+SUMIFS('7 2025 BMI Query'!$G:$G,'7 2025 BMI Query'!$D:$D,$B34,'7 2025 BMI Query'!$A:$A,$B9,'7 2025 BMI Query'!$C:$C,4)</f>
        <v>-36510854.559999995</v>
      </c>
      <c r="O34" s="248">
        <f>+N34+SUMIFS('7 2025 BMI Query'!$G:$G,'7 2025 BMI Query'!$D:$D,$B34,'7 2025 BMI Query'!$A:$A,$B9,'7 2025 BMI Query'!$C:$C,5)</f>
        <v>-38504699.389999993</v>
      </c>
      <c r="P34" s="248">
        <f>+O34+SUMIFS('7 2025 BMI Query'!$G:$G,'7 2025 BMI Query'!$D:$D,$B34,'7 2025 BMI Query'!$A:$A,$B9,'7 2025 BMI Query'!$C:$C,6)</f>
        <v>-40379709.499999993</v>
      </c>
      <c r="Q34" s="248">
        <f>+P34+SUMIFS('7 2025 BMI Query'!$G:$G,'7 2025 BMI Query'!$D:$D,$B34,'7 2025 BMI Query'!$A:$A,$B9,'7 2025 BMI Query'!$C:$C,7)</f>
        <v>-42873753.919999994</v>
      </c>
      <c r="R34" s="248">
        <f>+Q34+SUMIFS('7 2025 BMI Query'!$G:$G,'7 2025 BMI Query'!$D:$D,$B34,'7 2025 BMI Query'!$A:$A,$B9,'7 2025 BMI Query'!$C:$C,8)</f>
        <v>-45522812.789999992</v>
      </c>
      <c r="S34" s="248"/>
      <c r="T34" s="248"/>
      <c r="U34" s="248"/>
      <c r="V34" s="248"/>
      <c r="W34" s="248"/>
      <c r="X34" s="248"/>
    </row>
    <row r="35" spans="1:25" x14ac:dyDescent="0.25">
      <c r="A35" s="50"/>
    </row>
    <row r="36" spans="1:25" x14ac:dyDescent="0.25">
      <c r="A36" s="50" t="s">
        <v>477</v>
      </c>
      <c r="B36" s="238">
        <v>928301111</v>
      </c>
      <c r="C36" s="244">
        <f>+SUMIFS('6 2024 BMI Query'!$G:$G,'6 2024 BMI Query'!$E:$E,$B36,'6 2024 BMI Query'!$C:$C,0)+SUMIFS('6 2024 BMI Query'!$G:$G,'6 2024 BMI Query'!$E:$E,$B36,'6 2024 BMI Query'!$C:$C,1)+SUMIFS('6 2024 BMI Query'!$G:$G,'6 2024 BMI Query'!$E:$E,$B36,'6 2024 BMI Query'!$C:$C,2)+SUMIFS('6 2024 BMI Query'!$G:$G,'6 2024 BMI Query'!$E:$E,$B36,'6 2024 BMI Query'!$C:$C,3)</f>
        <v>0</v>
      </c>
      <c r="D36" s="244">
        <f>+C36+SUMIFS('6 2024 BMI Query'!$G:$G,'6 2024 BMI Query'!$E:$E,$B36,'6 2024 BMI Query'!$C:$C,4)+SUMIFS('6 2024 BMI Query'!$G:$G,'6 2024 BMI Query'!$E:$E,$B36,'6 2024 BMI Query'!$C:$C,5)+SUMIFS('6 2024 BMI Query'!$G:$G,'6 2024 BMI Query'!$E:$E,$B36,'6 2024 BMI Query'!$C:$C,6)</f>
        <v>0</v>
      </c>
      <c r="E36" s="244">
        <f>+D36+SUMIFS('6 2024 BMI Query'!$G:$G,'6 2024 BMI Query'!$E:$E,$B36,'6 2024 BMI Query'!$C:$C,7)</f>
        <v>0</v>
      </c>
      <c r="F36" s="244">
        <f>+E36+SUMIFS('6 2024 BMI Query'!$G:$G,'6 2024 BMI Query'!$E:$E,$B36,'6 2024 BMI Query'!$C:$C,8)</f>
        <v>0</v>
      </c>
      <c r="G36" s="244">
        <f>+F36+SUMIFS('6 2024 BMI Query'!$G:$G,'6 2024 BMI Query'!$E:$E,$B36,'6 2024 BMI Query'!$C:$C,9)</f>
        <v>0</v>
      </c>
      <c r="H36" s="244">
        <f>+G36+SUMIFS('6 2024 BMI Query'!$G:$G,'6 2024 BMI Query'!$E:$E,$B36,'6 2024 BMI Query'!$C:$C,10)</f>
        <v>0</v>
      </c>
      <c r="I36" s="244">
        <f>+H36+SUMIFS('6 2024 BMI Query'!$G:$G,'6 2024 BMI Query'!$E:$E,$B36,'6 2024 BMI Query'!$C:$C,11)</f>
        <v>0</v>
      </c>
      <c r="J36" s="244">
        <f>+I36+SUMIFS('6 2024 BMI Query'!$G:$G,'6 2024 BMI Query'!$E:$E,$B36,'6 2024 BMI Query'!$C:$C,12)</f>
        <v>0</v>
      </c>
      <c r="K36" s="244">
        <f>+SUMIFS('7 2025 BMI Query'!$G:$G,'7 2025 BMI Query'!$E:$E,$B36,'7 2025 BMI Query'!$C:$C,0)+SUMIFS('7 2025 BMI Query'!$G:$G,'7 2025 BMI Query'!$E:$E,$B36,'7 2025 BMI Query'!$C:$C,1)</f>
        <v>0</v>
      </c>
      <c r="L36" s="244">
        <f>+K36+SUMIFS('7 2025 BMI Query'!$G:$G,'7 2025 BMI Query'!$E:$E,$B36,'7 2025 BMI Query'!$C:$C,2)</f>
        <v>0</v>
      </c>
      <c r="M36" s="244">
        <f>+L36+SUMIFS('7 2025 BMI Query'!$G:$G,'7 2025 BMI Query'!$E:$E,$B36,'7 2025 BMI Query'!$C:$C,3)</f>
        <v>0</v>
      </c>
      <c r="N36" s="244">
        <f>+M36+SUMIFS('7 2025 BMI Query'!$G:$G,'7 2025 BMI Query'!$E:$E,$B36,'7 2025 BMI Query'!$C:$C,4)</f>
        <v>0</v>
      </c>
      <c r="O36" s="244">
        <f>+N36+SUMIFS('7 2025 BMI Query'!$G:$G,'7 2025 BMI Query'!$E:$E,$B36,'7 2025 BMI Query'!$C:$C,5)</f>
        <v>0</v>
      </c>
      <c r="P36" s="244">
        <f>+O36+SUMIFS('7 2025 BMI Query'!$G:$G,'7 2025 BMI Query'!$E:$E,$B36,'7 2025 BMI Query'!$C:$C,6)</f>
        <v>0</v>
      </c>
      <c r="Q36" s="244">
        <f>+P36+SUMIFS('7 2025 BMI Query'!$G:$G,'7 2025 BMI Query'!$E:$E,$B36,'7 2025 BMI Query'!$C:$C,7)</f>
        <v>0</v>
      </c>
      <c r="R36" s="244">
        <f>+Q36+SUMIFS('7 2025 BMI Query'!$G:$G,'7 2025 BMI Query'!$E:$E,$B36,'7 2025 BMI Query'!$C:$C,8)</f>
        <v>0</v>
      </c>
      <c r="S36" s="244"/>
      <c r="T36" s="244"/>
      <c r="U36" s="244"/>
      <c r="V36" s="244"/>
      <c r="W36" s="244"/>
      <c r="X36" s="244"/>
      <c r="Y36" s="43" t="s">
        <v>476</v>
      </c>
    </row>
    <row r="37" spans="1:25" x14ac:dyDescent="0.25">
      <c r="A37" s="50" t="s">
        <v>124</v>
      </c>
      <c r="B37" s="238">
        <v>928301161</v>
      </c>
      <c r="C37" s="244">
        <f>+SUMIFS('6 2024 BMI Query'!$G:$G,'6 2024 BMI Query'!$E:$E,$B37,'6 2024 BMI Query'!$C:$C,0)+SUMIFS('6 2024 BMI Query'!$G:$G,'6 2024 BMI Query'!$E:$E,$B37,'6 2024 BMI Query'!$C:$C,1)+SUMIFS('6 2024 BMI Query'!$G:$G,'6 2024 BMI Query'!$E:$E,$B37,'6 2024 BMI Query'!$C:$C,2)+SUMIFS('6 2024 BMI Query'!$G:$G,'6 2024 BMI Query'!$E:$E,$B37,'6 2024 BMI Query'!$C:$C,3)</f>
        <v>-16292402</v>
      </c>
      <c r="D37" s="244">
        <f>+C37+SUMIFS('6 2024 BMI Query'!$G:$G,'6 2024 BMI Query'!$E:$E,$B37,'6 2024 BMI Query'!$C:$C,4)+SUMIFS('6 2024 BMI Query'!$G:$G,'6 2024 BMI Query'!$E:$E,$B37,'6 2024 BMI Query'!$C:$C,5)+SUMIFS('6 2024 BMI Query'!$G:$G,'6 2024 BMI Query'!$E:$E,$B37,'6 2024 BMI Query'!$C:$C,6)</f>
        <v>-15370835</v>
      </c>
      <c r="E37" s="244">
        <f>+D37+SUMIFS('6 2024 BMI Query'!$G:$G,'6 2024 BMI Query'!$E:$E,$B37,'6 2024 BMI Query'!$C:$C,7)</f>
        <v>-15063646</v>
      </c>
      <c r="F37" s="244">
        <f>+E37+SUMIFS('6 2024 BMI Query'!$G:$G,'6 2024 BMI Query'!$E:$E,$B37,'6 2024 BMI Query'!$C:$C,8)</f>
        <v>-14756457</v>
      </c>
      <c r="G37" s="244">
        <f>+F37+SUMIFS('6 2024 BMI Query'!$G:$G,'6 2024 BMI Query'!$E:$E,$B37,'6 2024 BMI Query'!$C:$C,9)</f>
        <v>-14449268</v>
      </c>
      <c r="H37" s="244">
        <f>+G37+SUMIFS('6 2024 BMI Query'!$G:$G,'6 2024 BMI Query'!$E:$E,$B37,'6 2024 BMI Query'!$C:$C,10)</f>
        <v>-14142079</v>
      </c>
      <c r="I37" s="244">
        <f>+H37+SUMIFS('6 2024 BMI Query'!$G:$G,'6 2024 BMI Query'!$E:$E,$B37,'6 2024 BMI Query'!$C:$C,11)</f>
        <v>-13834890</v>
      </c>
      <c r="J37" s="244">
        <f>+I37+SUMIFS('6 2024 BMI Query'!$G:$G,'6 2024 BMI Query'!$E:$E,$B37,'6 2024 BMI Query'!$C:$C,12)</f>
        <v>-13527701</v>
      </c>
      <c r="K37" s="244">
        <f>+SUMIFS('7 2025 BMI Query'!$G:$G,'7 2025 BMI Query'!$E:$E,$B37,'7 2025 BMI Query'!$C:$C,0)+SUMIFS('7 2025 BMI Query'!$G:$G,'7 2025 BMI Query'!$E:$E,$B37,'7 2025 BMI Query'!$C:$C,1)</f>
        <v>-13220512</v>
      </c>
      <c r="L37" s="244">
        <f>+K37+SUMIFS('7 2025 BMI Query'!$G:$G,'7 2025 BMI Query'!$E:$E,$B37,'7 2025 BMI Query'!$C:$C,2)</f>
        <v>-12913323</v>
      </c>
      <c r="M37" s="244">
        <f>+L37+SUMIFS('7 2025 BMI Query'!$G:$G,'7 2025 BMI Query'!$E:$E,$B37,'7 2025 BMI Query'!$C:$C,3)</f>
        <v>-12606134</v>
      </c>
      <c r="N37" s="244">
        <f>+M37+SUMIFS('7 2025 BMI Query'!$G:$G,'7 2025 BMI Query'!$E:$E,$B37,'7 2025 BMI Query'!$C:$C,4)</f>
        <v>-12298945</v>
      </c>
      <c r="O37" s="244">
        <f>+N37+SUMIFS('7 2025 BMI Query'!$G:$G,'7 2025 BMI Query'!$E:$E,$B37,'7 2025 BMI Query'!$C:$C,5)</f>
        <v>-11991756</v>
      </c>
      <c r="P37" s="244">
        <f>+O37+SUMIFS('7 2025 BMI Query'!$G:$G,'7 2025 BMI Query'!$E:$E,$B37,'7 2025 BMI Query'!$C:$C,6)</f>
        <v>-11684567</v>
      </c>
      <c r="Q37" s="244">
        <f>+P37+SUMIFS('7 2025 BMI Query'!$G:$G,'7 2025 BMI Query'!$E:$E,$B37,'7 2025 BMI Query'!$C:$C,7)</f>
        <v>-11377378</v>
      </c>
      <c r="R37" s="244">
        <f>+Q37+SUMIFS('7 2025 BMI Query'!$G:$G,'7 2025 BMI Query'!$E:$E,$B37,'7 2025 BMI Query'!$C:$C,8)</f>
        <v>-11070189</v>
      </c>
      <c r="S37" s="244"/>
      <c r="T37" s="244"/>
      <c r="U37" s="244"/>
      <c r="V37" s="244"/>
      <c r="W37" s="244"/>
      <c r="X37" s="244"/>
    </row>
    <row r="38" spans="1:25" x14ac:dyDescent="0.25">
      <c r="A38" s="50" t="s">
        <v>478</v>
      </c>
      <c r="B38" s="238" t="s">
        <v>399</v>
      </c>
      <c r="C38" s="244">
        <f>+SUMIFS('6 2024 BMI Query'!$G:$G,'6 2024 BMI Query'!$E:$E,$B38,'6 2024 BMI Query'!$C:$C,0)+SUMIFS('6 2024 BMI Query'!$G:$G,'6 2024 BMI Query'!$E:$E,$B38,'6 2024 BMI Query'!$C:$C,1)+SUMIFS('6 2024 BMI Query'!$G:$G,'6 2024 BMI Query'!$E:$E,$B38,'6 2024 BMI Query'!$C:$C,2)+SUMIFS('6 2024 BMI Query'!$G:$G,'6 2024 BMI Query'!$E:$E,$B38,'6 2024 BMI Query'!$C:$C,3)</f>
        <v>16292402</v>
      </c>
      <c r="D38" s="244">
        <f>+C38+SUMIFS('6 2024 BMI Query'!$G:$G,'6 2024 BMI Query'!$E:$E,$B38,'6 2024 BMI Query'!$C:$C,4)+SUMIFS('6 2024 BMI Query'!$G:$G,'6 2024 BMI Query'!$E:$E,$B38,'6 2024 BMI Query'!$C:$C,5)+SUMIFS('6 2024 BMI Query'!$G:$G,'6 2024 BMI Query'!$E:$E,$B38,'6 2024 BMI Query'!$C:$C,6)</f>
        <v>15370835</v>
      </c>
      <c r="E38" s="244">
        <f>+D38+SUMIFS('6 2024 BMI Query'!$G:$G,'6 2024 BMI Query'!$E:$E,$B38,'6 2024 BMI Query'!$C:$C,7)</f>
        <v>15063646</v>
      </c>
      <c r="F38" s="244">
        <f>+E38+SUMIFS('6 2024 BMI Query'!$G:$G,'6 2024 BMI Query'!$E:$E,$B38,'6 2024 BMI Query'!$C:$C,8)</f>
        <v>14756457</v>
      </c>
      <c r="G38" s="244">
        <f>+F38+SUMIFS('6 2024 BMI Query'!$G:$G,'6 2024 BMI Query'!$E:$E,$B38,'6 2024 BMI Query'!$C:$C,9)</f>
        <v>14449268</v>
      </c>
      <c r="H38" s="244">
        <f>+G38+SUMIFS('6 2024 BMI Query'!$G:$G,'6 2024 BMI Query'!$E:$E,$B38,'6 2024 BMI Query'!$C:$C,10)</f>
        <v>14142079</v>
      </c>
      <c r="I38" s="244">
        <f>+H38+SUMIFS('6 2024 BMI Query'!$G:$G,'6 2024 BMI Query'!$E:$E,$B38,'6 2024 BMI Query'!$C:$C,11)</f>
        <v>13834890</v>
      </c>
      <c r="J38" s="244">
        <f>+I38+SUMIFS('6 2024 BMI Query'!$G:$G,'6 2024 BMI Query'!$E:$E,$B38,'6 2024 BMI Query'!$C:$C,12)</f>
        <v>13527701</v>
      </c>
      <c r="K38" s="244">
        <f>+SUMIFS('7 2025 BMI Query'!$G:$G,'7 2025 BMI Query'!$E:$E,$B38,'7 2025 BMI Query'!$C:$C,0)+SUMIFS('7 2025 BMI Query'!$G:$G,'7 2025 BMI Query'!$E:$E,$B38,'7 2025 BMI Query'!$C:$C,1)</f>
        <v>13220512</v>
      </c>
      <c r="L38" s="244">
        <f>+K38+SUMIFS('7 2025 BMI Query'!$G:$G,'7 2025 BMI Query'!$E:$E,$B38,'7 2025 BMI Query'!$C:$C,2)</f>
        <v>12913323</v>
      </c>
      <c r="M38" s="244">
        <f>+L38+SUMIFS('7 2025 BMI Query'!$G:$G,'7 2025 BMI Query'!$E:$E,$B38,'7 2025 BMI Query'!$C:$C,3)</f>
        <v>12606134</v>
      </c>
      <c r="N38" s="244">
        <f>+M38+SUMIFS('7 2025 BMI Query'!$G:$G,'7 2025 BMI Query'!$E:$E,$B38,'7 2025 BMI Query'!$C:$C,4)</f>
        <v>12298945</v>
      </c>
      <c r="O38" s="244">
        <f>+N38+SUMIFS('7 2025 BMI Query'!$G:$G,'7 2025 BMI Query'!$E:$E,$B38,'7 2025 BMI Query'!$C:$C,5)</f>
        <v>11991756</v>
      </c>
      <c r="P38" s="244">
        <f>+O38+SUMIFS('7 2025 BMI Query'!$G:$G,'7 2025 BMI Query'!$E:$E,$B38,'7 2025 BMI Query'!$C:$C,6)</f>
        <v>11684567</v>
      </c>
      <c r="Q38" s="244">
        <f>+P38+SUMIFS('7 2025 BMI Query'!$G:$G,'7 2025 BMI Query'!$E:$E,$B38,'7 2025 BMI Query'!$C:$C,7)</f>
        <v>11377378</v>
      </c>
      <c r="R38" s="244">
        <f>+Q38+SUMIFS('7 2025 BMI Query'!$G:$G,'7 2025 BMI Query'!$E:$E,$B38,'7 2025 BMI Query'!$C:$C,8)</f>
        <v>11070189</v>
      </c>
      <c r="S38" s="244"/>
      <c r="T38" s="244"/>
      <c r="U38" s="244"/>
      <c r="V38" s="244"/>
      <c r="W38" s="244"/>
      <c r="X38" s="244"/>
      <c r="Y38" s="43" t="s">
        <v>476</v>
      </c>
    </row>
    <row r="39" spans="1:25" x14ac:dyDescent="0.25">
      <c r="A39" s="50" t="s">
        <v>479</v>
      </c>
      <c r="B39" s="238" t="s">
        <v>400</v>
      </c>
      <c r="C39" s="244">
        <f>+SUMIFS('6 2024 BMI Query'!$G:$G,'6 2024 BMI Query'!$E:$E,$B39,'6 2024 BMI Query'!$C:$C,0)+SUMIFS('6 2024 BMI Query'!$G:$G,'6 2024 BMI Query'!$E:$E,$B39,'6 2024 BMI Query'!$C:$C,1)+SUMIFS('6 2024 BMI Query'!$G:$G,'6 2024 BMI Query'!$E:$E,$B39,'6 2024 BMI Query'!$C:$C,2)+SUMIFS('6 2024 BMI Query'!$G:$G,'6 2024 BMI Query'!$E:$E,$B39,'6 2024 BMI Query'!$C:$C,3)</f>
        <v>-3027280.78</v>
      </c>
      <c r="D39" s="244">
        <f>+C39+SUMIFS('6 2024 BMI Query'!$G:$G,'6 2024 BMI Query'!$E:$E,$B39,'6 2024 BMI Query'!$C:$C,4)+SUMIFS('6 2024 BMI Query'!$G:$G,'6 2024 BMI Query'!$E:$E,$B39,'6 2024 BMI Query'!$C:$C,5)+SUMIFS('6 2024 BMI Query'!$G:$G,'6 2024 BMI Query'!$E:$E,$B39,'6 2024 BMI Query'!$C:$C,6)</f>
        <v>-2855637.6799999997</v>
      </c>
      <c r="E39" s="244">
        <f>+D39+SUMIFS('6 2024 BMI Query'!$G:$G,'6 2024 BMI Query'!$E:$E,$B39,'6 2024 BMI Query'!$C:$C,7)</f>
        <v>-2798423.32</v>
      </c>
      <c r="F39" s="244">
        <f>+E39+SUMIFS('6 2024 BMI Query'!$G:$G,'6 2024 BMI Query'!$E:$E,$B39,'6 2024 BMI Query'!$C:$C,8)</f>
        <v>-2741208.9499999997</v>
      </c>
      <c r="G39" s="244">
        <f>+F39+SUMIFS('6 2024 BMI Query'!$G:$G,'6 2024 BMI Query'!$E:$E,$B39,'6 2024 BMI Query'!$C:$C,9)</f>
        <v>-2683994.5799999996</v>
      </c>
      <c r="H39" s="244">
        <f>+G39+SUMIFS('6 2024 BMI Query'!$G:$G,'6 2024 BMI Query'!$E:$E,$B39,'6 2024 BMI Query'!$C:$C,10)</f>
        <v>-2626780.2199999997</v>
      </c>
      <c r="I39" s="244">
        <f>+H39+SUMIFS('6 2024 BMI Query'!$G:$G,'6 2024 BMI Query'!$E:$E,$B39,'6 2024 BMI Query'!$C:$C,11)</f>
        <v>-2569565.8499999996</v>
      </c>
      <c r="J39" s="244">
        <f>+I39+SUMIFS('6 2024 BMI Query'!$G:$G,'6 2024 BMI Query'!$E:$E,$B39,'6 2024 BMI Query'!$C:$C,12)</f>
        <v>-2512351.4799999995</v>
      </c>
      <c r="K39" s="244">
        <f>+SUMIFS('7 2025 BMI Query'!$G:$G,'7 2025 BMI Query'!$E:$E,$B39,'7 2025 BMI Query'!$C:$C,0)+SUMIFS('7 2025 BMI Query'!$G:$G,'7 2025 BMI Query'!$E:$E,$B39,'7 2025 BMI Query'!$C:$C,1)</f>
        <v>-2455137.11</v>
      </c>
      <c r="L39" s="244">
        <f>+K39+SUMIFS('7 2025 BMI Query'!$G:$G,'7 2025 BMI Query'!$E:$E,$B39,'7 2025 BMI Query'!$C:$C,2)</f>
        <v>-2397922.75</v>
      </c>
      <c r="M39" s="244">
        <f>+L39+SUMIFS('7 2025 BMI Query'!$G:$G,'7 2025 BMI Query'!$E:$E,$B39,'7 2025 BMI Query'!$C:$C,3)</f>
        <v>-2340708.38</v>
      </c>
      <c r="N39" s="244">
        <f>+M39+SUMIFS('7 2025 BMI Query'!$G:$G,'7 2025 BMI Query'!$E:$E,$B39,'7 2025 BMI Query'!$C:$C,4)</f>
        <v>-2283494.0099999998</v>
      </c>
      <c r="O39" s="244">
        <f>+N39+SUMIFS('7 2025 BMI Query'!$G:$G,'7 2025 BMI Query'!$E:$E,$B39,'7 2025 BMI Query'!$C:$C,5)</f>
        <v>-2226279.65</v>
      </c>
      <c r="P39" s="244">
        <f>+O39+SUMIFS('7 2025 BMI Query'!$G:$G,'7 2025 BMI Query'!$E:$E,$B39,'7 2025 BMI Query'!$C:$C,6)</f>
        <v>-2169065.2799999998</v>
      </c>
      <c r="Q39" s="244">
        <f>+P39+SUMIFS('7 2025 BMI Query'!$G:$G,'7 2025 BMI Query'!$E:$E,$B39,'7 2025 BMI Query'!$C:$C,7)</f>
        <v>-2111850.9099999997</v>
      </c>
      <c r="R39" s="244">
        <f>+Q39+SUMIFS('7 2025 BMI Query'!$G:$G,'7 2025 BMI Query'!$E:$E,$B39,'7 2025 BMI Query'!$C:$C,8)</f>
        <v>-2054636.5399999996</v>
      </c>
      <c r="S39" s="244"/>
      <c r="T39" s="244"/>
      <c r="U39" s="244"/>
      <c r="V39" s="244"/>
      <c r="W39" s="244"/>
      <c r="X39" s="244"/>
      <c r="Y39" s="43" t="s">
        <v>476</v>
      </c>
    </row>
    <row r="40" spans="1:25" x14ac:dyDescent="0.25">
      <c r="A40" s="50" t="s">
        <v>494</v>
      </c>
      <c r="B40" s="238" t="s">
        <v>495</v>
      </c>
      <c r="C40" s="244">
        <f>+SUMIFS('6 2024 BMI Query'!$G:$G,'6 2024 BMI Query'!$E:$E,$B40,'6 2024 BMI Query'!$A:$A,$B9,'6 2024 BMI Query'!$C:$C,0)+SUMIFS('6 2024 BMI Query'!$G:$G,'6 2024 BMI Query'!$E:$E,$B40,'6 2024 BMI Query'!$A:$A,$B9,'6 2024 BMI Query'!$C:$C,1)+SUMIFS('6 2024 BMI Query'!$G:$G,'6 2024 BMI Query'!$E:$E,$B40,'6 2024 BMI Query'!$A:$A,$B9,'6 2024 BMI Query'!$C:$C,2)+SUMIFS('6 2024 BMI Query'!$G:$G,'6 2024 BMI Query'!$E:$E,$B40,'6 2024 BMI Query'!$A:$A,$B9,'6 2024 BMI Query'!$C:$C,3)</f>
        <v>-78115311</v>
      </c>
      <c r="D40" s="244">
        <f>+C40+SUMIFS('6 2024 BMI Query'!$G:$G,'6 2024 BMI Query'!$E:$E,$B40,'6 2024 BMI Query'!$A:$A,$B9,'6 2024 BMI Query'!$C:$C,4)+SUMIFS('6 2024 BMI Query'!$G:$G,'6 2024 BMI Query'!$E:$E,$B40,'6 2024 BMI Query'!$A:$A,$B9,'6 2024 BMI Query'!$C:$C,5)+SUMIFS('6 2024 BMI Query'!$G:$G,'6 2024 BMI Query'!$E:$E,$B40,'6 2024 BMI Query'!$A:$A,$B9,'6 2024 BMI Query'!$C:$C,6)</f>
        <v>-81730042.24000001</v>
      </c>
      <c r="E40" s="244">
        <f>+D40+SUMIFS('6 2024 BMI Query'!$G:$G,'6 2024 BMI Query'!$E:$E,$B40,'6 2024 BMI Query'!$A:$A,$B9,'6 2024 BMI Query'!$C:$C,7)</f>
        <v>-76751630.100000009</v>
      </c>
      <c r="F40" s="244">
        <f>+E40+SUMIFS('6 2024 BMI Query'!$G:$G,'6 2024 BMI Query'!$E:$E,$B40,'6 2024 BMI Query'!$A:$A,$B9,'6 2024 BMI Query'!$C:$C,8)</f>
        <v>-73605995.730000004</v>
      </c>
      <c r="G40" s="244">
        <f>+F40+SUMIFS('6 2024 BMI Query'!$G:$G,'6 2024 BMI Query'!$E:$E,$B40,'6 2024 BMI Query'!$A:$A,$B9,'6 2024 BMI Query'!$C:$C,9)</f>
        <v>-75221432.790000007</v>
      </c>
      <c r="H40" s="244">
        <f>+G40+SUMIFS('6 2024 BMI Query'!$G:$G,'6 2024 BMI Query'!$E:$E,$B40,'6 2024 BMI Query'!$C:$C,10)</f>
        <v>-55313687.680000007</v>
      </c>
      <c r="I40" s="244">
        <f>+H40+SUMIFS('6 2024 BMI Query'!$G:$G,'6 2024 BMI Query'!$E:$E,$B40,'6 2024 BMI Query'!$C:$C,11)</f>
        <v>-51584946.940000005</v>
      </c>
      <c r="J40" s="244">
        <f>+I40+SUMIFS('6 2024 BMI Query'!$G:$G,'6 2024 BMI Query'!$E:$E,$B40,'6 2024 BMI Query'!$C:$C,12)</f>
        <v>-47659403.380000003</v>
      </c>
      <c r="K40" s="244">
        <f>+SUMIFS('7 2025 BMI Query'!$G:$G,'7 2025 BMI Query'!$E:$E,$B40,'7 2025 BMI Query'!$A:$A,$B9,'7 2025 BMI Query'!$C:$C,0)+SUMIFS('7 2025 BMI Query'!$G:$G,'7 2025 BMI Query'!$E:$E,$B40,'7 2025 BMI Query'!$A:$A,$B9,'7 2025 BMI Query'!$C:$C,1)</f>
        <v>-55575185.340000004</v>
      </c>
      <c r="L40" s="244">
        <f>+K40+SUMIFS('7 2025 BMI Query'!$G:$G,'7 2025 BMI Query'!$E:$E,$B40,'7 2025 BMI Query'!$A:$A,$B9,'7 2025 BMI Query'!$C:$C,2)</f>
        <v>-55283331.120000005</v>
      </c>
      <c r="M40" s="244">
        <f>+L40+SUMIFS('7 2025 BMI Query'!$G:$G,'7 2025 BMI Query'!$E:$E,$B40,'7 2025 BMI Query'!$A:$A,$B9,'7 2025 BMI Query'!$C:$C,3)</f>
        <v>-57446315.060000002</v>
      </c>
      <c r="N40" s="244">
        <f>+M40+SUMIFS('7 2025 BMI Query'!$G:$G,'7 2025 BMI Query'!$E:$E,$B40,'7 2025 BMI Query'!$A:$A,$B9,'7 2025 BMI Query'!$C:$C,4)</f>
        <v>-56980122.530000001</v>
      </c>
      <c r="O40" s="244">
        <f>+N40+SUMIFS('7 2025 BMI Query'!$G:$G,'7 2025 BMI Query'!$E:$E,$B40,'7 2025 BMI Query'!$A:$A,$B9,'7 2025 BMI Query'!$C:$C,5)</f>
        <v>-59653638.880000003</v>
      </c>
      <c r="P40" s="244">
        <f>+O40+SUMIFS('7 2025 BMI Query'!$G:$G,'7 2025 BMI Query'!$E:$E,$B40,'7 2025 BMI Query'!$A:$A,$B9,'7 2025 BMI Query'!$C:$C,6)</f>
        <v>-65389585</v>
      </c>
      <c r="Q40" s="244">
        <f>+P40+SUMIFS('7 2025 BMI Query'!$G:$G,'7 2025 BMI Query'!$E:$E,$B40,'7 2025 BMI Query'!$A:$A,$B9,'7 2025 BMI Query'!$C:$C,7)</f>
        <v>-59387515.100000001</v>
      </c>
      <c r="R40" s="244">
        <f>+Q40+SUMIFS('7 2025 BMI Query'!$G:$G,'7 2025 BMI Query'!$E:$E,$B40,'7 2025 BMI Query'!$A:$A,$B9,'7 2025 BMI Query'!$C:$C,8)</f>
        <v>-60827172.560000002</v>
      </c>
      <c r="S40" s="244"/>
      <c r="T40" s="244"/>
      <c r="U40" s="244"/>
      <c r="V40" s="244"/>
      <c r="W40" s="244"/>
      <c r="X40" s="244"/>
    </row>
    <row r="41" spans="1:25" x14ac:dyDescent="0.25">
      <c r="A41" s="50" t="s">
        <v>496</v>
      </c>
      <c r="B41" s="238" t="s">
        <v>497</v>
      </c>
      <c r="C41" s="244">
        <f>+SUMIFS('6 2024 BMI Query'!$G:$G,'6 2024 BMI Query'!$E:$E,$B41,'6 2024 BMI Query'!$A:$A,$B9,'6 2024 BMI Query'!$C:$C,0)+SUMIFS('6 2024 BMI Query'!$G:$G,'6 2024 BMI Query'!$E:$E,$B41,'6 2024 BMI Query'!$A:$A,$B9,'6 2024 BMI Query'!$C:$C,1)+SUMIFS('6 2024 BMI Query'!$G:$G,'6 2024 BMI Query'!$E:$E,$B41,'6 2024 BMI Query'!$A:$A,$B9,'6 2024 BMI Query'!$C:$C,2)+SUMIFS('6 2024 BMI Query'!$G:$G,'6 2024 BMI Query'!$E:$E,$B41,'6 2024 BMI Query'!$A:$A,$B9,'6 2024 BMI Query'!$C:$C,3)</f>
        <v>-13490931.41</v>
      </c>
      <c r="D41" s="244">
        <f>+C41+SUMIFS('6 2024 BMI Query'!$G:$G,'6 2024 BMI Query'!$E:$E,$B41,'6 2024 BMI Query'!$A:$A,$B9,'6 2024 BMI Query'!$C:$C,4)+SUMIFS('6 2024 BMI Query'!$G:$G,'6 2024 BMI Query'!$E:$E,$B41,'6 2024 BMI Query'!$A:$A,$B9,'6 2024 BMI Query'!$C:$C,5)+SUMIFS('6 2024 BMI Query'!$G:$G,'6 2024 BMI Query'!$E:$E,$B41,'6 2024 BMI Query'!$A:$A,$B9,'6 2024 BMI Query'!$C:$C,6)</f>
        <v>-13490084.83</v>
      </c>
      <c r="E41" s="244">
        <f>+D41+SUMIFS('6 2024 BMI Query'!$G:$G,'6 2024 BMI Query'!$E:$E,$B41,'6 2024 BMI Query'!$A:$A,$B9,'6 2024 BMI Query'!$C:$C,7)</f>
        <v>-13490084.83</v>
      </c>
      <c r="F41" s="244">
        <f>+E41+SUMIFS('6 2024 BMI Query'!$G:$G,'6 2024 BMI Query'!$E:$E,$B41,'6 2024 BMI Query'!$A:$A,$B9,'6 2024 BMI Query'!$C:$C,8)</f>
        <v>-13490084.83</v>
      </c>
      <c r="G41" s="244">
        <f>+F41+SUMIFS('6 2024 BMI Query'!$G:$G,'6 2024 BMI Query'!$E:$E,$B41,'6 2024 BMI Query'!$A:$A,$B9,'6 2024 BMI Query'!$C:$C,9)</f>
        <v>-13489238.24</v>
      </c>
      <c r="H41" s="244">
        <f>+G41+SUMIFS('6 2024 BMI Query'!$G:$G,'6 2024 BMI Query'!$E:$E,$B41,'6 2024 BMI Query'!$C:$C,10)</f>
        <v>-13489238.24</v>
      </c>
      <c r="I41" s="244">
        <f>+H41+SUMIFS('6 2024 BMI Query'!$G:$G,'6 2024 BMI Query'!$E:$E,$B41,'6 2024 BMI Query'!$C:$C,11)</f>
        <v>-13487850.4</v>
      </c>
      <c r="J41" s="244">
        <f>+I41+SUMIFS('6 2024 BMI Query'!$G:$G,'6 2024 BMI Query'!$E:$E,$B41,'6 2024 BMI Query'!$C:$C,12)</f>
        <v>-13935408.92</v>
      </c>
      <c r="K41" s="244">
        <f>+SUMIFS('7 2025 BMI Query'!$G:$G,'7 2025 BMI Query'!$E:$E,$B41,'7 2025 BMI Query'!$A:$A,$B9,'7 2025 BMI Query'!$C:$C,0)+SUMIFS('7 2025 BMI Query'!$G:$G,'7 2025 BMI Query'!$E:$E,$B41,'7 2025 BMI Query'!$A:$A,$B9,'7 2025 BMI Query'!$C:$C,1)</f>
        <v>-13798911.93</v>
      </c>
      <c r="L41" s="244">
        <f>+K41+SUMIFS('7 2025 BMI Query'!$G:$G,'7 2025 BMI Query'!$E:$E,$B41,'7 2025 BMI Query'!$A:$A,$B9,'7 2025 BMI Query'!$C:$C,2)</f>
        <v>-13798911.93</v>
      </c>
      <c r="M41" s="244">
        <f>+L41+SUMIFS('7 2025 BMI Query'!$G:$G,'7 2025 BMI Query'!$E:$E,$B41,'7 2025 BMI Query'!$A:$A,$B9,'7 2025 BMI Query'!$C:$C,3)</f>
        <v>-13849031.369999999</v>
      </c>
      <c r="N41" s="244">
        <f>+M41+SUMIFS('7 2025 BMI Query'!$G:$G,'7 2025 BMI Query'!$E:$E,$B41,'7 2025 BMI Query'!$A:$A,$B9,'7 2025 BMI Query'!$C:$C,4)</f>
        <v>-13849031.369999999</v>
      </c>
      <c r="O41" s="244">
        <f>+N41+SUMIFS('7 2025 BMI Query'!$G:$G,'7 2025 BMI Query'!$E:$E,$B41,'7 2025 BMI Query'!$A:$A,$B9,'7 2025 BMI Query'!$C:$C,5)</f>
        <v>-13849031.369999999</v>
      </c>
      <c r="P41" s="244">
        <f>+O41+SUMIFS('7 2025 BMI Query'!$G:$G,'7 2025 BMI Query'!$E:$E,$B41,'7 2025 BMI Query'!$A:$A,$B9,'7 2025 BMI Query'!$C:$C,6)</f>
        <v>-13899150.809999999</v>
      </c>
      <c r="Q41" s="244">
        <f>+P41+SUMIFS('7 2025 BMI Query'!$G:$G,'7 2025 BMI Query'!$E:$E,$B41,'7 2025 BMI Query'!$A:$A,$B9,'7 2025 BMI Query'!$C:$C,7)</f>
        <v>-13899150.809999999</v>
      </c>
      <c r="R41" s="244">
        <f>+Q41+SUMIFS('7 2025 BMI Query'!$G:$G,'7 2025 BMI Query'!$E:$E,$B41,'7 2025 BMI Query'!$A:$A,$B9,'7 2025 BMI Query'!$C:$C,8)</f>
        <v>-13932563.759999998</v>
      </c>
      <c r="S41" s="244"/>
      <c r="T41" s="244"/>
      <c r="U41" s="244"/>
      <c r="V41" s="244"/>
      <c r="W41" s="244"/>
      <c r="X41" s="244"/>
    </row>
    <row r="42" spans="1:25" x14ac:dyDescent="0.25">
      <c r="A42" s="50" t="s">
        <v>123</v>
      </c>
      <c r="B42" s="238">
        <v>928351021</v>
      </c>
      <c r="C42" s="244">
        <f>+SUMIFS('6 2024 BMI Query'!$G:$G,'6 2024 BMI Query'!$E:$E,$B42,'6 2024 BMI Query'!$A:$A,$B9,'6 2024 BMI Query'!$C:$C,0)+SUMIFS('6 2024 BMI Query'!$G:$G,'6 2024 BMI Query'!$E:$E,$B42,'6 2024 BMI Query'!$A:$A,$B9,'6 2024 BMI Query'!$C:$C,1)+SUMIFS('6 2024 BMI Query'!$G:$G,'6 2024 BMI Query'!$E:$E,$B42,'6 2024 BMI Query'!$A:$A,$B9,'6 2024 BMI Query'!$C:$C,2)+SUMIFS('6 2024 BMI Query'!$G:$G,'6 2024 BMI Query'!$E:$E,$B42,'6 2024 BMI Query'!$A:$A,$B9,'6 2024 BMI Query'!$C:$C,3)</f>
        <v>-17766854.229999997</v>
      </c>
      <c r="D42" s="244">
        <f>+C42+SUMIFS('6 2024 BMI Query'!$G:$G,'6 2024 BMI Query'!$E:$E,$B42,'6 2024 BMI Query'!$A:$A,$B9,'6 2024 BMI Query'!$C:$C,4)+SUMIFS('6 2024 BMI Query'!$G:$G,'6 2024 BMI Query'!$E:$E,$B42,'6 2024 BMI Query'!$A:$A,$B9,'6 2024 BMI Query'!$C:$C,5)+SUMIFS('6 2024 BMI Query'!$G:$G,'6 2024 BMI Query'!$E:$E,$B42,'6 2024 BMI Query'!$A:$A,$B9,'6 2024 BMI Query'!$C:$C,6)</f>
        <v>-17593771.389999993</v>
      </c>
      <c r="E42" s="244">
        <f>+D42+SUMIFS('6 2024 BMI Query'!$G:$G,'6 2024 BMI Query'!$E:$E,$B42,'6 2024 BMI Query'!$A:$A,$B9,'6 2024 BMI Query'!$C:$C,7)</f>
        <v>-17536077.249999993</v>
      </c>
      <c r="F42" s="244">
        <f>+E42+SUMIFS('6 2024 BMI Query'!$G:$G,'6 2024 BMI Query'!$E:$E,$B42,'6 2024 BMI Query'!$A:$A,$B9,'6 2024 BMI Query'!$C:$C,8)</f>
        <v>-17478382.899999991</v>
      </c>
      <c r="G42" s="244">
        <f>+F42+SUMIFS('6 2024 BMI Query'!$G:$G,'6 2024 BMI Query'!$E:$E,$B42,'6 2024 BMI Query'!$A:$A,$B9,'6 2024 BMI Query'!$C:$C,9)</f>
        <v>-17420688.75999999</v>
      </c>
      <c r="H42" s="244">
        <f>+G42+SUMIFS('6 2024 BMI Query'!$G:$G,'6 2024 BMI Query'!$E:$E,$B42,'6 2024 BMI Query'!$C:$C,10)</f>
        <v>-16337417.729999991</v>
      </c>
      <c r="I42" s="244">
        <f>+H42+SUMIFS('6 2024 BMI Query'!$G:$G,'6 2024 BMI Query'!$E:$E,$B42,'6 2024 BMI Query'!$C:$C,11)</f>
        <v>-16838327.159999993</v>
      </c>
      <c r="J42" s="244">
        <f>+I42+SUMIFS('6 2024 BMI Query'!$G:$G,'6 2024 BMI Query'!$E:$E,$B42,'6 2024 BMI Query'!$C:$C,12)</f>
        <v>-16721426.879999993</v>
      </c>
      <c r="K42" s="244">
        <f>+SUMIFS('7 2025 BMI Query'!$G:$G,'7 2025 BMI Query'!$E:$E,$B42,'7 2025 BMI Query'!$A:$A,$B9,'7 2025 BMI Query'!$C:$C,0)+SUMIFS('7 2025 BMI Query'!$G:$G,'7 2025 BMI Query'!$E:$E,$B42,'7 2025 BMI Query'!$A:$A,$B9,'7 2025 BMI Query'!$C:$C,1)</f>
        <v>-17180922.560000002</v>
      </c>
      <c r="L42" s="244">
        <f>+K42+SUMIFS('7 2025 BMI Query'!$G:$G,'7 2025 BMI Query'!$E:$E,$B42,'7 2025 BMI Query'!$A:$A,$B9,'7 2025 BMI Query'!$C:$C,2)</f>
        <v>-17108207.750000004</v>
      </c>
      <c r="M42" s="244">
        <f>+L42+SUMIFS('7 2025 BMI Query'!$G:$G,'7 2025 BMI Query'!$E:$E,$B42,'7 2025 BMI Query'!$A:$A,$B9,'7 2025 BMI Query'!$C:$C,3)</f>
        <v>-17080709.510000005</v>
      </c>
      <c r="N42" s="244">
        <f>+M42+SUMIFS('7 2025 BMI Query'!$G:$G,'7 2025 BMI Query'!$E:$E,$B42,'7 2025 BMI Query'!$A:$A,$B9,'7 2025 BMI Query'!$C:$C,4)</f>
        <v>-17023066.820000004</v>
      </c>
      <c r="O42" s="244">
        <f>+N42+SUMIFS('7 2025 BMI Query'!$G:$G,'7 2025 BMI Query'!$E:$E,$B42,'7 2025 BMI Query'!$A:$A,$B9,'7 2025 BMI Query'!$C:$C,5)</f>
        <v>-16965424.130000003</v>
      </c>
      <c r="P42" s="244">
        <f>+O42+SUMIFS('7 2025 BMI Query'!$G:$G,'7 2025 BMI Query'!$E:$E,$B42,'7 2025 BMI Query'!$A:$A,$B9,'7 2025 BMI Query'!$C:$C,6)</f>
        <v>-16907781.440000001</v>
      </c>
      <c r="Q42" s="244">
        <f>+P42+SUMIFS('7 2025 BMI Query'!$G:$G,'7 2025 BMI Query'!$E:$E,$B42,'7 2025 BMI Query'!$A:$A,$B9,'7 2025 BMI Query'!$C:$C,7)</f>
        <v>-16850138.960000001</v>
      </c>
      <c r="R42" s="244">
        <f>+Q42+SUMIFS('7 2025 BMI Query'!$G:$G,'7 2025 BMI Query'!$E:$E,$B42,'7 2025 BMI Query'!$A:$A,$B9,'7 2025 BMI Query'!$C:$C,8)</f>
        <v>-16792496.27</v>
      </c>
      <c r="S42" s="244"/>
      <c r="T42" s="244"/>
      <c r="U42" s="244"/>
      <c r="V42" s="244"/>
      <c r="W42" s="244"/>
      <c r="X42" s="244"/>
    </row>
    <row r="43" spans="1:25" x14ac:dyDescent="0.25">
      <c r="A43" s="50" t="s">
        <v>126</v>
      </c>
      <c r="B43" s="238">
        <v>28311</v>
      </c>
      <c r="C43" s="244">
        <f>+C47+C48-SUM(C36:C42)</f>
        <v>-5582512.880000025</v>
      </c>
      <c r="D43" s="244">
        <f t="shared" ref="D43:Q43" si="24">+D47+D48-SUM(D36:D42)</f>
        <v>-5861262.0399999768</v>
      </c>
      <c r="E43" s="244">
        <f t="shared" si="24"/>
        <v>-5829190.0600000024</v>
      </c>
      <c r="F43" s="244">
        <f t="shared" si="24"/>
        <v>-5710503.8200000077</v>
      </c>
      <c r="G43" s="244">
        <f t="shared" si="24"/>
        <v>-6261161.5600000173</v>
      </c>
      <c r="H43" s="244">
        <f t="shared" si="24"/>
        <v>-20660656.280000016</v>
      </c>
      <c r="I43" s="244">
        <f t="shared" si="24"/>
        <v>-15488397.649999991</v>
      </c>
      <c r="J43" s="244">
        <f t="shared" si="24"/>
        <v>-22327445.939999998</v>
      </c>
      <c r="K43" s="244">
        <f t="shared" si="24"/>
        <v>-6299385.4999999851</v>
      </c>
      <c r="L43" s="244">
        <f t="shared" si="24"/>
        <v>-6350479.0599999726</v>
      </c>
      <c r="M43" s="244">
        <f t="shared" si="24"/>
        <v>-7053910.0099999905</v>
      </c>
      <c r="N43" s="244">
        <f t="shared" si="24"/>
        <v>-7002249.0399999917</v>
      </c>
      <c r="O43" s="244">
        <f t="shared" si="24"/>
        <v>-6986134.4699999988</v>
      </c>
      <c r="P43" s="244">
        <f t="shared" si="24"/>
        <v>-7505371.349999994</v>
      </c>
      <c r="Q43" s="244">
        <f t="shared" si="24"/>
        <v>-7638330.25</v>
      </c>
      <c r="R43" s="244">
        <f>+R47+R48-SUM(R36:R42)-R44-R45</f>
        <v>-8003300.8700000104</v>
      </c>
      <c r="S43" s="244"/>
      <c r="T43" s="244"/>
      <c r="U43" s="244"/>
      <c r="V43" s="244"/>
      <c r="W43" s="244"/>
      <c r="X43" s="244"/>
    </row>
    <row r="44" spans="1:25" x14ac:dyDescent="0.25">
      <c r="A44" s="245" t="s">
        <v>498</v>
      </c>
      <c r="B44" s="238" t="s">
        <v>486</v>
      </c>
      <c r="C44" s="244"/>
      <c r="D44" s="244"/>
      <c r="E44" s="244"/>
      <c r="F44" s="244"/>
      <c r="G44" s="244"/>
      <c r="H44" s="244"/>
      <c r="I44" s="244"/>
      <c r="J44" s="244"/>
      <c r="K44" s="244"/>
      <c r="L44" s="244"/>
      <c r="M44" s="244"/>
      <c r="N44" s="244"/>
      <c r="O44" s="244"/>
      <c r="P44" s="244"/>
      <c r="Q44" s="244"/>
      <c r="R44" s="246">
        <f>-R22</f>
        <v>-673751</v>
      </c>
      <c r="S44" s="244"/>
      <c r="T44" s="244"/>
      <c r="U44" s="244"/>
      <c r="V44" s="244"/>
      <c r="W44" s="244"/>
      <c r="X44" s="244"/>
    </row>
    <row r="45" spans="1:25" x14ac:dyDescent="0.25">
      <c r="A45" s="245" t="s">
        <v>499</v>
      </c>
      <c r="B45" s="238" t="s">
        <v>500</v>
      </c>
      <c r="C45" s="244"/>
      <c r="D45" s="244"/>
      <c r="E45" s="244"/>
      <c r="F45" s="244"/>
      <c r="G45" s="244"/>
      <c r="H45" s="244"/>
      <c r="I45" s="244"/>
      <c r="J45" s="244"/>
      <c r="K45" s="244"/>
      <c r="L45" s="244"/>
      <c r="M45" s="244"/>
      <c r="N45" s="244"/>
      <c r="O45" s="244"/>
      <c r="P45" s="244"/>
      <c r="Q45" s="244"/>
      <c r="R45" s="246">
        <v>-7562814.9000000004</v>
      </c>
      <c r="S45" s="244"/>
      <c r="T45" s="244"/>
      <c r="U45" s="244"/>
      <c r="V45" s="244"/>
      <c r="W45" s="244"/>
      <c r="X45" s="244"/>
    </row>
    <row r="46" spans="1:25" x14ac:dyDescent="0.25">
      <c r="A46" s="50" t="s">
        <v>501</v>
      </c>
      <c r="C46" s="247">
        <f>SUM(C36:C45)</f>
        <v>-117982890.30000001</v>
      </c>
      <c r="D46" s="247">
        <f t="shared" ref="D46" si="25">SUM(D36:D45)</f>
        <v>-121530798.17999999</v>
      </c>
      <c r="E46" s="247">
        <f t="shared" ref="E46:R46" si="26">SUM(E36:E45)</f>
        <v>-116405405.56</v>
      </c>
      <c r="F46" s="247">
        <f t="shared" si="26"/>
        <v>-113026176.23</v>
      </c>
      <c r="G46" s="247">
        <f t="shared" si="26"/>
        <v>-115076515.93000001</v>
      </c>
      <c r="H46" s="247">
        <f t="shared" si="26"/>
        <v>-108427780.15000001</v>
      </c>
      <c r="I46" s="247">
        <f t="shared" si="26"/>
        <v>-99969088</v>
      </c>
      <c r="J46" s="247">
        <f t="shared" si="26"/>
        <v>-103156036.59999999</v>
      </c>
      <c r="K46" s="247">
        <f t="shared" si="26"/>
        <v>-95309542.439999983</v>
      </c>
      <c r="L46" s="247">
        <f t="shared" si="26"/>
        <v>-94938852.609999985</v>
      </c>
      <c r="M46" s="247">
        <f t="shared" si="26"/>
        <v>-97770674.329999998</v>
      </c>
      <c r="N46" s="247">
        <f t="shared" si="26"/>
        <v>-97137963.769999996</v>
      </c>
      <c r="O46" s="247">
        <f t="shared" si="26"/>
        <v>-99680508.5</v>
      </c>
      <c r="P46" s="247">
        <f t="shared" si="26"/>
        <v>-105870953.88</v>
      </c>
      <c r="Q46" s="247">
        <f t="shared" si="26"/>
        <v>-99886986.030000001</v>
      </c>
      <c r="R46" s="247">
        <f t="shared" si="26"/>
        <v>-109846735.90000001</v>
      </c>
      <c r="S46" s="247">
        <f t="shared" ref="S46:X46" si="27">SUM(S36:S44)</f>
        <v>0</v>
      </c>
      <c r="T46" s="247">
        <f t="shared" si="27"/>
        <v>0</v>
      </c>
      <c r="U46" s="247">
        <f t="shared" si="27"/>
        <v>0</v>
      </c>
      <c r="V46" s="247">
        <f t="shared" si="27"/>
        <v>0</v>
      </c>
      <c r="W46" s="247">
        <f t="shared" si="27"/>
        <v>0</v>
      </c>
      <c r="X46" s="247">
        <f t="shared" si="27"/>
        <v>0</v>
      </c>
    </row>
    <row r="47" spans="1:25" x14ac:dyDescent="0.25">
      <c r="A47" s="245" t="s">
        <v>502</v>
      </c>
      <c r="B47" s="238">
        <v>28311</v>
      </c>
      <c r="C47" s="248">
        <f>SUMIFS('6 2024 BMI Query'!$G:$G,'6 2024 BMI Query'!$D:$D,$B47,'6 2024 BMI Query'!$A:$A,$B9,'6 2024 BMI Query'!$C:$C,0)+SUMIFS('6 2024 BMI Query'!$G:$G,'6 2024 BMI Query'!$D:$D,$B47,'6 2024 BMI Query'!$A:$A,$B9,'6 2024 BMI Query'!$C:$C,1)+SUMIFS('6 2024 BMI Query'!$G:$G,'6 2024 BMI Query'!$D:$D,$B47,'6 2024 BMI Query'!$A:$A,$B9,'6 2024 BMI Query'!$C:$C,2)+SUMIFS('6 2024 BMI Query'!$G:$G,'6 2024 BMI Query'!$D:$D,$B47,'6 2024 BMI Query'!$A:$A,$B9,'6 2024 BMI Query'!$C:$C,3)</f>
        <v>-117589161.54000001</v>
      </c>
      <c r="D47" s="248">
        <f>+C47+SUMIFS('6 2024 BMI Query'!$G:$G,'6 2024 BMI Query'!$D:$D,$B47,'6 2024 BMI Query'!$A:$A,$B9,'6 2024 BMI Query'!$C:$C,4)+SUMIFS('6 2024 BMI Query'!$G:$G,'6 2024 BMI Query'!$D:$D,$B47,'6 2024 BMI Query'!$A:$A,$B9,'6 2024 BMI Query'!$C:$C,5)+SUMIFS('6 2024 BMI Query'!$G:$G,'6 2024 BMI Query'!$D:$D,$B47,'6 2024 BMI Query'!$A:$A,$B9,'6 2024 BMI Query'!$C:$C,6)</f>
        <v>-121339923.27</v>
      </c>
      <c r="E47" s="248">
        <f>+D47+SUMIFS('6 2024 BMI Query'!$G:$G,'6 2024 BMI Query'!$D:$D,$B47,'6 2024 BMI Query'!$A:$A,$B9,'6 2024 BMI Query'!$C:$C,7)</f>
        <v>-116246494.59</v>
      </c>
      <c r="F47" s="248">
        <f>+E47+SUMIFS('6 2024 BMI Query'!$G:$G,'6 2024 BMI Query'!$D:$D,$B47,'6 2024 BMI Query'!$A:$A,$B9,'6 2024 BMI Query'!$C:$C,8)</f>
        <v>-112985843.45</v>
      </c>
      <c r="G47" s="248">
        <f>+F47+SUMIFS('6 2024 BMI Query'!$G:$G,'6 2024 BMI Query'!$D:$D,$B47,'6 2024 BMI Query'!$A:$A,$B9,'6 2024 BMI Query'!$C:$C,9)</f>
        <v>-115048841.29000001</v>
      </c>
      <c r="H47" s="248">
        <f>+G47+SUMIFS('6 2024 BMI Query'!$G:$G,'6 2024 BMI Query'!$D:$D,$B47,'6 2024 BMI Query'!$A:$A,$B9,'6 2024 BMI Query'!$C:$C,10)</f>
        <v>-108432965.53</v>
      </c>
      <c r="I47" s="248">
        <f>+H47+SUMIFS('6 2024 BMI Query'!$G:$G,'6 2024 BMI Query'!$D:$D,$B47,'6 2024 BMI Query'!$A:$A,$B9,'6 2024 BMI Query'!$C:$C,11)</f>
        <v>-99982697.239999995</v>
      </c>
      <c r="J47" s="248">
        <f>+I47+SUMIFS('6 2024 BMI Query'!$G:$G,'6 2024 BMI Query'!$D:$D,$B47,'6 2024 BMI Query'!$A:$A,$B9,'6 2024 BMI Query'!$C:$C,12)</f>
        <v>-102774532.63</v>
      </c>
      <c r="K47" s="248">
        <f>SUMIFS('7 2025 BMI Query'!$G:$G,'7 2025 BMI Query'!$D:$D,$B47,'7 2025 BMI Query'!$A:$A,$B9,'7 2025 BMI Query'!$C:$C,0)+SUMIFS('7 2025 BMI Query'!$G:$G,'7 2025 BMI Query'!$D:$D,$B47,'7 2025 BMI Query'!$A:$A,$B9,'7 2025 BMI Query'!$C:$C,1)</f>
        <v>-95075263.969999984</v>
      </c>
      <c r="L47" s="248">
        <f>+K47+SUMIFS('7 2025 BMI Query'!$G:$G,'7 2025 BMI Query'!$D:$D,$B47,'7 2025 BMI Query'!$A:$A,$B9,'7 2025 BMI Query'!$C:$C,2)</f>
        <v>-94715176.229999989</v>
      </c>
      <c r="M47" s="248">
        <f>+L47+SUMIFS('7 2025 BMI Query'!$G:$G,'7 2025 BMI Query'!$D:$D,$B47,'7 2025 BMI Query'!$A:$A,$B9,'7 2025 BMI Query'!$C:$C,3)</f>
        <v>-97473674.129999995</v>
      </c>
      <c r="N47" s="248">
        <f>+M47+SUMIFS('7 2025 BMI Query'!$G:$G,'7 2025 BMI Query'!$D:$D,$B47,'7 2025 BMI Query'!$A:$A,$B9,'7 2025 BMI Query'!$C:$C,4)</f>
        <v>-96875243.929999992</v>
      </c>
      <c r="O47" s="248">
        <f>+N47+SUMIFS('7 2025 BMI Query'!$G:$G,'7 2025 BMI Query'!$D:$D,$B47,'7 2025 BMI Query'!$A:$A,$B9,'7 2025 BMI Query'!$C:$C,5)</f>
        <v>-99444794.519999996</v>
      </c>
      <c r="P47" s="248">
        <f>+O47+SUMIFS('7 2025 BMI Query'!$G:$G,'7 2025 BMI Query'!$D:$D,$B47,'7 2025 BMI Query'!$A:$A,$B9,'7 2025 BMI Query'!$C:$C,6)</f>
        <v>-105654338.02</v>
      </c>
      <c r="Q47" s="248">
        <f>+P47+SUMIFS('7 2025 BMI Query'!$G:$G,'7 2025 BMI Query'!$D:$D,$B47,'7 2025 BMI Query'!$A:$A,$B9,'7 2025 BMI Query'!$C:$C,7)</f>
        <v>-99683863.109999999</v>
      </c>
      <c r="R47" s="248">
        <f>+Q47+SUMIFS('7 2025 BMI Query'!$G:$G,'7 2025 BMI Query'!$D:$D,$B47,'7 2025 BMI Query'!$A:$A,$B9,'7 2025 BMI Query'!$C:$C,8)+R44+R45</f>
        <v>-109684229.24000001</v>
      </c>
      <c r="S47" s="248"/>
      <c r="T47" s="248"/>
      <c r="U47" s="248"/>
      <c r="V47" s="248"/>
      <c r="W47" s="248"/>
      <c r="X47" s="248"/>
    </row>
    <row r="48" spans="1:25" x14ac:dyDescent="0.25">
      <c r="A48" s="245" t="s">
        <v>488</v>
      </c>
      <c r="B48" s="238">
        <v>28311</v>
      </c>
      <c r="C48" s="248">
        <f>SUMIFS('6 2024 BMI Query'!$G:$G,'6 2024 BMI Query'!$D:$D,$B48,'6 2024 BMI Query'!$A:$A,75002,'6 2024 BMI Query'!$C:$C,0)+SUMIFS('6 2024 BMI Query'!$G:$G,'6 2024 BMI Query'!$D:$D,$B48,'6 2024 BMI Query'!$A:$A,75002,'6 2024 BMI Query'!$C:$C,1)+SUMIFS('6 2024 BMI Query'!$G:$G,'6 2024 BMI Query'!$D:$D,$B48,'6 2024 BMI Query'!$A:$A,75002,'6 2024 BMI Query'!$C:$C,2)+SUMIFS('6 2024 BMI Query'!$G:$G,'6 2024 BMI Query'!$D:$D,$B48,'6 2024 BMI Query'!$A:$A,75002,'6 2024 BMI Query'!$C:$C,3)</f>
        <v>-393728.75999999995</v>
      </c>
      <c r="D48" s="248">
        <f>+C48+SUMIFS('6 2024 BMI Query'!$G:$G,'6 2024 BMI Query'!$D:$D,$B48,'6 2024 BMI Query'!$A:$A,75002,'6 2024 BMI Query'!$C:$C,4)+SUMIFS('6 2024 BMI Query'!$G:$G,'6 2024 BMI Query'!$D:$D,$B48,'6 2024 BMI Query'!$A:$A,75002,'6 2024 BMI Query'!$C:$C,5)+SUMIFS('6 2024 BMI Query'!$G:$G,'6 2024 BMI Query'!$D:$D,$B48,'6 2024 BMI Query'!$A:$A,75002,'6 2024 BMI Query'!$C:$C,6)</f>
        <v>-190874.90999999992</v>
      </c>
      <c r="E48" s="248">
        <f>+D48+SUMIFS('6 2024 BMI Query'!$G:$G,'6 2024 BMI Query'!$D:$D,$B48,'6 2024 BMI Query'!$A:$A,75002,'6 2024 BMI Query'!$C:$C,7)</f>
        <v>-158910.96999999991</v>
      </c>
      <c r="F48" s="248">
        <f>+E48+SUMIFS('6 2024 BMI Query'!$G:$G,'6 2024 BMI Query'!$D:$D,$B48,'6 2024 BMI Query'!$A:$A,75002,'6 2024 BMI Query'!$C:$C,8)</f>
        <v>-40332.779999999912</v>
      </c>
      <c r="G48" s="248">
        <f>+F48+SUMIFS('6 2024 BMI Query'!$G:$G,'6 2024 BMI Query'!$D:$D,$B48,'6 2024 BMI Query'!$A:$A,75002,'6 2024 BMI Query'!$C:$C,9)</f>
        <v>-27674.639999999912</v>
      </c>
      <c r="H48" s="248">
        <f>+G48+SUMIFS('6 2024 BMI Query'!$G:$G,'6 2024 BMI Query'!$D:$D,$B48,'6 2024 BMI Query'!$A:$A,75002,'6 2024 BMI Query'!$C:$C,10)</f>
        <v>5185.380000000092</v>
      </c>
      <c r="I48" s="248">
        <f>+H48+SUMIFS('6 2024 BMI Query'!$G:$G,'6 2024 BMI Query'!$D:$D,$B48,'6 2024 BMI Query'!$A:$A,75002,'6 2024 BMI Query'!$C:$C,11)</f>
        <v>13609.240000000093</v>
      </c>
      <c r="J48" s="248">
        <f>+I48+SUMIFS('6 2024 BMI Query'!$G:$G,'6 2024 BMI Query'!$D:$D,$B48,'6 2024 BMI Query'!$A:$A,75002,'6 2024 BMI Query'!$C:$C,12)</f>
        <v>-381503.96999999991</v>
      </c>
      <c r="K48" s="248">
        <f>SUMIFS('7 2025 BMI Query'!$G:$G,'7 2025 BMI Query'!$D:$D,$B48,'7 2025 BMI Query'!$A:$A,75002,'7 2025 BMI Query'!$C:$C,0)+SUMIFS('7 2025 BMI Query'!$G:$G,'7 2025 BMI Query'!$D:$D,$B48,'7 2025 BMI Query'!$A:$A,75002,'7 2025 BMI Query'!$C:$C,1)</f>
        <v>-234278.46999999997</v>
      </c>
      <c r="L48" s="248">
        <f>+K48+SUMIFS('7 2025 BMI Query'!$G:$G,'7 2025 BMI Query'!$D:$D,$B48,'7 2025 BMI Query'!$A:$A,75002,'7 2025 BMI Query'!$C:$C,2)</f>
        <v>-223676.37999999998</v>
      </c>
      <c r="M48" s="248">
        <f>+L48+SUMIFS('7 2025 BMI Query'!$G:$G,'7 2025 BMI Query'!$D:$D,$B48,'7 2025 BMI Query'!$A:$A,75002,'7 2025 BMI Query'!$C:$C,3)</f>
        <v>-297000.19999999995</v>
      </c>
      <c r="N48" s="248">
        <f>+M48+SUMIFS('7 2025 BMI Query'!$G:$G,'7 2025 BMI Query'!$D:$D,$B48,'7 2025 BMI Query'!$A:$A,75002,'7 2025 BMI Query'!$C:$C,4)</f>
        <v>-262719.83999999997</v>
      </c>
      <c r="O48" s="248">
        <f>+N48+SUMIFS('7 2025 BMI Query'!$G:$G,'7 2025 BMI Query'!$D:$D,$B48,'7 2025 BMI Query'!$A:$A,75002,'7 2025 BMI Query'!$C:$C,5)</f>
        <v>-235713.97999999998</v>
      </c>
      <c r="P48" s="248">
        <f>+O48+SUMIFS('7 2025 BMI Query'!$G:$G,'7 2025 BMI Query'!$D:$D,$B48,'7 2025 BMI Query'!$A:$A,75002,'7 2025 BMI Query'!$C:$C,6)</f>
        <v>-216615.86</v>
      </c>
      <c r="Q48" s="248">
        <f>+P48+SUMIFS('7 2025 BMI Query'!$G:$G,'7 2025 BMI Query'!$D:$D,$B48,'7 2025 BMI Query'!$A:$A,75002,'7 2025 BMI Query'!$C:$C,7)</f>
        <v>-203122.91999999998</v>
      </c>
      <c r="R48" s="248">
        <f>+Q48+SUMIFS('7 2025 BMI Query'!$G:$G,'7 2025 BMI Query'!$D:$D,$B48,'7 2025 BMI Query'!$A:$A,75002,'7 2025 BMI Query'!$C:$C,8)+1</f>
        <v>-162506.65999999997</v>
      </c>
      <c r="S48" s="248"/>
      <c r="T48" s="248"/>
      <c r="U48" s="248"/>
      <c r="V48" s="248"/>
      <c r="W48" s="248"/>
      <c r="X48" s="248"/>
    </row>
    <row r="49" spans="1:25" ht="16.5" thickBot="1" x14ac:dyDescent="0.3">
      <c r="A49" s="245" t="s">
        <v>340</v>
      </c>
      <c r="C49" s="249">
        <f>SUM(C47:C48)</f>
        <v>-117982890.30000001</v>
      </c>
      <c r="D49" s="249">
        <f t="shared" ref="D49" si="28">SUM(D47:D48)</f>
        <v>-121530798.17999999</v>
      </c>
      <c r="E49" s="249">
        <f t="shared" ref="E49" si="29">SUM(E47:E48)</f>
        <v>-116405405.56</v>
      </c>
      <c r="F49" s="249">
        <f t="shared" ref="F49" si="30">SUM(F47:F48)</f>
        <v>-113026176.23</v>
      </c>
      <c r="G49" s="249">
        <f t="shared" ref="G49" si="31">SUM(G47:G48)</f>
        <v>-115076515.93000001</v>
      </c>
      <c r="H49" s="249">
        <f t="shared" ref="H49" si="32">SUM(H47:H48)</f>
        <v>-108427780.15000001</v>
      </c>
      <c r="I49" s="249">
        <f t="shared" ref="I49" si="33">SUM(I47:I48)</f>
        <v>-99969088</v>
      </c>
      <c r="J49" s="249">
        <f t="shared" ref="J49" si="34">SUM(J47:J48)</f>
        <v>-103156036.59999999</v>
      </c>
      <c r="K49" s="249">
        <f t="shared" ref="K49" si="35">SUM(K47:K48)</f>
        <v>-95309542.439999983</v>
      </c>
      <c r="L49" s="249">
        <f t="shared" ref="L49" si="36">SUM(L47:L48)</f>
        <v>-94938852.609999985</v>
      </c>
      <c r="M49" s="249">
        <f t="shared" ref="M49" si="37">SUM(M47:M48)</f>
        <v>-97770674.329999998</v>
      </c>
      <c r="N49" s="249">
        <f t="shared" ref="N49" si="38">SUM(N47:N48)</f>
        <v>-97137963.769999996</v>
      </c>
      <c r="O49" s="249">
        <f t="shared" ref="O49" si="39">SUM(O47:O48)</f>
        <v>-99680508.5</v>
      </c>
      <c r="P49" s="249">
        <f t="shared" ref="P49" si="40">SUM(P47:P48)</f>
        <v>-105870953.88</v>
      </c>
      <c r="Q49" s="249">
        <f t="shared" ref="Q49" si="41">SUM(Q47:Q48)</f>
        <v>-99886986.030000001</v>
      </c>
      <c r="R49" s="249">
        <f t="shared" ref="R49" si="42">SUM(R47:R48)</f>
        <v>-109846735.90000001</v>
      </c>
      <c r="S49" s="249">
        <f t="shared" ref="S49" si="43">SUM(S47:S48)</f>
        <v>0</v>
      </c>
      <c r="T49" s="249">
        <f t="shared" ref="T49" si="44">SUM(T47:T48)</f>
        <v>0</v>
      </c>
      <c r="U49" s="249">
        <f t="shared" ref="U49" si="45">SUM(U47:U48)</f>
        <v>0</v>
      </c>
      <c r="V49" s="249">
        <f t="shared" ref="V49" si="46">SUM(V47:V48)</f>
        <v>0</v>
      </c>
      <c r="W49" s="249">
        <f t="shared" ref="W49" si="47">SUM(W47:W48)</f>
        <v>0</v>
      </c>
      <c r="X49" s="249">
        <f t="shared" ref="X49" si="48">SUM(X47:X48)</f>
        <v>0</v>
      </c>
    </row>
    <row r="50" spans="1:25" ht="16.5" thickTop="1" x14ac:dyDescent="0.25">
      <c r="A50" s="50"/>
    </row>
    <row r="51" spans="1:25" s="49" customFormat="1" ht="16.5" thickBot="1" x14ac:dyDescent="0.3">
      <c r="A51" s="251" t="s">
        <v>503</v>
      </c>
      <c r="B51" s="241"/>
      <c r="C51" s="252">
        <f t="shared" ref="C51:X51" si="49">+C23+C33+C46</f>
        <v>-12839570.340000048</v>
      </c>
      <c r="D51" s="252">
        <f t="shared" si="49"/>
        <v>-17770397.88000004</v>
      </c>
      <c r="E51" s="252">
        <f t="shared" ref="E51:R51" si="50">+E23+E33+E46</f>
        <v>-16051508.810000047</v>
      </c>
      <c r="F51" s="252">
        <f t="shared" si="50"/>
        <v>-11783313.750000045</v>
      </c>
      <c r="G51" s="252">
        <f t="shared" si="50"/>
        <v>-2835210.0200000405</v>
      </c>
      <c r="H51" s="252">
        <f t="shared" si="50"/>
        <v>-1306574.0700000376</v>
      </c>
      <c r="I51" s="252">
        <f t="shared" si="50"/>
        <v>5219332.1899999678</v>
      </c>
      <c r="J51" s="252">
        <f t="shared" si="50"/>
        <v>1573295.0099999756</v>
      </c>
      <c r="K51" s="252">
        <f t="shared" si="50"/>
        <v>5946214.910000056</v>
      </c>
      <c r="L51" s="252">
        <f t="shared" si="50"/>
        <v>4248399.0800000578</v>
      </c>
      <c r="M51" s="252">
        <f t="shared" si="50"/>
        <v>10020133.010000035</v>
      </c>
      <c r="N51" s="252">
        <f t="shared" si="50"/>
        <v>4877682.3600000292</v>
      </c>
      <c r="O51" s="252">
        <f t="shared" si="50"/>
        <v>2097605.9600000381</v>
      </c>
      <c r="P51" s="252">
        <f t="shared" si="50"/>
        <v>-3584733.2699999362</v>
      </c>
      <c r="Q51" s="252">
        <f t="shared" si="50"/>
        <v>-3286176.2099999189</v>
      </c>
      <c r="R51" s="252">
        <f t="shared" si="50"/>
        <v>-14446507.709999919</v>
      </c>
      <c r="S51" s="252">
        <f t="shared" si="49"/>
        <v>0</v>
      </c>
      <c r="T51" s="252">
        <f t="shared" si="49"/>
        <v>0</v>
      </c>
      <c r="U51" s="252">
        <f t="shared" si="49"/>
        <v>0</v>
      </c>
      <c r="V51" s="252">
        <f t="shared" si="49"/>
        <v>0</v>
      </c>
      <c r="W51" s="252">
        <f t="shared" si="49"/>
        <v>0</v>
      </c>
      <c r="X51" s="252">
        <f t="shared" si="49"/>
        <v>0</v>
      </c>
    </row>
    <row r="52" spans="1:25" ht="16.5" thickTop="1" x14ac:dyDescent="0.25">
      <c r="A52" s="50"/>
    </row>
    <row r="53" spans="1:25" x14ac:dyDescent="0.25">
      <c r="A53" s="242" t="s">
        <v>504</v>
      </c>
      <c r="B53" s="243">
        <v>75200</v>
      </c>
      <c r="C53" s="240"/>
      <c r="D53" s="240"/>
      <c r="E53" s="240"/>
      <c r="F53" s="240"/>
      <c r="G53" s="240"/>
      <c r="H53" s="240"/>
      <c r="I53" s="240"/>
      <c r="J53" s="240"/>
      <c r="K53" s="240"/>
      <c r="L53" s="240"/>
      <c r="M53" s="240"/>
      <c r="N53" s="240"/>
      <c r="O53" s="240"/>
      <c r="P53" s="240"/>
      <c r="Q53" s="240"/>
      <c r="R53" s="240"/>
      <c r="S53" s="240"/>
      <c r="T53" s="240"/>
      <c r="U53" s="240"/>
      <c r="V53" s="240"/>
      <c r="W53" s="240"/>
      <c r="X53" s="240"/>
    </row>
    <row r="54" spans="1:25" x14ac:dyDescent="0.25">
      <c r="A54" s="50" t="s">
        <v>94</v>
      </c>
      <c r="B54" s="238">
        <v>919001271</v>
      </c>
      <c r="C54" s="244">
        <f>+SUMIFS('6 2024 BMI Query'!$G:$G,'6 2024 BMI Query'!$E:$E,$B54,'6 2024 BMI Query'!$C:$C,0)+SUMIFS('6 2024 BMI Query'!$G:$G,'6 2024 BMI Query'!$E:$E,$B54,'6 2024 BMI Query'!$C:$C,1)+SUMIFS('6 2024 BMI Query'!$G:$G,'6 2024 BMI Query'!$E:$E,$B54,'6 2024 BMI Query'!$C:$C,2)+SUMIFS('6 2024 BMI Query'!$G:$G,'6 2024 BMI Query'!$E:$E,$B54,'6 2024 BMI Query'!$C:$C,3)</f>
        <v>12568882</v>
      </c>
      <c r="D54" s="244">
        <f>+C54+SUMIFS('6 2024 BMI Query'!$G:$G,'6 2024 BMI Query'!$E:$E,$B54,'6 2024 BMI Query'!$C:$C,4)+SUMIFS('6 2024 BMI Query'!$G:$G,'6 2024 BMI Query'!$E:$E,$B54,'6 2024 BMI Query'!$C:$C,5)+SUMIFS('6 2024 BMI Query'!$G:$G,'6 2024 BMI Query'!$E:$E,$B54,'6 2024 BMI Query'!$C:$C,6)</f>
        <v>12543364</v>
      </c>
      <c r="E54" s="244">
        <f>+D54+SUMIFS('6 2024 BMI Query'!$G:$G,'6 2024 BMI Query'!$E:$E,$B54,'6 2024 BMI Query'!$C:$C,7)</f>
        <v>12534858</v>
      </c>
      <c r="F54" s="244">
        <f>+E54+SUMIFS('6 2024 BMI Query'!$G:$G,'6 2024 BMI Query'!$E:$E,$B54,'6 2024 BMI Query'!$C:$C,8)</f>
        <v>12526352</v>
      </c>
      <c r="G54" s="244">
        <f>+F54+SUMIFS('6 2024 BMI Query'!$G:$G,'6 2024 BMI Query'!$E:$E,$B54,'6 2024 BMI Query'!$C:$C,9)</f>
        <v>12517846</v>
      </c>
      <c r="H54" s="244">
        <f>+G54+SUMIFS('6 2024 BMI Query'!$G:$G,'6 2024 BMI Query'!$E:$E,$B54,'6 2024 BMI Query'!$C:$C,10)</f>
        <v>12509340</v>
      </c>
      <c r="I54" s="244">
        <f>+H54+SUMIFS('6 2024 BMI Query'!$G:$G,'6 2024 BMI Query'!$E:$E,$B54,'6 2024 BMI Query'!$C:$C,11)</f>
        <v>12500834</v>
      </c>
      <c r="J54" s="244">
        <f>+I54+SUMIFS('6 2024 BMI Query'!$G:$G,'6 2024 BMI Query'!$E:$E,$B54,'6 2024 BMI Query'!$C:$C,12)</f>
        <v>12492328</v>
      </c>
      <c r="K54" s="244">
        <f>+SUMIFS('7 2025 BMI Query'!$G:$G,'7 2025 BMI Query'!$E:$E,$B54,'7 2025 BMI Query'!$C:$C,0)+SUMIFS('7 2025 BMI Query'!$G:$G,'7 2025 BMI Query'!$E:$E,$B54,'7 2025 BMI Query'!$C:$C,1)</f>
        <v>12483822</v>
      </c>
      <c r="L54" s="244">
        <f>+K54+SUMIFS('7 2025 BMI Query'!$G:$G,'7 2025 BMI Query'!$E:$E,$B54,'7 2025 BMI Query'!$C:$C,2)</f>
        <v>12475316</v>
      </c>
      <c r="M54" s="244">
        <f>+L54+SUMIFS('7 2025 BMI Query'!$G:$G,'7 2025 BMI Query'!$E:$E,$B54,'7 2025 BMI Query'!$C:$C,3)</f>
        <v>12466810</v>
      </c>
      <c r="N54" s="244">
        <f>+M54+SUMIFS('7 2025 BMI Query'!$G:$G,'7 2025 BMI Query'!$E:$E,$B54,'7 2025 BMI Query'!$C:$C,4)</f>
        <v>12458304</v>
      </c>
      <c r="O54" s="244">
        <f>+N54+SUMIFS('7 2025 BMI Query'!$G:$G,'7 2025 BMI Query'!$E:$E,$B54,'7 2025 BMI Query'!$C:$C,5)</f>
        <v>12449798</v>
      </c>
      <c r="P54" s="244">
        <f>+O54+SUMIFS('7 2025 BMI Query'!$G:$G,'7 2025 BMI Query'!$E:$E,$B54,'7 2025 BMI Query'!$C:$C,6)</f>
        <v>11778304</v>
      </c>
      <c r="Q54" s="244">
        <f>+P54+SUMIFS('7 2025 BMI Query'!$G:$G,'7 2025 BMI Query'!$E:$E,$B54,'7 2025 BMI Query'!$C:$C,7)</f>
        <v>11748347</v>
      </c>
      <c r="R54" s="244">
        <f>+Q54+SUMIFS('7 2025 BMI Query'!$G:$G,'7 2025 BMI Query'!$E:$E,$B54,'7 2025 BMI Query'!$C:$C,8)</f>
        <v>11718390</v>
      </c>
      <c r="S54" s="244"/>
      <c r="T54" s="244"/>
      <c r="U54" s="244"/>
      <c r="V54" s="244"/>
      <c r="W54" s="244"/>
      <c r="X54" s="244"/>
    </row>
    <row r="55" spans="1:25" x14ac:dyDescent="0.25">
      <c r="A55" s="50" t="s">
        <v>104</v>
      </c>
      <c r="B55" s="238">
        <v>919025201</v>
      </c>
      <c r="C55" s="244">
        <f>+SUMIFS('6 2024 BMI Query'!$G:$G,'6 2024 BMI Query'!$E:$E,$B55,'6 2024 BMI Query'!$C:$C,0)+SUMIFS('6 2024 BMI Query'!$G:$G,'6 2024 BMI Query'!$E:$E,$B55,'6 2024 BMI Query'!$C:$C,1)+SUMIFS('6 2024 BMI Query'!$G:$G,'6 2024 BMI Query'!$E:$E,$B55,'6 2024 BMI Query'!$C:$C,2)+SUMIFS('6 2024 BMI Query'!$G:$G,'6 2024 BMI Query'!$E:$E,$B55,'6 2024 BMI Query'!$C:$C,3)</f>
        <v>8304545.1299999999</v>
      </c>
      <c r="D55" s="244">
        <f>+C55+SUMIFS('6 2024 BMI Query'!$G:$G,'6 2024 BMI Query'!$E:$E,$B55,'6 2024 BMI Query'!$C:$C,4)+SUMIFS('6 2024 BMI Query'!$G:$G,'6 2024 BMI Query'!$E:$E,$B55,'6 2024 BMI Query'!$C:$C,5)+SUMIFS('6 2024 BMI Query'!$G:$G,'6 2024 BMI Query'!$E:$E,$B55,'6 2024 BMI Query'!$C:$C,6)</f>
        <v>8304545.1299999999</v>
      </c>
      <c r="E55" s="244">
        <f>+D55+SUMIFS('6 2024 BMI Query'!$G:$G,'6 2024 BMI Query'!$E:$E,$B55,'6 2024 BMI Query'!$C:$C,7)</f>
        <v>8304545.1299999999</v>
      </c>
      <c r="F55" s="244">
        <f>+E55+SUMIFS('6 2024 BMI Query'!$G:$G,'6 2024 BMI Query'!$E:$E,$B55,'6 2024 BMI Query'!$C:$C,8)</f>
        <v>8145052.4199999999</v>
      </c>
      <c r="G55" s="244">
        <f>+F55+SUMIFS('6 2024 BMI Query'!$G:$G,'6 2024 BMI Query'!$E:$E,$B55,'6 2024 BMI Query'!$C:$C,9)</f>
        <v>8300072.3700000001</v>
      </c>
      <c r="H55" s="244">
        <f>+G55+SUMIFS('6 2024 BMI Query'!$G:$G,'6 2024 BMI Query'!$E:$E,$B55,'6 2024 BMI Query'!$C:$C,10)</f>
        <v>292971.75999999978</v>
      </c>
      <c r="I55" s="244">
        <f>+H55+SUMIFS('6 2024 BMI Query'!$G:$G,'6 2024 BMI Query'!$E:$E,$B55,'6 2024 BMI Query'!$C:$C,11)</f>
        <v>292474.7799999998</v>
      </c>
      <c r="J55" s="244">
        <f>+I55+SUMIFS('6 2024 BMI Query'!$G:$G,'6 2024 BMI Query'!$E:$E,$B55,'6 2024 BMI Query'!$C:$C,12)</f>
        <v>296048.29999999981</v>
      </c>
      <c r="K55" s="244">
        <f>+SUMIFS('7 2025 BMI Query'!$G:$G,'7 2025 BMI Query'!$E:$E,$B55,'7 2025 BMI Query'!$C:$C,0)+SUMIFS('7 2025 BMI Query'!$G:$G,'7 2025 BMI Query'!$E:$E,$B55,'7 2025 BMI Query'!$C:$C,1)</f>
        <v>2530283.0299999998</v>
      </c>
      <c r="L55" s="244">
        <f>+K55+SUMIFS('7 2025 BMI Query'!$G:$G,'7 2025 BMI Query'!$E:$E,$B55,'7 2025 BMI Query'!$C:$C,2)</f>
        <v>2529316.61</v>
      </c>
      <c r="M55" s="244">
        <f>+L55+SUMIFS('7 2025 BMI Query'!$G:$G,'7 2025 BMI Query'!$E:$E,$B55,'7 2025 BMI Query'!$C:$C,3)</f>
        <v>697531.3899999999</v>
      </c>
      <c r="N55" s="244">
        <f>+M55+SUMIFS('7 2025 BMI Query'!$G:$G,'7 2025 BMI Query'!$E:$E,$B55,'7 2025 BMI Query'!$C:$C,4)</f>
        <v>831390.16999999993</v>
      </c>
      <c r="O55" s="244">
        <f>+N55+SUMIFS('7 2025 BMI Query'!$G:$G,'7 2025 BMI Query'!$E:$E,$B55,'7 2025 BMI Query'!$C:$C,5)</f>
        <v>965424.17999999993</v>
      </c>
      <c r="P55" s="244">
        <f>+O55+SUMIFS('7 2025 BMI Query'!$G:$G,'7 2025 BMI Query'!$E:$E,$B55,'7 2025 BMI Query'!$C:$C,6)</f>
        <v>1193863.5999999999</v>
      </c>
      <c r="Q55" s="244">
        <f>+P55+SUMIFS('7 2025 BMI Query'!$G:$G,'7 2025 BMI Query'!$E:$E,$B55,'7 2025 BMI Query'!$C:$C,7)</f>
        <v>1343499.48</v>
      </c>
      <c r="R55" s="244">
        <f>+Q55+SUMIFS('7 2025 BMI Query'!$G:$G,'7 2025 BMI Query'!$E:$E,$B55,'7 2025 BMI Query'!$C:$C,8)</f>
        <v>1547761.83</v>
      </c>
      <c r="S55" s="244"/>
      <c r="T55" s="244"/>
      <c r="U55" s="244"/>
      <c r="V55" s="244"/>
      <c r="W55" s="244"/>
      <c r="X55" s="244"/>
    </row>
    <row r="56" spans="1:25" x14ac:dyDescent="0.25">
      <c r="A56" s="50" t="s">
        <v>475</v>
      </c>
      <c r="B56" s="238">
        <v>919001201</v>
      </c>
      <c r="C56" s="244">
        <f>+SUMIFS('6 2024 BMI Query'!$G:$G,'6 2024 BMI Query'!$E:$E,$B56,'6 2024 BMI Query'!$C:$C,0)+SUMIFS('6 2024 BMI Query'!$G:$G,'6 2024 BMI Query'!$E:$E,$B56,'6 2024 BMI Query'!$C:$C,1)+SUMIFS('6 2024 BMI Query'!$G:$G,'6 2024 BMI Query'!$E:$E,$B56,'6 2024 BMI Query'!$C:$C,2)+SUMIFS('6 2024 BMI Query'!$G:$G,'6 2024 BMI Query'!$E:$E,$B56,'6 2024 BMI Query'!$C:$C,3)</f>
        <v>-12568882</v>
      </c>
      <c r="D56" s="244">
        <f>+C56+SUMIFS('6 2024 BMI Query'!$G:$G,'6 2024 BMI Query'!$E:$E,$B56,'6 2024 BMI Query'!$C:$C,4)+SUMIFS('6 2024 BMI Query'!$G:$G,'6 2024 BMI Query'!$E:$E,$B56,'6 2024 BMI Query'!$C:$C,5)+SUMIFS('6 2024 BMI Query'!$G:$G,'6 2024 BMI Query'!$E:$E,$B56,'6 2024 BMI Query'!$C:$C,6)</f>
        <v>-12543364</v>
      </c>
      <c r="E56" s="244">
        <f>+D56+SUMIFS('6 2024 BMI Query'!$G:$G,'6 2024 BMI Query'!$E:$E,$B56,'6 2024 BMI Query'!$C:$C,7)</f>
        <v>-12534858</v>
      </c>
      <c r="F56" s="244">
        <f>+E56+SUMIFS('6 2024 BMI Query'!$G:$G,'6 2024 BMI Query'!$E:$E,$B56,'6 2024 BMI Query'!$C:$C,8)</f>
        <v>-12526352</v>
      </c>
      <c r="G56" s="244">
        <f>+F56+SUMIFS('6 2024 BMI Query'!$G:$G,'6 2024 BMI Query'!$E:$E,$B56,'6 2024 BMI Query'!$C:$C,9)</f>
        <v>-12517846</v>
      </c>
      <c r="H56" s="244">
        <f>+G56+SUMIFS('6 2024 BMI Query'!$G:$G,'6 2024 BMI Query'!$E:$E,$B56,'6 2024 BMI Query'!$C:$C,10)</f>
        <v>-12509340.01</v>
      </c>
      <c r="I56" s="244">
        <f>+H56+SUMIFS('6 2024 BMI Query'!$G:$G,'6 2024 BMI Query'!$E:$E,$B56,'6 2024 BMI Query'!$C:$C,11)</f>
        <v>-12500834</v>
      </c>
      <c r="J56" s="244">
        <f>+I56+SUMIFS('6 2024 BMI Query'!$G:$G,'6 2024 BMI Query'!$E:$E,$B56,'6 2024 BMI Query'!$C:$C,12)</f>
        <v>-12492328</v>
      </c>
      <c r="K56" s="244">
        <f>+SUMIFS('7 2025 BMI Query'!$G:$G,'7 2025 BMI Query'!$E:$E,$B56,'7 2025 BMI Query'!$C:$C,0)+SUMIFS('7 2025 BMI Query'!$G:$G,'7 2025 BMI Query'!$E:$E,$B56,'7 2025 BMI Query'!$C:$C,1)</f>
        <v>-12483821.960000001</v>
      </c>
      <c r="L56" s="244">
        <f>+K56+SUMIFS('7 2025 BMI Query'!$G:$G,'7 2025 BMI Query'!$E:$E,$B56,'7 2025 BMI Query'!$C:$C,2)</f>
        <v>-12475315.960000001</v>
      </c>
      <c r="M56" s="244">
        <f>+L56+SUMIFS('7 2025 BMI Query'!$G:$G,'7 2025 BMI Query'!$E:$E,$B56,'7 2025 BMI Query'!$C:$C,3)</f>
        <v>-12466809.960000001</v>
      </c>
      <c r="N56" s="244">
        <f>+M56+SUMIFS('7 2025 BMI Query'!$G:$G,'7 2025 BMI Query'!$E:$E,$B56,'7 2025 BMI Query'!$C:$C,4)</f>
        <v>-12458303.960000001</v>
      </c>
      <c r="O56" s="244">
        <f>+N56+SUMIFS('7 2025 BMI Query'!$G:$G,'7 2025 BMI Query'!$E:$E,$B56,'7 2025 BMI Query'!$C:$C,5)</f>
        <v>-12449797.960000001</v>
      </c>
      <c r="P56" s="244">
        <f>+O56+SUMIFS('7 2025 BMI Query'!$G:$G,'7 2025 BMI Query'!$E:$E,$B56,'7 2025 BMI Query'!$C:$C,6)</f>
        <v>-11778303.950000001</v>
      </c>
      <c r="Q56" s="244">
        <f>+P56+SUMIFS('7 2025 BMI Query'!$G:$G,'7 2025 BMI Query'!$E:$E,$B56,'7 2025 BMI Query'!$C:$C,7)</f>
        <v>-11748346.950000001</v>
      </c>
      <c r="R56" s="244">
        <f>+Q56+SUMIFS('7 2025 BMI Query'!$G:$G,'7 2025 BMI Query'!$E:$E,$B56,'7 2025 BMI Query'!$C:$C,8)</f>
        <v>-11718389.950000001</v>
      </c>
      <c r="S56" s="244"/>
      <c r="T56" s="244"/>
      <c r="U56" s="244"/>
      <c r="V56" s="244"/>
      <c r="W56" s="244"/>
      <c r="X56" s="244"/>
      <c r="Y56" s="43" t="s">
        <v>476</v>
      </c>
    </row>
    <row r="57" spans="1:25" x14ac:dyDescent="0.25">
      <c r="A57" s="50" t="s">
        <v>477</v>
      </c>
      <c r="B57" s="238">
        <v>919001211</v>
      </c>
      <c r="C57" s="244">
        <f>+SUMIFS('6 2024 BMI Query'!$G:$G,'6 2024 BMI Query'!$E:$E,$B57,'6 2024 BMI Query'!$C:$C,0)+SUMIFS('6 2024 BMI Query'!$G:$G,'6 2024 BMI Query'!$E:$E,$B57,'6 2024 BMI Query'!$C:$C,1)+SUMIFS('6 2024 BMI Query'!$G:$G,'6 2024 BMI Query'!$E:$E,$B57,'6 2024 BMI Query'!$C:$C,2)+SUMIFS('6 2024 BMI Query'!$G:$G,'6 2024 BMI Query'!$E:$E,$B57,'6 2024 BMI Query'!$C:$C,3)</f>
        <v>17216326.859999999</v>
      </c>
      <c r="D57" s="244">
        <f>+C57+SUMIFS('6 2024 BMI Query'!$G:$G,'6 2024 BMI Query'!$E:$E,$B57,'6 2024 BMI Query'!$C:$C,4)+SUMIFS('6 2024 BMI Query'!$G:$G,'6 2024 BMI Query'!$E:$E,$B57,'6 2024 BMI Query'!$C:$C,5)+SUMIFS('6 2024 BMI Query'!$G:$G,'6 2024 BMI Query'!$E:$E,$B57,'6 2024 BMI Query'!$C:$C,6)</f>
        <v>17144216.469999999</v>
      </c>
      <c r="E57" s="244">
        <f>+D57+SUMIFS('6 2024 BMI Query'!$G:$G,'6 2024 BMI Query'!$E:$E,$B57,'6 2024 BMI Query'!$C:$C,7)</f>
        <v>17118486.640000001</v>
      </c>
      <c r="F57" s="244">
        <f>+E57+SUMIFS('6 2024 BMI Query'!$G:$G,'6 2024 BMI Query'!$E:$E,$B57,'6 2024 BMI Query'!$C:$C,8)</f>
        <v>17094276.129999999</v>
      </c>
      <c r="G57" s="244">
        <f>+F57+SUMIFS('6 2024 BMI Query'!$G:$G,'6 2024 BMI Query'!$E:$E,$B57,'6 2024 BMI Query'!$C:$C,9)</f>
        <v>17065904.59</v>
      </c>
      <c r="H57" s="244">
        <f>+G57+SUMIFS('6 2024 BMI Query'!$G:$G,'6 2024 BMI Query'!$E:$E,$B57,'6 2024 BMI Query'!$C:$C,10)</f>
        <v>17038044.59</v>
      </c>
      <c r="I57" s="244">
        <f>+H57+SUMIFS('6 2024 BMI Query'!$G:$G,'6 2024 BMI Query'!$E:$E,$B57,'6 2024 BMI Query'!$C:$C,11)</f>
        <v>17009064.09</v>
      </c>
      <c r="J57" s="244">
        <f>+I57+SUMIFS('6 2024 BMI Query'!$G:$G,'6 2024 BMI Query'!$E:$E,$B57,'6 2024 BMI Query'!$C:$C,12)</f>
        <v>16979574.960000001</v>
      </c>
      <c r="K57" s="244">
        <f>+SUMIFS('7 2025 BMI Query'!$G:$G,'7 2025 BMI Query'!$E:$E,$B57,'7 2025 BMI Query'!$C:$C,0)+SUMIFS('7 2025 BMI Query'!$G:$G,'7 2025 BMI Query'!$E:$E,$B57,'7 2025 BMI Query'!$C:$C,1)</f>
        <v>16941909</v>
      </c>
      <c r="L57" s="244">
        <f>+K57+SUMIFS('7 2025 BMI Query'!$G:$G,'7 2025 BMI Query'!$E:$E,$B57,'7 2025 BMI Query'!$C:$C,2)</f>
        <v>16900085.420000002</v>
      </c>
      <c r="M57" s="244">
        <f>+L57+SUMIFS('7 2025 BMI Query'!$G:$G,'7 2025 BMI Query'!$E:$E,$B57,'7 2025 BMI Query'!$C:$C,3)</f>
        <v>16862267.48</v>
      </c>
      <c r="N57" s="244">
        <f>+M57+SUMIFS('7 2025 BMI Query'!$G:$G,'7 2025 BMI Query'!$E:$E,$B57,'7 2025 BMI Query'!$C:$C,4)</f>
        <v>16825264.260000002</v>
      </c>
      <c r="O57" s="244">
        <f>+N57+SUMIFS('7 2025 BMI Query'!$G:$G,'7 2025 BMI Query'!$E:$E,$B57,'7 2025 BMI Query'!$C:$C,5)</f>
        <v>16793644.66</v>
      </c>
      <c r="P57" s="244">
        <f>+O57+SUMIFS('7 2025 BMI Query'!$G:$G,'7 2025 BMI Query'!$E:$E,$B57,'7 2025 BMI Query'!$C:$C,6)</f>
        <v>16753209.970000001</v>
      </c>
      <c r="Q57" s="244">
        <f>+P57+SUMIFS('7 2025 BMI Query'!$G:$G,'7 2025 BMI Query'!$E:$E,$B57,'7 2025 BMI Query'!$C:$C,7)</f>
        <v>16710215.810000001</v>
      </c>
      <c r="R57" s="244">
        <f>+Q57+SUMIFS('7 2025 BMI Query'!$G:$G,'7 2025 BMI Query'!$E:$E,$B57,'7 2025 BMI Query'!$C:$C,8)</f>
        <v>16670299.16</v>
      </c>
      <c r="S57" s="244"/>
      <c r="T57" s="244"/>
      <c r="U57" s="244"/>
      <c r="V57" s="244"/>
      <c r="W57" s="244"/>
      <c r="X57" s="244"/>
      <c r="Y57" s="43" t="s">
        <v>476</v>
      </c>
    </row>
    <row r="58" spans="1:25" x14ac:dyDescent="0.25">
      <c r="A58" s="50" t="s">
        <v>110</v>
      </c>
      <c r="B58" s="238">
        <v>919001261</v>
      </c>
      <c r="C58" s="244">
        <f>+SUMIFS('6 2024 BMI Query'!$G:$G,'6 2024 BMI Query'!$E:$E,$B58,'6 2024 BMI Query'!$C:$C,0)+SUMIFS('6 2024 BMI Query'!$G:$G,'6 2024 BMI Query'!$E:$E,$B58,'6 2024 BMI Query'!$C:$C,1)+SUMIFS('6 2024 BMI Query'!$G:$G,'6 2024 BMI Query'!$E:$E,$B58,'6 2024 BMI Query'!$C:$C,2)+SUMIFS('6 2024 BMI Query'!$G:$G,'6 2024 BMI Query'!$E:$E,$B58,'6 2024 BMI Query'!$C:$C,3)</f>
        <v>8415348</v>
      </c>
      <c r="D58" s="244">
        <f>+C58+SUMIFS('6 2024 BMI Query'!$G:$G,'6 2024 BMI Query'!$E:$E,$B58,'6 2024 BMI Query'!$C:$C,4)+SUMIFS('6 2024 BMI Query'!$G:$G,'6 2024 BMI Query'!$E:$E,$B58,'6 2024 BMI Query'!$C:$C,5)+SUMIFS('6 2024 BMI Query'!$G:$G,'6 2024 BMI Query'!$E:$E,$B58,'6 2024 BMI Query'!$C:$C,6)</f>
        <v>8054691</v>
      </c>
      <c r="E58" s="244">
        <f>+D58+SUMIFS('6 2024 BMI Query'!$G:$G,'6 2024 BMI Query'!$E:$E,$B58,'6 2024 BMI Query'!$C:$C,7)</f>
        <v>7934472</v>
      </c>
      <c r="F58" s="244">
        <f>+E58+SUMIFS('6 2024 BMI Query'!$G:$G,'6 2024 BMI Query'!$E:$E,$B58,'6 2024 BMI Query'!$C:$C,8)</f>
        <v>7814253</v>
      </c>
      <c r="G58" s="244">
        <f>+F58+SUMIFS('6 2024 BMI Query'!$G:$G,'6 2024 BMI Query'!$E:$E,$B58,'6 2024 BMI Query'!$C:$C,9)</f>
        <v>7694034</v>
      </c>
      <c r="H58" s="244">
        <f>+G58+SUMIFS('6 2024 BMI Query'!$G:$G,'6 2024 BMI Query'!$E:$E,$B58,'6 2024 BMI Query'!$C:$C,10)</f>
        <v>7573815</v>
      </c>
      <c r="I58" s="244">
        <f>+H58+SUMIFS('6 2024 BMI Query'!$G:$G,'6 2024 BMI Query'!$E:$E,$B58,'6 2024 BMI Query'!$C:$C,11)</f>
        <v>7453596</v>
      </c>
      <c r="J58" s="244">
        <f>+I58+SUMIFS('6 2024 BMI Query'!$G:$G,'6 2024 BMI Query'!$E:$E,$B58,'6 2024 BMI Query'!$C:$C,12)</f>
        <v>7333377</v>
      </c>
      <c r="K58" s="244">
        <f>+SUMIFS('7 2025 BMI Query'!$G:$G,'7 2025 BMI Query'!$E:$E,$B58,'7 2025 BMI Query'!$C:$C,0)+SUMIFS('7 2025 BMI Query'!$G:$G,'7 2025 BMI Query'!$E:$E,$B58,'7 2025 BMI Query'!$C:$C,1)</f>
        <v>7213158</v>
      </c>
      <c r="L58" s="244">
        <f>+K58+SUMIFS('7 2025 BMI Query'!$G:$G,'7 2025 BMI Query'!$E:$E,$B58,'7 2025 BMI Query'!$C:$C,2)</f>
        <v>7092939</v>
      </c>
      <c r="M58" s="244">
        <f>+L58+SUMIFS('7 2025 BMI Query'!$G:$G,'7 2025 BMI Query'!$E:$E,$B58,'7 2025 BMI Query'!$C:$C,3)</f>
        <v>6972720</v>
      </c>
      <c r="N58" s="244">
        <f>+M58+SUMIFS('7 2025 BMI Query'!$G:$G,'7 2025 BMI Query'!$E:$E,$B58,'7 2025 BMI Query'!$C:$C,4)</f>
        <v>6852501</v>
      </c>
      <c r="O58" s="244">
        <f>+N58+SUMIFS('7 2025 BMI Query'!$G:$G,'7 2025 BMI Query'!$E:$E,$B58,'7 2025 BMI Query'!$C:$C,5)</f>
        <v>6732282</v>
      </c>
      <c r="P58" s="244">
        <f>+O58+SUMIFS('7 2025 BMI Query'!$G:$G,'7 2025 BMI Query'!$E:$E,$B58,'7 2025 BMI Query'!$C:$C,6)</f>
        <v>6612063</v>
      </c>
      <c r="Q58" s="244">
        <f>+P58+SUMIFS('7 2025 BMI Query'!$G:$G,'7 2025 BMI Query'!$E:$E,$B58,'7 2025 BMI Query'!$C:$C,7)</f>
        <v>6491844</v>
      </c>
      <c r="R58" s="244">
        <f>+Q58+SUMIFS('7 2025 BMI Query'!$G:$G,'7 2025 BMI Query'!$E:$E,$B58,'7 2025 BMI Query'!$C:$C,8)</f>
        <v>6371625</v>
      </c>
      <c r="S58" s="244"/>
      <c r="T58" s="244"/>
      <c r="U58" s="244"/>
      <c r="V58" s="244"/>
      <c r="W58" s="244"/>
      <c r="X58" s="244"/>
    </row>
    <row r="59" spans="1:25" x14ac:dyDescent="0.25">
      <c r="A59" s="50" t="s">
        <v>478</v>
      </c>
      <c r="B59" s="238">
        <v>919001221</v>
      </c>
      <c r="C59" s="244">
        <f>+SUMIFS('6 2024 BMI Query'!$G:$G,'6 2024 BMI Query'!$E:$E,$B59,'6 2024 BMI Query'!$C:$C,0)+SUMIFS('6 2024 BMI Query'!$G:$G,'6 2024 BMI Query'!$E:$E,$B59,'6 2024 BMI Query'!$C:$C,1)+SUMIFS('6 2024 BMI Query'!$G:$G,'6 2024 BMI Query'!$E:$E,$B59,'6 2024 BMI Query'!$C:$C,2)+SUMIFS('6 2024 BMI Query'!$G:$G,'6 2024 BMI Query'!$E:$E,$B59,'6 2024 BMI Query'!$C:$C,3)</f>
        <v>-8415348</v>
      </c>
      <c r="D59" s="244">
        <f>+C59+SUMIFS('6 2024 BMI Query'!$G:$G,'6 2024 BMI Query'!$E:$E,$B59,'6 2024 BMI Query'!$C:$C,4)+SUMIFS('6 2024 BMI Query'!$G:$G,'6 2024 BMI Query'!$E:$E,$B59,'6 2024 BMI Query'!$C:$C,5)+SUMIFS('6 2024 BMI Query'!$G:$G,'6 2024 BMI Query'!$E:$E,$B59,'6 2024 BMI Query'!$C:$C,6)</f>
        <v>-8054691</v>
      </c>
      <c r="E59" s="244">
        <f>+D59+SUMIFS('6 2024 BMI Query'!$G:$G,'6 2024 BMI Query'!$E:$E,$B59,'6 2024 BMI Query'!$C:$C,7)</f>
        <v>-7934472</v>
      </c>
      <c r="F59" s="244">
        <f>+E59+SUMIFS('6 2024 BMI Query'!$G:$G,'6 2024 BMI Query'!$E:$E,$B59,'6 2024 BMI Query'!$C:$C,8)</f>
        <v>-7814253</v>
      </c>
      <c r="G59" s="244">
        <f>+F59+SUMIFS('6 2024 BMI Query'!$G:$G,'6 2024 BMI Query'!$E:$E,$B59,'6 2024 BMI Query'!$C:$C,9)</f>
        <v>-7694034</v>
      </c>
      <c r="H59" s="244">
        <f>+G59+SUMIFS('6 2024 BMI Query'!$G:$G,'6 2024 BMI Query'!$E:$E,$B59,'6 2024 BMI Query'!$C:$C,10)</f>
        <v>-7573815</v>
      </c>
      <c r="I59" s="244">
        <f>+H59+SUMIFS('6 2024 BMI Query'!$G:$G,'6 2024 BMI Query'!$E:$E,$B59,'6 2024 BMI Query'!$C:$C,11)</f>
        <v>-7453596</v>
      </c>
      <c r="J59" s="244">
        <f>+I59+SUMIFS('6 2024 BMI Query'!$G:$G,'6 2024 BMI Query'!$E:$E,$B59,'6 2024 BMI Query'!$C:$C,12)</f>
        <v>-7333377</v>
      </c>
      <c r="K59" s="244">
        <f>+SUMIFS('7 2025 BMI Query'!$G:$G,'7 2025 BMI Query'!$E:$E,$B59,'7 2025 BMI Query'!$C:$C,0)+SUMIFS('7 2025 BMI Query'!$G:$G,'7 2025 BMI Query'!$E:$E,$B59,'7 2025 BMI Query'!$C:$C,1)</f>
        <v>-7213158</v>
      </c>
      <c r="L59" s="244">
        <f>+K59+SUMIFS('7 2025 BMI Query'!$G:$G,'7 2025 BMI Query'!$E:$E,$B59,'7 2025 BMI Query'!$C:$C,2)</f>
        <v>-7092939</v>
      </c>
      <c r="M59" s="244">
        <f>+L59+SUMIFS('7 2025 BMI Query'!$G:$G,'7 2025 BMI Query'!$E:$E,$B59,'7 2025 BMI Query'!$C:$C,3)</f>
        <v>-6972720</v>
      </c>
      <c r="N59" s="244">
        <f>+M59+SUMIFS('7 2025 BMI Query'!$G:$G,'7 2025 BMI Query'!$E:$E,$B59,'7 2025 BMI Query'!$C:$C,4)</f>
        <v>-6852501</v>
      </c>
      <c r="O59" s="244">
        <f>+N59+SUMIFS('7 2025 BMI Query'!$G:$G,'7 2025 BMI Query'!$E:$E,$B59,'7 2025 BMI Query'!$C:$C,5)</f>
        <v>-6732282</v>
      </c>
      <c r="P59" s="244">
        <f>+O59+SUMIFS('7 2025 BMI Query'!$G:$G,'7 2025 BMI Query'!$E:$E,$B59,'7 2025 BMI Query'!$C:$C,6)</f>
        <v>-6612063</v>
      </c>
      <c r="Q59" s="244">
        <f>+P59+SUMIFS('7 2025 BMI Query'!$G:$G,'7 2025 BMI Query'!$E:$E,$B59,'7 2025 BMI Query'!$C:$C,7)</f>
        <v>-6491844</v>
      </c>
      <c r="R59" s="244">
        <f>+Q59+SUMIFS('7 2025 BMI Query'!$G:$G,'7 2025 BMI Query'!$E:$E,$B59,'7 2025 BMI Query'!$C:$C,8)</f>
        <v>-6371625</v>
      </c>
      <c r="S59" s="244"/>
      <c r="T59" s="244"/>
      <c r="U59" s="244"/>
      <c r="V59" s="244"/>
      <c r="W59" s="244"/>
      <c r="X59" s="244"/>
      <c r="Y59" s="43" t="s">
        <v>476</v>
      </c>
    </row>
    <row r="60" spans="1:25" x14ac:dyDescent="0.25">
      <c r="A60" s="50" t="s">
        <v>479</v>
      </c>
      <c r="B60" s="238">
        <v>919001231</v>
      </c>
      <c r="C60" s="244">
        <f>+SUMIFS('6 2024 BMI Query'!$G:$G,'6 2024 BMI Query'!$E:$E,$B60,'6 2024 BMI Query'!$C:$C,0)+SUMIFS('6 2024 BMI Query'!$G:$G,'6 2024 BMI Query'!$E:$E,$B60,'6 2024 BMI Query'!$C:$C,1)+SUMIFS('6 2024 BMI Query'!$G:$G,'6 2024 BMI Query'!$E:$E,$B60,'6 2024 BMI Query'!$C:$C,2)+SUMIFS('6 2024 BMI Query'!$G:$G,'6 2024 BMI Query'!$E:$E,$B60,'6 2024 BMI Query'!$C:$C,3)</f>
        <v>3196040.5099999993</v>
      </c>
      <c r="D60" s="244">
        <f>+C60+SUMIFS('6 2024 BMI Query'!$G:$G,'6 2024 BMI Query'!$E:$E,$B60,'6 2024 BMI Query'!$C:$C,4)+SUMIFS('6 2024 BMI Query'!$G:$G,'6 2024 BMI Query'!$E:$E,$B60,'6 2024 BMI Query'!$C:$C,5)+SUMIFS('6 2024 BMI Query'!$G:$G,'6 2024 BMI Query'!$E:$E,$B60,'6 2024 BMI Query'!$C:$C,6)</f>
        <v>3059067.3399999989</v>
      </c>
      <c r="E60" s="244">
        <f>+D60+SUMIFS('6 2024 BMI Query'!$G:$G,'6 2024 BMI Query'!$E:$E,$B60,'6 2024 BMI Query'!$C:$C,7)</f>
        <v>3013409.6199999987</v>
      </c>
      <c r="F60" s="244">
        <f>+E60+SUMIFS('6 2024 BMI Query'!$G:$G,'6 2024 BMI Query'!$E:$E,$B60,'6 2024 BMI Query'!$C:$C,8)</f>
        <v>2967751.8999999985</v>
      </c>
      <c r="G60" s="244">
        <f>+F60+SUMIFS('6 2024 BMI Query'!$G:$G,'6 2024 BMI Query'!$E:$E,$B60,'6 2024 BMI Query'!$C:$C,9)</f>
        <v>2922094.1799999983</v>
      </c>
      <c r="H60" s="244">
        <f>+G60+SUMIFS('6 2024 BMI Query'!$G:$G,'6 2024 BMI Query'!$E:$E,$B60,'6 2024 BMI Query'!$C:$C,10)</f>
        <v>2876436.4599999981</v>
      </c>
      <c r="I60" s="244">
        <f>+H60+SUMIFS('6 2024 BMI Query'!$G:$G,'6 2024 BMI Query'!$E:$E,$B60,'6 2024 BMI Query'!$C:$C,11)</f>
        <v>2830778.7299999981</v>
      </c>
      <c r="J60" s="244">
        <f>+I60+SUMIFS('6 2024 BMI Query'!$G:$G,'6 2024 BMI Query'!$E:$E,$B60,'6 2024 BMI Query'!$C:$C,12)</f>
        <v>2785121.0099999979</v>
      </c>
      <c r="K60" s="244">
        <f>+SUMIFS('7 2025 BMI Query'!$G:$G,'7 2025 BMI Query'!$E:$E,$B60,'7 2025 BMI Query'!$C:$C,0)+SUMIFS('7 2025 BMI Query'!$G:$G,'7 2025 BMI Query'!$E:$E,$B60,'7 2025 BMI Query'!$C:$C,1)</f>
        <v>2739463.2899999996</v>
      </c>
      <c r="L60" s="244">
        <f>+K60+SUMIFS('7 2025 BMI Query'!$G:$G,'7 2025 BMI Query'!$E:$E,$B60,'7 2025 BMI Query'!$C:$C,2)</f>
        <v>2693805.5699999994</v>
      </c>
      <c r="M60" s="244">
        <f>+L60+SUMIFS('7 2025 BMI Query'!$G:$G,'7 2025 BMI Query'!$E:$E,$B60,'7 2025 BMI Query'!$C:$C,3)</f>
        <v>2648147.8499999992</v>
      </c>
      <c r="N60" s="244">
        <f>+M60+SUMIFS('7 2025 BMI Query'!$G:$G,'7 2025 BMI Query'!$E:$E,$B60,'7 2025 BMI Query'!$C:$C,4)</f>
        <v>2602490.129999999</v>
      </c>
      <c r="O60" s="244">
        <f>+N60+SUMIFS('7 2025 BMI Query'!$G:$G,'7 2025 BMI Query'!$E:$E,$B60,'7 2025 BMI Query'!$C:$C,5)</f>
        <v>2556832.4099999988</v>
      </c>
      <c r="P60" s="244">
        <f>+O60+SUMIFS('7 2025 BMI Query'!$G:$G,'7 2025 BMI Query'!$E:$E,$B60,'7 2025 BMI Query'!$C:$C,6)</f>
        <v>2511174.6799999988</v>
      </c>
      <c r="Q60" s="244">
        <f>+P60+SUMIFS('7 2025 BMI Query'!$G:$G,'7 2025 BMI Query'!$E:$E,$B60,'7 2025 BMI Query'!$C:$C,7)</f>
        <v>2465516.9599999986</v>
      </c>
      <c r="R60" s="244">
        <f>+Q60+SUMIFS('7 2025 BMI Query'!$G:$G,'7 2025 BMI Query'!$E:$E,$B60,'7 2025 BMI Query'!$C:$C,8)</f>
        <v>2419859.2399999984</v>
      </c>
      <c r="S60" s="244"/>
      <c r="T60" s="244"/>
      <c r="U60" s="244"/>
      <c r="V60" s="244"/>
      <c r="W60" s="244"/>
      <c r="X60" s="244"/>
      <c r="Y60" s="43" t="s">
        <v>480</v>
      </c>
    </row>
    <row r="61" spans="1:25" x14ac:dyDescent="0.25">
      <c r="A61" s="50" t="s">
        <v>106</v>
      </c>
      <c r="B61" s="238">
        <v>919010011</v>
      </c>
      <c r="C61" s="244">
        <f>+SUMIFS('6 2024 BMI Query'!$G:$G,'6 2024 BMI Query'!$E:$E,$B61,'6 2024 BMI Query'!$A:$A,$B53,'6 2024 BMI Query'!$C:$C,0)+SUMIFS('6 2024 BMI Query'!$G:$G,'6 2024 BMI Query'!$E:$E,$B61,'6 2024 BMI Query'!$A:$A,$B53,'6 2024 BMI Query'!$C:$C,1)+SUMIFS('6 2024 BMI Query'!$G:$G,'6 2024 BMI Query'!$E:$E,$B61,'6 2024 BMI Query'!$A:$A,$B53,'6 2024 BMI Query'!$C:$C,2)+SUMIFS('6 2024 BMI Query'!$G:$G,'6 2024 BMI Query'!$E:$E,$B61,'6 2024 BMI Query'!$A:$A,$B53,'6 2024 BMI Query'!$C:$C,3)</f>
        <v>-0.05</v>
      </c>
      <c r="D61" s="244">
        <f>+C61+SUMIFS('6 2024 BMI Query'!$G:$G,'6 2024 BMI Query'!$E:$E,$B61,'6 2024 BMI Query'!$A:$A,$B53,'6 2024 BMI Query'!$C:$C,4)+SUMIFS('6 2024 BMI Query'!$G:$G,'6 2024 BMI Query'!$E:$E,$B61,'6 2024 BMI Query'!$A:$A,$B53,'6 2024 BMI Query'!$C:$C,5)+SUMIFS('6 2024 BMI Query'!$G:$G,'6 2024 BMI Query'!$E:$E,$B61,'6 2024 BMI Query'!$A:$A,$B53,'6 2024 BMI Query'!$C:$C,6)</f>
        <v>-0.05</v>
      </c>
      <c r="E61" s="244">
        <f>+D61+SUMIFS('6 2024 BMI Query'!$G:$G,'6 2024 BMI Query'!$E:$E,$B61,'6 2024 BMI Query'!$A:$A,$B53,'6 2024 BMI Query'!$C:$C,7)</f>
        <v>-0.05</v>
      </c>
      <c r="F61" s="244">
        <f>+E61+SUMIFS('6 2024 BMI Query'!$G:$G,'6 2024 BMI Query'!$E:$E,$B61,'6 2024 BMI Query'!$A:$A,$B53,'6 2024 BMI Query'!$C:$C,8)</f>
        <v>-0.05</v>
      </c>
      <c r="G61" s="244">
        <f>+F61+SUMIFS('6 2024 BMI Query'!$G:$G,'6 2024 BMI Query'!$E:$E,$B61,'6 2024 BMI Query'!$A:$A,$B53,'6 2024 BMI Query'!$C:$C,9)</f>
        <v>8852.7400000000016</v>
      </c>
      <c r="H61" s="244">
        <f>+G61+SUMIFS('6 2024 BMI Query'!$G:$G,'6 2024 BMI Query'!$E:$E,$B61,'6 2024 BMI Query'!$A:$A,$B53,'6 2024 BMI Query'!$C:$C,10)</f>
        <v>3807.340000000002</v>
      </c>
      <c r="I61" s="244">
        <f>+H61+SUMIFS('6 2024 BMI Query'!$G:$G,'6 2024 BMI Query'!$E:$E,$B61,'6 2024 BMI Query'!$A:$A,$B53,'6 2024 BMI Query'!$C:$C,11)</f>
        <v>3807.340000000002</v>
      </c>
      <c r="J61" s="244">
        <f>+I61+SUMIFS('6 2024 BMI Query'!$G:$G,'6 2024 BMI Query'!$E:$E,$B61,'6 2024 BMI Query'!$A:$A,$B53,'6 2024 BMI Query'!$C:$C,12)</f>
        <v>3807.340000000002</v>
      </c>
      <c r="K61" s="244">
        <f>+SUMIFS('7 2025 BMI Query'!$G:$G,'7 2025 BMI Query'!$E:$E,$B61,'7 2025 BMI Query'!$A:$A,$B53,'7 2025 BMI Query'!$C:$C,0)+SUMIFS('7 2025 BMI Query'!$G:$G,'7 2025 BMI Query'!$E:$E,$B61,'7 2025 BMI Query'!$A:$A,$B53,'7 2025 BMI Query'!$C:$C,1)</f>
        <v>4989.8600000000006</v>
      </c>
      <c r="L61" s="244">
        <f>+K61+SUMIFS('7 2025 BMI Query'!$G:$G,'7 2025 BMI Query'!$E:$E,$B61,'7 2025 BMI Query'!$A:$A,$B53,'7 2025 BMI Query'!$C:$C,2)</f>
        <v>6172.380000000001</v>
      </c>
      <c r="M61" s="244">
        <f>+L61+SUMIFS('7 2025 BMI Query'!$G:$G,'7 2025 BMI Query'!$E:$E,$B61,'7 2025 BMI Query'!$A:$A,$B53,'7 2025 BMI Query'!$C:$C,3)</f>
        <v>11107.09</v>
      </c>
      <c r="N61" s="244">
        <f>+M61+SUMIFS('7 2025 BMI Query'!$G:$G,'7 2025 BMI Query'!$E:$E,$B61,'7 2025 BMI Query'!$A:$A,$B53,'7 2025 BMI Query'!$C:$C,4)</f>
        <v>12289.61</v>
      </c>
      <c r="O61" s="244">
        <f>+N61+SUMIFS('7 2025 BMI Query'!$G:$G,'7 2025 BMI Query'!$E:$E,$B61,'7 2025 BMI Query'!$A:$A,$B53,'7 2025 BMI Query'!$C:$C,5)</f>
        <v>16838.849999999999</v>
      </c>
      <c r="P61" s="244">
        <f>+O61+SUMIFS('7 2025 BMI Query'!$G:$G,'7 2025 BMI Query'!$E:$E,$B61,'7 2025 BMI Query'!$A:$A,$B53,'7 2025 BMI Query'!$C:$C,6)</f>
        <v>21388.1</v>
      </c>
      <c r="Q61" s="244">
        <f>+P61+SUMIFS('7 2025 BMI Query'!$G:$G,'7 2025 BMI Query'!$E:$E,$B61,'7 2025 BMI Query'!$A:$A,$B53,'7 2025 BMI Query'!$C:$C,7)</f>
        <v>26722.3</v>
      </c>
      <c r="R61" s="244">
        <f>+Q61+SUMIFS('7 2025 BMI Query'!$G:$G,'7 2025 BMI Query'!$E:$E,$B61,'7 2025 BMI Query'!$A:$A,$B53,'7 2025 BMI Query'!$C:$C,8)</f>
        <v>26722.3</v>
      </c>
      <c r="S61" s="244"/>
      <c r="T61" s="244"/>
      <c r="U61" s="244"/>
      <c r="V61" s="244"/>
      <c r="W61" s="244"/>
      <c r="X61" s="244"/>
    </row>
    <row r="62" spans="1:25" x14ac:dyDescent="0.25">
      <c r="A62" s="50" t="s">
        <v>481</v>
      </c>
      <c r="B62" s="238" t="s">
        <v>482</v>
      </c>
      <c r="C62" s="244">
        <f>+SUMIFS('6 2024 BMI Query'!$G:$G,'6 2024 BMI Query'!$E:$E,$B62,'6 2024 BMI Query'!$A:$A,$B53,'6 2024 BMI Query'!$C:$C,0)+SUMIFS('6 2024 BMI Query'!$G:$G,'6 2024 BMI Query'!$E:$E,$B62,'6 2024 BMI Query'!$A:$A,$B53,'6 2024 BMI Query'!$C:$C,1)+SUMIFS('6 2024 BMI Query'!$G:$G,'6 2024 BMI Query'!$E:$E,$B62,'6 2024 BMI Query'!$A:$A,$B53,'6 2024 BMI Query'!$C:$C,2)+SUMIFS('6 2024 BMI Query'!$G:$G,'6 2024 BMI Query'!$E:$E,$B62,'6 2024 BMI Query'!$A:$A,$B53,'6 2024 BMI Query'!$C:$C,3)</f>
        <v>1545311.4100000001</v>
      </c>
      <c r="D62" s="244">
        <f>+C62+SUMIFS('6 2024 BMI Query'!$G:$G,'6 2024 BMI Query'!$E:$E,$B62,'6 2024 BMI Query'!$A:$A,$B53,'6 2024 BMI Query'!$C:$C,4)+SUMIFS('6 2024 BMI Query'!$G:$G,'6 2024 BMI Query'!$E:$E,$B62,'6 2024 BMI Query'!$A:$A,$B53,'6 2024 BMI Query'!$C:$C,5)+SUMIFS('6 2024 BMI Query'!$G:$G,'6 2024 BMI Query'!$E:$E,$B62,'6 2024 BMI Query'!$A:$A,$B53,'6 2024 BMI Query'!$C:$C,6)</f>
        <v>1390832.9500000002</v>
      </c>
      <c r="E62" s="244">
        <f>+D62+SUMIFS('6 2024 BMI Query'!$G:$G,'6 2024 BMI Query'!$E:$E,$B62,'6 2024 BMI Query'!$A:$A,$B53,'6 2024 BMI Query'!$C:$C,7)</f>
        <v>1339340.1400000001</v>
      </c>
      <c r="F62" s="244">
        <f>+E62+SUMIFS('6 2024 BMI Query'!$G:$G,'6 2024 BMI Query'!$E:$E,$B62,'6 2024 BMI Query'!$A:$A,$B53,'6 2024 BMI Query'!$C:$C,8)</f>
        <v>1287847.32</v>
      </c>
      <c r="G62" s="244">
        <f>+F62+SUMIFS('6 2024 BMI Query'!$G:$G,'6 2024 BMI Query'!$E:$E,$B62,'6 2024 BMI Query'!$A:$A,$B53,'6 2024 BMI Query'!$C:$C,9)</f>
        <v>1478885.03</v>
      </c>
      <c r="H62" s="244">
        <f>+G62+SUMIFS('6 2024 BMI Query'!$G:$G,'6 2024 BMI Query'!$E:$E,$B62,'6 2024 BMI Query'!$A:$A,$B53,'6 2024 BMI Query'!$C:$C,10)</f>
        <v>499994.63</v>
      </c>
      <c r="I62" s="244">
        <f>+H62+SUMIFS('6 2024 BMI Query'!$G:$G,'6 2024 BMI Query'!$E:$E,$B62,'6 2024 BMI Query'!$A:$A,$B53,'6 2024 BMI Query'!$C:$C,11)</f>
        <v>448501.81</v>
      </c>
      <c r="J62" s="244">
        <f>+I62+SUMIFS('6 2024 BMI Query'!$G:$G,'6 2024 BMI Query'!$E:$E,$B62,'6 2024 BMI Query'!$A:$A,$B53,'6 2024 BMI Query'!$C:$C,12)</f>
        <v>-415652.42</v>
      </c>
      <c r="K62" s="244">
        <f>+SUMIFS('7 2025 BMI Query'!$G:$G,'7 2025 BMI Query'!$E:$E,$B62,'7 2025 BMI Query'!$A:$A,$B53,'7 2025 BMI Query'!$C:$C,0)+SUMIFS('7 2025 BMI Query'!$G:$G,'7 2025 BMI Query'!$E:$E,$B62,'7 2025 BMI Query'!$A:$A,$B53,'7 2025 BMI Query'!$C:$C,1)</f>
        <v>102985.65000000002</v>
      </c>
      <c r="L62" s="244">
        <f>+K62+SUMIFS('7 2025 BMI Query'!$G:$G,'7 2025 BMI Query'!$E:$E,$B62,'7 2025 BMI Query'!$A:$A,$B53,'7 2025 BMI Query'!$C:$C,2)</f>
        <v>51492.830000000024</v>
      </c>
      <c r="M62" s="244">
        <f>+L62+SUMIFS('7 2025 BMI Query'!$G:$G,'7 2025 BMI Query'!$E:$E,$B62,'7 2025 BMI Query'!$A:$A,$B53,'7 2025 BMI Query'!$C:$C,3)</f>
        <v>2.0000000025902409E-2</v>
      </c>
      <c r="N62" s="244">
        <f>+M62+SUMIFS('7 2025 BMI Query'!$G:$G,'7 2025 BMI Query'!$E:$E,$B62,'7 2025 BMI Query'!$A:$A,$B53,'7 2025 BMI Query'!$C:$C,4)</f>
        <v>2.0000000025902409E-2</v>
      </c>
      <c r="O62" s="244">
        <f>+N62+SUMIFS('7 2025 BMI Query'!$G:$G,'7 2025 BMI Query'!$E:$E,$B62,'7 2025 BMI Query'!$A:$A,$B53,'7 2025 BMI Query'!$C:$C,5)</f>
        <v>6201.7600000000257</v>
      </c>
      <c r="P62" s="244">
        <f>+O62+SUMIFS('7 2025 BMI Query'!$G:$G,'7 2025 BMI Query'!$E:$E,$B62,'7 2025 BMI Query'!$A:$A,$B53,'7 2025 BMI Query'!$C:$C,6)</f>
        <v>1886773.54</v>
      </c>
      <c r="Q62" s="244">
        <f>+P62+SUMIFS('7 2025 BMI Query'!$G:$G,'7 2025 BMI Query'!$E:$E,$B62,'7 2025 BMI Query'!$A:$A,$B53,'7 2025 BMI Query'!$C:$C,7)</f>
        <v>1886773.54</v>
      </c>
      <c r="R62" s="244">
        <f>+Q62+SUMIFS('7 2025 BMI Query'!$G:$G,'7 2025 BMI Query'!$E:$E,$B62,'7 2025 BMI Query'!$A:$A,$B53,'7 2025 BMI Query'!$C:$C,8)</f>
        <v>2244532.83</v>
      </c>
      <c r="S62" s="244"/>
      <c r="T62" s="244"/>
      <c r="U62" s="244"/>
      <c r="V62" s="244"/>
      <c r="W62" s="244"/>
      <c r="X62" s="244"/>
    </row>
    <row r="63" spans="1:25" x14ac:dyDescent="0.25">
      <c r="A63" s="50" t="s">
        <v>483</v>
      </c>
      <c r="B63" s="238" t="s">
        <v>484</v>
      </c>
      <c r="C63" s="244">
        <f>+SUMIFS('6 2024 BMI Query'!$G:$G,'6 2024 BMI Query'!$E:$E,$B63,'6 2024 BMI Query'!$A:$A,$B53,'6 2024 BMI Query'!$C:$C,0)+SUMIFS('6 2024 BMI Query'!$G:$G,'6 2024 BMI Query'!$E:$E,$B63,'6 2024 BMI Query'!$A:$A,$B53,'6 2024 BMI Query'!$C:$C,1)+SUMIFS('6 2024 BMI Query'!$G:$G,'6 2024 BMI Query'!$E:$E,$B63,'6 2024 BMI Query'!$A:$A,$B53,'6 2024 BMI Query'!$C:$C,2)+SUMIFS('6 2024 BMI Query'!$G:$G,'6 2024 BMI Query'!$E:$E,$B63,'6 2024 BMI Query'!$A:$A,$B53,'6 2024 BMI Query'!$C:$C,3)</f>
        <v>0</v>
      </c>
      <c r="D63" s="244">
        <f>+C63+SUMIFS('6 2024 BMI Query'!$G:$G,'6 2024 BMI Query'!$E:$E,$B63,'6 2024 BMI Query'!$A:$A,$B53,'6 2024 BMI Query'!$C:$C,4)+SUMIFS('6 2024 BMI Query'!$G:$G,'6 2024 BMI Query'!$E:$E,$B63,'6 2024 BMI Query'!$A:$A,$B53,'6 2024 BMI Query'!$C:$C,5)+SUMIFS('6 2024 BMI Query'!$G:$G,'6 2024 BMI Query'!$E:$E,$B63,'6 2024 BMI Query'!$A:$A,$B53,'6 2024 BMI Query'!$C:$C,6)</f>
        <v>0</v>
      </c>
      <c r="E63" s="244">
        <f>+D63+SUMIFS('6 2024 BMI Query'!$G:$G,'6 2024 BMI Query'!$E:$E,$B63,'6 2024 BMI Query'!$A:$A,$B53,'6 2024 BMI Query'!$C:$C,7)</f>
        <v>0</v>
      </c>
      <c r="F63" s="244">
        <f>+E63+SUMIFS('6 2024 BMI Query'!$G:$G,'6 2024 BMI Query'!$E:$E,$B63,'6 2024 BMI Query'!$A:$A,$B53,'6 2024 BMI Query'!$C:$C,8)</f>
        <v>0</v>
      </c>
      <c r="G63" s="244">
        <f>+F63+SUMIFS('6 2024 BMI Query'!$G:$G,'6 2024 BMI Query'!$E:$E,$B63,'6 2024 BMI Query'!$A:$A,$B53,'6 2024 BMI Query'!$C:$C,9)</f>
        <v>0</v>
      </c>
      <c r="H63" s="244">
        <f>+G63+SUMIFS('6 2024 BMI Query'!$G:$G,'6 2024 BMI Query'!$E:$E,$B63,'6 2024 BMI Query'!$A:$A,$B53,'6 2024 BMI Query'!$C:$C,10)</f>
        <v>0</v>
      </c>
      <c r="I63" s="244">
        <f>+H63+SUMIFS('6 2024 BMI Query'!$G:$G,'6 2024 BMI Query'!$E:$E,$B63,'6 2024 BMI Query'!$A:$A,$B53,'6 2024 BMI Query'!$C:$C,11)</f>
        <v>0</v>
      </c>
      <c r="J63" s="244">
        <f>+I63+SUMIFS('6 2024 BMI Query'!$G:$G,'6 2024 BMI Query'!$E:$E,$B63,'6 2024 BMI Query'!$A:$A,$B53,'6 2024 BMI Query'!$C:$C,12)</f>
        <v>0</v>
      </c>
      <c r="K63" s="244">
        <f>+SUMIFS('7 2025 BMI Query'!$G:$G,'7 2025 BMI Query'!$E:$E,$B63,'7 2025 BMI Query'!$A:$A,$B53,'7 2025 BMI Query'!$C:$C,0)+SUMIFS('7 2025 BMI Query'!$G:$G,'7 2025 BMI Query'!$E:$E,$B63,'7 2025 BMI Query'!$A:$A,$B53,'7 2025 BMI Query'!$C:$C,1)</f>
        <v>0</v>
      </c>
      <c r="L63" s="244">
        <f>+K63+SUMIFS('7 2025 BMI Query'!$G:$G,'7 2025 BMI Query'!$E:$E,$B63,'7 2025 BMI Query'!$A:$A,$B53,'7 2025 BMI Query'!$C:$C,2)</f>
        <v>0</v>
      </c>
      <c r="M63" s="244">
        <f>+L63+SUMIFS('7 2025 BMI Query'!$G:$G,'7 2025 BMI Query'!$E:$E,$B63,'7 2025 BMI Query'!$A:$A,$B53,'7 2025 BMI Query'!$C:$C,3)</f>
        <v>0</v>
      </c>
      <c r="N63" s="244">
        <f>+M63+SUMIFS('7 2025 BMI Query'!$G:$G,'7 2025 BMI Query'!$E:$E,$B63,'7 2025 BMI Query'!$A:$A,$B53,'7 2025 BMI Query'!$C:$C,4)</f>
        <v>0</v>
      </c>
      <c r="O63" s="244">
        <f>+N63+SUMIFS('7 2025 BMI Query'!$G:$G,'7 2025 BMI Query'!$E:$E,$B63,'7 2025 BMI Query'!$A:$A,$B53,'7 2025 BMI Query'!$C:$C,5)</f>
        <v>0</v>
      </c>
      <c r="P63" s="244">
        <f>+O63+SUMIFS('7 2025 BMI Query'!$G:$G,'7 2025 BMI Query'!$E:$E,$B63,'7 2025 BMI Query'!$A:$A,$B53,'7 2025 BMI Query'!$C:$C,6)</f>
        <v>0</v>
      </c>
      <c r="Q63" s="244">
        <f>+P63+SUMIFS('7 2025 BMI Query'!$G:$G,'7 2025 BMI Query'!$E:$E,$B63,'7 2025 BMI Query'!$A:$A,$B53,'7 2025 BMI Query'!$C:$C,7)</f>
        <v>0</v>
      </c>
      <c r="R63" s="244">
        <f>+Q63+SUMIFS('7 2025 BMI Query'!$G:$G,'7 2025 BMI Query'!$E:$E,$B63,'7 2025 BMI Query'!$A:$A,$B53,'7 2025 BMI Query'!$C:$C,8)</f>
        <v>0</v>
      </c>
      <c r="S63" s="244"/>
      <c r="T63" s="244"/>
      <c r="U63" s="244"/>
      <c r="V63" s="244"/>
      <c r="W63" s="244"/>
      <c r="X63" s="244"/>
    </row>
    <row r="64" spans="1:25" x14ac:dyDescent="0.25">
      <c r="A64" s="43" t="s">
        <v>109</v>
      </c>
      <c r="B64" s="238">
        <v>919081001</v>
      </c>
      <c r="C64" s="244">
        <f>+SUMIFS('6 2024 BMI Query'!$G:$G,'6 2024 BMI Query'!$E:$E,$B64,'6 2024 BMI Query'!$A:$A,$B53,'6 2024 BMI Query'!$C:$C,0)+SUMIFS('6 2024 BMI Query'!$G:$G,'6 2024 BMI Query'!$E:$E,$B64,'6 2024 BMI Query'!$A:$A,$B53,'6 2024 BMI Query'!$C:$C,1)+SUMIFS('6 2024 BMI Query'!$G:$G,'6 2024 BMI Query'!$E:$E,$B64,'6 2024 BMI Query'!$A:$A,$B53,'6 2024 BMI Query'!$C:$C,2)+SUMIFS('6 2024 BMI Query'!$G:$G,'6 2024 BMI Query'!$E:$E,$B64,'6 2024 BMI Query'!$A:$A,$B53,'6 2024 BMI Query'!$C:$C,3)</f>
        <v>5662.41</v>
      </c>
      <c r="D64" s="244">
        <f>+C64+SUMIFS('6 2024 BMI Query'!$G:$G,'6 2024 BMI Query'!$E:$E,$B64,'6 2024 BMI Query'!$A:$A,$B53,'6 2024 BMI Query'!$C:$C,4)+SUMIFS('6 2024 BMI Query'!$G:$G,'6 2024 BMI Query'!$E:$E,$B64,'6 2024 BMI Query'!$A:$A,$B53,'6 2024 BMI Query'!$C:$C,5)+SUMIFS('6 2024 BMI Query'!$G:$G,'6 2024 BMI Query'!$E:$E,$B64,'6 2024 BMI Query'!$A:$A,$B53,'6 2024 BMI Query'!$C:$C,6)</f>
        <v>5554.7399999999989</v>
      </c>
      <c r="E64" s="244">
        <f>+D64+SUMIFS('6 2024 BMI Query'!$G:$G,'6 2024 BMI Query'!$E:$E,$B64,'6 2024 BMI Query'!$A:$A,$B53,'6 2024 BMI Query'!$C:$C,7)</f>
        <v>5518.8399999999992</v>
      </c>
      <c r="F64" s="244">
        <f>+E64+SUMIFS('6 2024 BMI Query'!$G:$G,'6 2024 BMI Query'!$E:$E,$B64,'6 2024 BMI Query'!$A:$A,$B53,'6 2024 BMI Query'!$C:$C,8)</f>
        <v>5482.9499999999989</v>
      </c>
      <c r="G64" s="244">
        <f>+F64+SUMIFS('6 2024 BMI Query'!$G:$G,'6 2024 BMI Query'!$E:$E,$B64,'6 2024 BMI Query'!$A:$A,$B53,'6 2024 BMI Query'!$C:$C,9)</f>
        <v>5447.0599999999986</v>
      </c>
      <c r="H64" s="244">
        <f>+G64+SUMIFS('6 2024 BMI Query'!$G:$G,'6 2024 BMI Query'!$E:$E,$B64,'6 2024 BMI Query'!$A:$A,$B53,'6 2024 BMI Query'!$C:$C,10)</f>
        <v>5411.1699999999983</v>
      </c>
      <c r="I64" s="244">
        <f>+H64+SUMIFS('6 2024 BMI Query'!$G:$G,'6 2024 BMI Query'!$E:$E,$B64,'6 2024 BMI Query'!$A:$A,$B53,'6 2024 BMI Query'!$C:$C,11)</f>
        <v>5375.2799999999979</v>
      </c>
      <c r="J64" s="244">
        <f>+I64+SUMIFS('6 2024 BMI Query'!$G:$G,'6 2024 BMI Query'!$E:$E,$B64,'6 2024 BMI Query'!$A:$A,$B53,'6 2024 BMI Query'!$C:$C,12)</f>
        <v>5339.3799999999983</v>
      </c>
      <c r="K64" s="244">
        <f>+SUMIFS('7 2025 BMI Query'!$G:$G,'7 2025 BMI Query'!$E:$E,$B64,'7 2025 BMI Query'!$A:$A,$B53,'7 2025 BMI Query'!$C:$C,0)+SUMIFS('7 2025 BMI Query'!$G:$G,'7 2025 BMI Query'!$E:$E,$B64,'7 2025 BMI Query'!$A:$A,$B53,'7 2025 BMI Query'!$C:$C,1)</f>
        <v>5303.49</v>
      </c>
      <c r="L64" s="244">
        <f>+K64+SUMIFS('7 2025 BMI Query'!$G:$G,'7 2025 BMI Query'!$E:$E,$B64,'7 2025 BMI Query'!$A:$A,$B53,'7 2025 BMI Query'!$C:$C,2)</f>
        <v>5267.5999999999995</v>
      </c>
      <c r="M64" s="244">
        <f>+L64+SUMIFS('7 2025 BMI Query'!$G:$G,'7 2025 BMI Query'!$E:$E,$B64,'7 2025 BMI Query'!$A:$A,$B53,'7 2025 BMI Query'!$C:$C,3)</f>
        <v>5231.7</v>
      </c>
      <c r="N64" s="244">
        <f>+M64+SUMIFS('7 2025 BMI Query'!$G:$G,'7 2025 BMI Query'!$E:$E,$B64,'7 2025 BMI Query'!$A:$A,$B53,'7 2025 BMI Query'!$C:$C,4)</f>
        <v>5195.8099999999995</v>
      </c>
      <c r="O64" s="244">
        <f>+N64+SUMIFS('7 2025 BMI Query'!$G:$G,'7 2025 BMI Query'!$E:$E,$B64,'7 2025 BMI Query'!$A:$A,$B53,'7 2025 BMI Query'!$C:$C,5)</f>
        <v>5159.9199999999992</v>
      </c>
      <c r="P64" s="244">
        <f>+O64+SUMIFS('7 2025 BMI Query'!$G:$G,'7 2025 BMI Query'!$E:$E,$B64,'7 2025 BMI Query'!$A:$A,$B53,'7 2025 BMI Query'!$C:$C,6)</f>
        <v>5124.0299999999988</v>
      </c>
      <c r="Q64" s="244">
        <f>+P64+SUMIFS('7 2025 BMI Query'!$G:$G,'7 2025 BMI Query'!$E:$E,$B64,'7 2025 BMI Query'!$A:$A,$B53,'7 2025 BMI Query'!$C:$C,7)</f>
        <v>5088.1299999999992</v>
      </c>
      <c r="R64" s="244">
        <f>+Q64+SUMIFS('7 2025 BMI Query'!$G:$G,'7 2025 BMI Query'!$E:$E,$B64,'7 2025 BMI Query'!$A:$A,$B53,'7 2025 BMI Query'!$C:$C,8)</f>
        <v>5052.2399999999989</v>
      </c>
      <c r="S64" s="244"/>
      <c r="T64" s="244"/>
      <c r="U64" s="244"/>
      <c r="V64" s="244"/>
      <c r="W64" s="244"/>
      <c r="X64" s="244"/>
    </row>
    <row r="65" spans="1:25" x14ac:dyDescent="0.25">
      <c r="A65" s="50" t="s">
        <v>112</v>
      </c>
      <c r="C65" s="244">
        <f>+C68-SUM(C54:C64)</f>
        <v>74422.940000005066</v>
      </c>
      <c r="D65" s="244">
        <f t="shared" ref="D65" si="51">+D68-SUM(D54:D64)</f>
        <v>2748135.8300000019</v>
      </c>
      <c r="E65" s="244">
        <f t="shared" ref="E65:R65" si="52">+E68-SUM(E54:E64)</f>
        <v>117164.1400000006</v>
      </c>
      <c r="F65" s="244">
        <f t="shared" si="52"/>
        <v>123368.1099999994</v>
      </c>
      <c r="G65" s="244">
        <f t="shared" si="52"/>
        <v>2221332.8200000003</v>
      </c>
      <c r="H65" s="244">
        <f t="shared" si="52"/>
        <v>216403</v>
      </c>
      <c r="I65" s="244">
        <f t="shared" si="52"/>
        <v>800163.36000000313</v>
      </c>
      <c r="J65" s="244">
        <f t="shared" si="52"/>
        <v>3633103.2699999996</v>
      </c>
      <c r="K65" s="244">
        <f t="shared" si="52"/>
        <v>588149.18999999762</v>
      </c>
      <c r="L65" s="244">
        <f t="shared" si="52"/>
        <v>874997.20999999344</v>
      </c>
      <c r="M65" s="244">
        <f t="shared" si="52"/>
        <v>2304270.2399999946</v>
      </c>
      <c r="N65" s="244">
        <f t="shared" si="52"/>
        <v>2244841.5399999954</v>
      </c>
      <c r="O65" s="244">
        <f t="shared" si="52"/>
        <v>2371024.7799999863</v>
      </c>
      <c r="P65" s="244">
        <f t="shared" si="52"/>
        <v>2237602.6799999923</v>
      </c>
      <c r="Q65" s="244">
        <f t="shared" si="52"/>
        <v>2364168.3999999948</v>
      </c>
      <c r="R65" s="244">
        <f t="shared" si="52"/>
        <v>2490096.8899999969</v>
      </c>
      <c r="S65" s="244"/>
      <c r="T65" s="244"/>
      <c r="U65" s="244"/>
      <c r="V65" s="244"/>
      <c r="W65" s="244"/>
      <c r="X65" s="244"/>
    </row>
    <row r="66" spans="1:25" x14ac:dyDescent="0.25">
      <c r="A66" s="245" t="s">
        <v>491</v>
      </c>
      <c r="C66" s="244"/>
      <c r="D66" s="244"/>
      <c r="E66" s="244"/>
      <c r="F66" s="244"/>
      <c r="G66" s="244"/>
      <c r="H66" s="244"/>
      <c r="I66" s="244"/>
      <c r="J66" s="244"/>
      <c r="K66" s="244"/>
      <c r="L66" s="244"/>
      <c r="M66" s="244"/>
      <c r="N66" s="244"/>
      <c r="O66" s="244"/>
      <c r="P66" s="244"/>
      <c r="Q66" s="244"/>
      <c r="R66" s="244"/>
      <c r="S66" s="244"/>
      <c r="T66" s="244"/>
      <c r="U66" s="244"/>
      <c r="V66" s="244"/>
      <c r="W66" s="244"/>
      <c r="X66" s="244"/>
    </row>
    <row r="67" spans="1:25" x14ac:dyDescent="0.25">
      <c r="A67" s="50" t="s">
        <v>487</v>
      </c>
      <c r="C67" s="247">
        <f>SUM(C53:C66)</f>
        <v>30342309.209999997</v>
      </c>
      <c r="D67" s="247">
        <f t="shared" ref="D67:X67" si="53">SUM(D53:D66)</f>
        <v>32652352.409999996</v>
      </c>
      <c r="E67" s="247">
        <f t="shared" ref="E67:R67" si="54">SUM(E53:E66)</f>
        <v>29898464.459999997</v>
      </c>
      <c r="F67" s="247">
        <f t="shared" si="54"/>
        <v>29623778.779999997</v>
      </c>
      <c r="G67" s="247">
        <f t="shared" si="54"/>
        <v>32002588.789999999</v>
      </c>
      <c r="H67" s="247">
        <f t="shared" si="54"/>
        <v>20933068.939999998</v>
      </c>
      <c r="I67" s="247">
        <f t="shared" si="54"/>
        <v>21390165.389999997</v>
      </c>
      <c r="J67" s="247">
        <f t="shared" si="54"/>
        <v>23287341.839999996</v>
      </c>
      <c r="K67" s="247">
        <f t="shared" si="54"/>
        <v>22913083.549999993</v>
      </c>
      <c r="L67" s="247">
        <f t="shared" si="54"/>
        <v>23061137.659999993</v>
      </c>
      <c r="M67" s="247">
        <f t="shared" si="54"/>
        <v>22528555.809999991</v>
      </c>
      <c r="N67" s="247">
        <f t="shared" si="54"/>
        <v>22521471.579999991</v>
      </c>
      <c r="O67" s="247">
        <f t="shared" si="54"/>
        <v>22715126.59999999</v>
      </c>
      <c r="P67" s="247">
        <f t="shared" si="54"/>
        <v>24609136.649999991</v>
      </c>
      <c r="Q67" s="247">
        <f t="shared" si="54"/>
        <v>24801984.669999991</v>
      </c>
      <c r="R67" s="247">
        <f t="shared" si="54"/>
        <v>25404324.539999992</v>
      </c>
      <c r="S67" s="247">
        <f t="shared" si="53"/>
        <v>0</v>
      </c>
      <c r="T67" s="247">
        <f t="shared" si="53"/>
        <v>0</v>
      </c>
      <c r="U67" s="247">
        <f t="shared" si="53"/>
        <v>0</v>
      </c>
      <c r="V67" s="247">
        <f t="shared" si="53"/>
        <v>0</v>
      </c>
      <c r="W67" s="247">
        <f t="shared" si="53"/>
        <v>0</v>
      </c>
      <c r="X67" s="247">
        <f t="shared" si="53"/>
        <v>0</v>
      </c>
    </row>
    <row r="68" spans="1:25" x14ac:dyDescent="0.25">
      <c r="A68" s="245" t="s">
        <v>488</v>
      </c>
      <c r="B68" s="238">
        <v>19011</v>
      </c>
      <c r="C68" s="248">
        <f>SUMIFS('6 2024 BMI Query'!$G:$G,'6 2024 BMI Query'!$D:$D,$B68,'6 2024 BMI Query'!$A:$A,$B53,'6 2024 BMI Query'!$C:$C,0)+SUMIFS('6 2024 BMI Query'!$G:$G,'6 2024 BMI Query'!$D:$D,$B68,'6 2024 BMI Query'!$A:$A,$B53,'6 2024 BMI Query'!$C:$C,1)+SUMIFS('6 2024 BMI Query'!$G:$G,'6 2024 BMI Query'!$D:$D,$B68,'6 2024 BMI Query'!$A:$A,$B53,'6 2024 BMI Query'!$C:$C,2)+SUMIFS('6 2024 BMI Query'!$G:$G,'6 2024 BMI Query'!$D:$D,$B68,'6 2024 BMI Query'!$A:$A,$B53,'6 2024 BMI Query'!$C:$C,3)</f>
        <v>30342309.209999997</v>
      </c>
      <c r="D68" s="248">
        <f>+C68+SUMIFS('6 2024 BMI Query'!$G:$G,'6 2024 BMI Query'!$D:$D,$B68,'6 2024 BMI Query'!$A:$A,$B53,'6 2024 BMI Query'!$C:$C,4)+SUMIFS('6 2024 BMI Query'!$G:$G,'6 2024 BMI Query'!$D:$D,$B68,'6 2024 BMI Query'!$A:$A,$B53,'6 2024 BMI Query'!$C:$C,5)+SUMIFS('6 2024 BMI Query'!$G:$G,'6 2024 BMI Query'!$D:$D,$B68,'6 2024 BMI Query'!$A:$A,$B53,'6 2024 BMI Query'!$C:$C,6)</f>
        <v>32652352.409999996</v>
      </c>
      <c r="E68" s="248">
        <f>+D68+SUMIFS('6 2024 BMI Query'!$G:$G,'6 2024 BMI Query'!$D:$D,$B68,'6 2024 BMI Query'!$A:$A,$B53,'6 2024 BMI Query'!$C:$C,7)</f>
        <v>29898464.459999997</v>
      </c>
      <c r="F68" s="248">
        <f>+E68+SUMIFS('6 2024 BMI Query'!$G:$G,'6 2024 BMI Query'!$D:$D,$B68,'6 2024 BMI Query'!$A:$A,$B53,'6 2024 BMI Query'!$C:$C,8)</f>
        <v>29623778.779999997</v>
      </c>
      <c r="G68" s="248">
        <f>+F68+SUMIFS('6 2024 BMI Query'!$G:$G,'6 2024 BMI Query'!$D:$D,$B68,'6 2024 BMI Query'!$A:$A,$B53,'6 2024 BMI Query'!$C:$C,9)</f>
        <v>32002588.789999999</v>
      </c>
      <c r="H68" s="248">
        <f>+G68+SUMIFS('6 2024 BMI Query'!$G:$G,'6 2024 BMI Query'!$D:$D,$B68,'6 2024 BMI Query'!$A:$A,$B53,'6 2024 BMI Query'!$C:$C,10)</f>
        <v>20933068.939999998</v>
      </c>
      <c r="I68" s="248">
        <f>+H68+SUMIFS('6 2024 BMI Query'!$G:$G,'6 2024 BMI Query'!$D:$D,$B68,'6 2024 BMI Query'!$A:$A,$B53,'6 2024 BMI Query'!$C:$C,11)</f>
        <v>21390165.389999997</v>
      </c>
      <c r="J68" s="248">
        <f>+I68+SUMIFS('6 2024 BMI Query'!$G:$G,'6 2024 BMI Query'!$D:$D,$B68,'6 2024 BMI Query'!$A:$A,$B53,'6 2024 BMI Query'!$C:$C,12)</f>
        <v>23287341.839999996</v>
      </c>
      <c r="K68" s="248">
        <f>SUMIFS('7 2025 BMI Query'!$G:$G,'7 2025 BMI Query'!$D:$D,$B68,'7 2025 BMI Query'!$A:$A,$B53,'7 2025 BMI Query'!$C:$C,0)+SUMIFS('7 2025 BMI Query'!$G:$G,'7 2025 BMI Query'!$D:$D,$B68,'7 2025 BMI Query'!$A:$A,$B53,'7 2025 BMI Query'!$C:$C,1)</f>
        <v>22913083.549999993</v>
      </c>
      <c r="L68" s="248">
        <f>+K68+SUMIFS('7 2025 BMI Query'!$G:$G,'7 2025 BMI Query'!$D:$D,$B68,'7 2025 BMI Query'!$A:$A,$B53,'7 2025 BMI Query'!$C:$C,2)</f>
        <v>23061137.659999993</v>
      </c>
      <c r="M68" s="248">
        <f>+L68+SUMIFS('7 2025 BMI Query'!$G:$G,'7 2025 BMI Query'!$D:$D,$B68,'7 2025 BMI Query'!$A:$A,$B53,'7 2025 BMI Query'!$C:$C,3)</f>
        <v>22528555.809999991</v>
      </c>
      <c r="N68" s="248">
        <f>+M68+SUMIFS('7 2025 BMI Query'!$G:$G,'7 2025 BMI Query'!$D:$D,$B68,'7 2025 BMI Query'!$A:$A,$B53,'7 2025 BMI Query'!$C:$C,4)</f>
        <v>22521471.579999991</v>
      </c>
      <c r="O68" s="248">
        <f>+N68+SUMIFS('7 2025 BMI Query'!$G:$G,'7 2025 BMI Query'!$D:$D,$B68,'7 2025 BMI Query'!$A:$A,$B53,'7 2025 BMI Query'!$C:$C,5)</f>
        <v>22715126.59999999</v>
      </c>
      <c r="P68" s="248">
        <f>+O68+SUMIFS('7 2025 BMI Query'!$G:$G,'7 2025 BMI Query'!$D:$D,$B68,'7 2025 BMI Query'!$A:$A,$B53,'7 2025 BMI Query'!$C:$C,6)</f>
        <v>24609136.649999991</v>
      </c>
      <c r="Q68" s="248">
        <f>+P68+SUMIFS('7 2025 BMI Query'!$G:$G,'7 2025 BMI Query'!$D:$D,$B68,'7 2025 BMI Query'!$A:$A,$B53,'7 2025 BMI Query'!$C:$C,7)</f>
        <v>24801984.669999991</v>
      </c>
      <c r="R68" s="248">
        <f>+Q68+SUMIFS('7 2025 BMI Query'!$G:$G,'7 2025 BMI Query'!$D:$D,$B68,'7 2025 BMI Query'!$A:$A,$B53,'7 2025 BMI Query'!$C:$C,8)</f>
        <v>25404324.539999992</v>
      </c>
      <c r="S68" s="248"/>
      <c r="T68" s="248"/>
      <c r="U68" s="248"/>
      <c r="V68" s="248"/>
      <c r="W68" s="248"/>
      <c r="X68" s="248"/>
    </row>
    <row r="69" spans="1:25" x14ac:dyDescent="0.25">
      <c r="A69" s="50"/>
      <c r="C69" s="250"/>
      <c r="D69" s="250"/>
      <c r="E69" s="250"/>
      <c r="F69" s="250"/>
      <c r="G69" s="250"/>
      <c r="H69" s="250"/>
      <c r="I69" s="250"/>
      <c r="J69" s="250"/>
      <c r="K69" s="250"/>
      <c r="L69" s="250"/>
      <c r="M69" s="250"/>
      <c r="N69" s="250"/>
      <c r="O69" s="250"/>
      <c r="P69" s="250"/>
      <c r="Q69" s="250"/>
      <c r="R69" s="250"/>
      <c r="S69" s="250"/>
      <c r="T69" s="250"/>
      <c r="U69" s="250"/>
      <c r="V69" s="250"/>
      <c r="W69" s="250"/>
      <c r="X69" s="250"/>
    </row>
    <row r="70" spans="1:25" x14ac:dyDescent="0.25">
      <c r="A70" s="50"/>
    </row>
    <row r="71" spans="1:25" x14ac:dyDescent="0.25">
      <c r="A71" s="50" t="s">
        <v>96</v>
      </c>
      <c r="B71" s="238">
        <v>28211</v>
      </c>
      <c r="C71" s="244">
        <f>+C76-SUM(C72:C73)</f>
        <v>-102053787.55000001</v>
      </c>
      <c r="D71" s="244">
        <f t="shared" ref="D71:R71" si="55">+D76-SUM(D72:D73)</f>
        <v>-105261568.36000001</v>
      </c>
      <c r="E71" s="244">
        <f t="shared" si="55"/>
        <v>-106307301.96000001</v>
      </c>
      <c r="F71" s="244">
        <f t="shared" si="55"/>
        <v>-107284495.98000002</v>
      </c>
      <c r="G71" s="244">
        <f t="shared" si="55"/>
        <v>-108199666.75000001</v>
      </c>
      <c r="H71" s="244">
        <f t="shared" si="55"/>
        <v>-108184117.93000001</v>
      </c>
      <c r="I71" s="244">
        <f t="shared" si="55"/>
        <v>-110236961.37</v>
      </c>
      <c r="J71" s="244">
        <f t="shared" si="55"/>
        <v>-110847142.95000002</v>
      </c>
      <c r="K71" s="244">
        <f t="shared" si="55"/>
        <v>-110756598.47</v>
      </c>
      <c r="L71" s="244">
        <f t="shared" si="55"/>
        <v>-111478094.95</v>
      </c>
      <c r="M71" s="244">
        <f t="shared" si="55"/>
        <v>-113567696.72</v>
      </c>
      <c r="N71" s="244">
        <f t="shared" si="55"/>
        <v>-114417062.94000001</v>
      </c>
      <c r="O71" s="244">
        <f t="shared" si="55"/>
        <v>-115822507.75</v>
      </c>
      <c r="P71" s="244">
        <f t="shared" si="55"/>
        <v>-116193000.42</v>
      </c>
      <c r="Q71" s="244">
        <f t="shared" si="55"/>
        <v>-117263147.62</v>
      </c>
      <c r="R71" s="244">
        <f t="shared" si="55"/>
        <v>-118505432.77999999</v>
      </c>
      <c r="S71" s="244"/>
      <c r="T71" s="244"/>
      <c r="U71" s="244"/>
      <c r="V71" s="244"/>
      <c r="W71" s="244"/>
      <c r="X71" s="244"/>
    </row>
    <row r="72" spans="1:25" x14ac:dyDescent="0.25">
      <c r="A72" s="50" t="s">
        <v>116</v>
      </c>
      <c r="B72" s="238">
        <v>928290001</v>
      </c>
      <c r="C72" s="244">
        <f>+SUMIFS('6 2024 BMI Query'!$G:$G,'6 2024 BMI Query'!$E:$E,$B72,'6 2024 BMI Query'!$A:$A,$B53,'6 2024 BMI Query'!$C:$C,0)+SUMIFS('6 2024 BMI Query'!$G:$G,'6 2024 BMI Query'!$E:$E,$B72,'6 2024 BMI Query'!$A:$A,$B53,'6 2024 BMI Query'!$C:$C,1)+SUMIFS('6 2024 BMI Query'!$G:$G,'6 2024 BMI Query'!$E:$E,$B72,'6 2024 BMI Query'!$A:$A,$B53,'6 2024 BMI Query'!$C:$C,2)+SUMIFS('6 2024 BMI Query'!$G:$G,'6 2024 BMI Query'!$E:$E,$B72,'6 2024 BMI Query'!$A:$A,$B53,'6 2024 BMI Query'!$C:$C,3)</f>
        <v>0</v>
      </c>
      <c r="D72" s="244">
        <f>+C72+SUMIFS('6 2024 BMI Query'!$G:$G,'6 2024 BMI Query'!$E:$E,$B72,'6 2024 BMI Query'!$A:$A,$B53,'6 2024 BMI Query'!$C:$C,4)+SUMIFS('6 2024 BMI Query'!$G:$G,'6 2024 BMI Query'!$E:$E,$B72,'6 2024 BMI Query'!$A:$A,$B53,'6 2024 BMI Query'!$C:$C,5)+SUMIFS('6 2024 BMI Query'!$G:$G,'6 2024 BMI Query'!$E:$E,$B72,'6 2024 BMI Query'!$A:$A,$B53,'6 2024 BMI Query'!$C:$C,6)</f>
        <v>0</v>
      </c>
      <c r="E72" s="244">
        <f>+D72+SUMIFS('6 2024 BMI Query'!$G:$G,'6 2024 BMI Query'!$E:$E,$B72,'6 2024 BMI Query'!$A:$A,$B53,'6 2024 BMI Query'!$C:$C,7)</f>
        <v>0</v>
      </c>
      <c r="F72" s="244">
        <f>+E72+SUMIFS('6 2024 BMI Query'!$G:$G,'6 2024 BMI Query'!$E:$E,$B72,'6 2024 BMI Query'!$A:$A,$B53,'6 2024 BMI Query'!$C:$C,8)</f>
        <v>0</v>
      </c>
      <c r="G72" s="244">
        <f>+F72+SUMIFS('6 2024 BMI Query'!$G:$G,'6 2024 BMI Query'!$E:$E,$B72,'6 2024 BMI Query'!$A:$A,$B53,'6 2024 BMI Query'!$C:$C,9)</f>
        <v>0</v>
      </c>
      <c r="H72" s="244">
        <f>+G72+SUMIFS('6 2024 BMI Query'!$G:$G,'6 2024 BMI Query'!$E:$E,$B72,'6 2024 BMI Query'!$A:$A,$B53,'6 2024 BMI Query'!$C:$C,10)</f>
        <v>0</v>
      </c>
      <c r="I72" s="244">
        <f>+H72+SUMIFS('6 2024 BMI Query'!$G:$G,'6 2024 BMI Query'!$E:$E,$B72,'6 2024 BMI Query'!$A:$A,$B53,'6 2024 BMI Query'!$C:$C,11)</f>
        <v>0</v>
      </c>
      <c r="J72" s="244">
        <f>+I72+SUMIFS('6 2024 BMI Query'!$G:$G,'6 2024 BMI Query'!$E:$E,$B72,'6 2024 BMI Query'!$A:$A,$B53,'6 2024 BMI Query'!$C:$C,12)</f>
        <v>1350058.2</v>
      </c>
      <c r="K72" s="244">
        <f>+SUMIFS('7 2025 BMI Query'!$G:$G,'7 2025 BMI Query'!$E:$E,$B72,'7 2025 BMI Query'!$A:$A,$B53,'7 2025 BMI Query'!$C:$C,0)+SUMIFS('7 2025 BMI Query'!$G:$G,'7 2025 BMI Query'!$E:$E,$B72,'7 2025 BMI Query'!$A:$A,$B53,'7 2025 BMI Query'!$C:$C,1)</f>
        <v>1338807.71</v>
      </c>
      <c r="L72" s="244">
        <f>+K72+SUMIFS('7 2025 BMI Query'!$G:$G,'7 2025 BMI Query'!$E:$E,$B72,'7 2025 BMI Query'!$A:$A,$B53,'7 2025 BMI Query'!$C:$C,2)</f>
        <v>1327557.22</v>
      </c>
      <c r="M72" s="244">
        <f>+L72+SUMIFS('7 2025 BMI Query'!$G:$G,'7 2025 BMI Query'!$E:$E,$B72,'7 2025 BMI Query'!$A:$A,$B53,'7 2025 BMI Query'!$C:$C,3)</f>
        <v>1316306.74</v>
      </c>
      <c r="N72" s="244">
        <f>+M72+SUMIFS('7 2025 BMI Query'!$G:$G,'7 2025 BMI Query'!$E:$E,$B72,'7 2025 BMI Query'!$A:$A,$B53,'7 2025 BMI Query'!$C:$C,4)</f>
        <v>1305056.26</v>
      </c>
      <c r="O72" s="244">
        <f>+N72+SUMIFS('7 2025 BMI Query'!$G:$G,'7 2025 BMI Query'!$E:$E,$B72,'7 2025 BMI Query'!$A:$A,$B53,'7 2025 BMI Query'!$C:$C,5)</f>
        <v>1293805.77</v>
      </c>
      <c r="P72" s="244">
        <f>+O72+SUMIFS('7 2025 BMI Query'!$G:$G,'7 2025 BMI Query'!$E:$E,$B72,'7 2025 BMI Query'!$A:$A,$B53,'7 2025 BMI Query'!$C:$C,6)</f>
        <v>1282555.29</v>
      </c>
      <c r="Q72" s="244">
        <f>+P72+SUMIFS('7 2025 BMI Query'!$G:$G,'7 2025 BMI Query'!$E:$E,$B72,'7 2025 BMI Query'!$A:$A,$B53,'7 2025 BMI Query'!$C:$C,7)</f>
        <v>1271304.8</v>
      </c>
      <c r="R72" s="244">
        <f>+Q72+SUMIFS('7 2025 BMI Query'!$G:$G,'7 2025 BMI Query'!$E:$E,$B72,'7 2025 BMI Query'!$A:$A,$B53,'7 2025 BMI Query'!$C:$C,8)</f>
        <v>1260054.32</v>
      </c>
      <c r="S72" s="244"/>
      <c r="T72" s="244"/>
      <c r="U72" s="244"/>
      <c r="V72" s="244"/>
      <c r="W72" s="244"/>
      <c r="X72" s="244"/>
    </row>
    <row r="73" spans="1:25" x14ac:dyDescent="0.25">
      <c r="A73" s="50" t="s">
        <v>489</v>
      </c>
      <c r="B73" s="238">
        <v>928201201</v>
      </c>
      <c r="C73" s="244">
        <f>+SUMIFS('6 2024 BMI Query'!$G:$G,'6 2024 BMI Query'!$E:$E,$B73,'6 2024 BMI Query'!$A:$A,$B53,'6 2024 BMI Query'!$C:$C,0)+SUMIFS('6 2024 BMI Query'!$G:$G,'6 2024 BMI Query'!$E:$E,$B73,'6 2024 BMI Query'!$A:$A,$B53,'6 2024 BMI Query'!$C:$C,1)+SUMIFS('6 2024 BMI Query'!$G:$G,'6 2024 BMI Query'!$E:$E,$B73,'6 2024 BMI Query'!$A:$A,$B53,'6 2024 BMI Query'!$C:$C,2)+SUMIFS('6 2024 BMI Query'!$G:$G,'6 2024 BMI Query'!$E:$E,$B73,'6 2024 BMI Query'!$A:$A,$B53,'6 2024 BMI Query'!$C:$C,3)</f>
        <v>77335064.060000002</v>
      </c>
      <c r="D73" s="244">
        <f>+C73+SUMIFS('6 2024 BMI Query'!$G:$G,'6 2024 BMI Query'!$E:$E,$B73,'6 2024 BMI Query'!$A:$A,$B53,'6 2024 BMI Query'!$C:$C,4)+SUMIFS('6 2024 BMI Query'!$G:$G,'6 2024 BMI Query'!$E:$E,$B73,'6 2024 BMI Query'!$A:$A,$B53,'6 2024 BMI Query'!$C:$C,5)+SUMIFS('6 2024 BMI Query'!$G:$G,'6 2024 BMI Query'!$E:$E,$B73,'6 2024 BMI Query'!$A:$A,$B53,'6 2024 BMI Query'!$C:$C,6)</f>
        <v>77038273.590000004</v>
      </c>
      <c r="E73" s="244">
        <f>+D73+SUMIFS('6 2024 BMI Query'!$G:$G,'6 2024 BMI Query'!$E:$E,$B73,'6 2024 BMI Query'!$C:$C,7)</f>
        <v>76932974.450000003</v>
      </c>
      <c r="F73" s="244">
        <f>+E73+SUMIFS('6 2024 BMI Query'!$G:$G,'6 2024 BMI Query'!$E:$E,$B73,'6 2024 BMI Query'!$C:$C,8)</f>
        <v>76833390.88000001</v>
      </c>
      <c r="G73" s="244">
        <f>+F73+SUMIFS('6 2024 BMI Query'!$G:$G,'6 2024 BMI Query'!$E:$E,$B73,'6 2024 BMI Query'!$C:$C,9)</f>
        <v>76718153.710000008</v>
      </c>
      <c r="H73" s="244">
        <f>+G73+SUMIFS('6 2024 BMI Query'!$G:$G,'6 2024 BMI Query'!$E:$E,$B73,'6 2024 BMI Query'!$C:$C,10)</f>
        <v>76604841.120000005</v>
      </c>
      <c r="I73" s="244">
        <f>+H73+SUMIFS('6 2024 BMI Query'!$G:$G,'6 2024 BMI Query'!$E:$E,$B73,'6 2024 BMI Query'!$C:$C,11)</f>
        <v>76487313.230000004</v>
      </c>
      <c r="J73" s="244">
        <f>+I73+SUMIFS('6 2024 BMI Query'!$G:$G,'6 2024 BMI Query'!$E:$E,$B73,'6 2024 BMI Query'!$C:$C,12)</f>
        <v>76367871.900000006</v>
      </c>
      <c r="K73" s="244">
        <f>+SUMIFS('7 2025 BMI Query'!$G:$G,'7 2025 BMI Query'!$E:$E,$B73,'7 2025 BMI Query'!$C:$C,0)+SUMIFS('7 2025 BMI Query'!$G:$G,'7 2025 BMI Query'!$E:$E,$B73,'7 2025 BMI Query'!$C:$C,1)</f>
        <v>76217670.13000001</v>
      </c>
      <c r="L73" s="244">
        <f>+K73+SUMIFS('7 2025 BMI Query'!$G:$G,'7 2025 BMI Query'!$E:$E,$B73,'7 2025 BMI Query'!$C:$C,2)</f>
        <v>76051827.870000005</v>
      </c>
      <c r="M73" s="244">
        <f>+L73+SUMIFS('7 2025 BMI Query'!$G:$G,'7 2025 BMI Query'!$E:$E,$B73,'7 2025 BMI Query'!$C:$C,3)</f>
        <v>75901054.320000008</v>
      </c>
      <c r="N73" s="244">
        <f>+M73+SUMIFS('7 2025 BMI Query'!$G:$G,'7 2025 BMI Query'!$E:$E,$B73,'7 2025 BMI Query'!$C:$C,4)</f>
        <v>75753345.74000001</v>
      </c>
      <c r="O73" s="244">
        <f>+N73+SUMIFS('7 2025 BMI Query'!$G:$G,'7 2025 BMI Query'!$E:$E,$B73,'7 2025 BMI Query'!$C:$C,5)</f>
        <v>75625889.810000002</v>
      </c>
      <c r="P73" s="244">
        <f>+O73+SUMIFS('7 2025 BMI Query'!$G:$G,'7 2025 BMI Query'!$E:$E,$B73,'7 2025 BMI Query'!$C:$C,6)</f>
        <v>74802284.359999999</v>
      </c>
      <c r="Q73" s="244">
        <f>+P73+SUMIFS('7 2025 BMI Query'!$G:$G,'7 2025 BMI Query'!$E:$E,$B73,'7 2025 BMI Query'!$C:$C,7)</f>
        <v>74610587.420000002</v>
      </c>
      <c r="R73" s="244">
        <f>+Q73+SUMIFS('7 2025 BMI Query'!$G:$G,'7 2025 BMI Query'!$E:$E,$B73,'7 2025 BMI Query'!$C:$C,8)</f>
        <v>74430467.719999999</v>
      </c>
      <c r="S73" s="244"/>
      <c r="T73" s="244"/>
      <c r="U73" s="244"/>
      <c r="V73" s="244"/>
      <c r="W73" s="244"/>
      <c r="X73" s="244"/>
    </row>
    <row r="74" spans="1:25" x14ac:dyDescent="0.25">
      <c r="A74" s="245" t="s">
        <v>491</v>
      </c>
      <c r="C74" s="244"/>
      <c r="D74" s="244"/>
      <c r="E74" s="244"/>
      <c r="F74" s="244"/>
      <c r="G74" s="244"/>
      <c r="H74" s="244"/>
      <c r="I74" s="244"/>
      <c r="J74" s="244"/>
      <c r="K74" s="244"/>
      <c r="L74" s="244"/>
      <c r="M74" s="244"/>
      <c r="N74" s="244"/>
      <c r="O74" s="244"/>
      <c r="P74" s="244"/>
      <c r="Q74" s="244"/>
      <c r="R74" s="244"/>
      <c r="S74" s="244"/>
      <c r="T74" s="244"/>
      <c r="U74" s="244"/>
      <c r="V74" s="244"/>
      <c r="W74" s="244"/>
      <c r="X74" s="244"/>
    </row>
    <row r="75" spans="1:25" ht="16.5" thickBot="1" x14ac:dyDescent="0.3">
      <c r="A75" s="50" t="s">
        <v>492</v>
      </c>
      <c r="C75" s="58">
        <f t="shared" ref="C75:X75" si="56">SUM(C71:C74)</f>
        <v>-24718723.49000001</v>
      </c>
      <c r="D75" s="58">
        <f t="shared" si="56"/>
        <v>-28223294.770000011</v>
      </c>
      <c r="E75" s="58">
        <f t="shared" si="56"/>
        <v>-29374327.510000005</v>
      </c>
      <c r="F75" s="58">
        <f t="shared" si="56"/>
        <v>-30451105.100000009</v>
      </c>
      <c r="G75" s="58">
        <f t="shared" si="56"/>
        <v>-31481513.040000007</v>
      </c>
      <c r="H75" s="58">
        <f t="shared" si="56"/>
        <v>-31579276.810000002</v>
      </c>
      <c r="I75" s="58">
        <f t="shared" si="56"/>
        <v>-33749648.140000001</v>
      </c>
      <c r="J75" s="58">
        <f t="shared" si="56"/>
        <v>-33129212.850000009</v>
      </c>
      <c r="K75" s="58">
        <f t="shared" si="56"/>
        <v>-33200120.629999995</v>
      </c>
      <c r="L75" s="58">
        <f t="shared" si="56"/>
        <v>-34098709.859999999</v>
      </c>
      <c r="M75" s="58">
        <f t="shared" si="56"/>
        <v>-36350335.659999996</v>
      </c>
      <c r="N75" s="58">
        <f t="shared" si="56"/>
        <v>-37358660.939999998</v>
      </c>
      <c r="O75" s="58">
        <f t="shared" si="56"/>
        <v>-38902812.170000002</v>
      </c>
      <c r="P75" s="58">
        <f t="shared" si="56"/>
        <v>-40108160.769999996</v>
      </c>
      <c r="Q75" s="58">
        <f t="shared" si="56"/>
        <v>-41381255.400000006</v>
      </c>
      <c r="R75" s="58">
        <f t="shared" si="56"/>
        <v>-42814910.739999995</v>
      </c>
      <c r="S75" s="58">
        <f t="shared" si="56"/>
        <v>0</v>
      </c>
      <c r="T75" s="58">
        <f t="shared" si="56"/>
        <v>0</v>
      </c>
      <c r="U75" s="58">
        <f t="shared" si="56"/>
        <v>0</v>
      </c>
      <c r="V75" s="58">
        <f t="shared" si="56"/>
        <v>0</v>
      </c>
      <c r="W75" s="58">
        <f t="shared" si="56"/>
        <v>0</v>
      </c>
      <c r="X75" s="58">
        <f t="shared" si="56"/>
        <v>0</v>
      </c>
    </row>
    <row r="76" spans="1:25" ht="16.5" thickTop="1" x14ac:dyDescent="0.25">
      <c r="A76" s="245" t="s">
        <v>493</v>
      </c>
      <c r="B76" s="238">
        <v>28211</v>
      </c>
      <c r="C76" s="248">
        <f>SUMIFS('6 2024 BMI Query'!$G:$G,'6 2024 BMI Query'!$D:$D,$B76,'6 2024 BMI Query'!$A:$A,$B53,'6 2024 BMI Query'!$C:$C,0)+SUMIFS('6 2024 BMI Query'!$G:$G,'6 2024 BMI Query'!$D:$D,$B76,'6 2024 BMI Query'!$A:$A,$B53,'6 2024 BMI Query'!$C:$C,1)+SUMIFS('6 2024 BMI Query'!$G:$G,'6 2024 BMI Query'!$D:$D,$B76,'6 2024 BMI Query'!$A:$A,$B53,'6 2024 BMI Query'!$C:$C,2)+SUMIFS('6 2024 BMI Query'!$G:$G,'6 2024 BMI Query'!$D:$D,$B76,'6 2024 BMI Query'!$A:$A,$B53,'6 2024 BMI Query'!$C:$C,3)</f>
        <v>-24718723.490000002</v>
      </c>
      <c r="D76" s="248">
        <f>+C76+SUMIFS('6 2024 BMI Query'!$G:$G,'6 2024 BMI Query'!$D:$D,$B76,'6 2024 BMI Query'!$A:$A,$B53,'6 2024 BMI Query'!$C:$C,4)+SUMIFS('6 2024 BMI Query'!$G:$G,'6 2024 BMI Query'!$D:$D,$B76,'6 2024 BMI Query'!$A:$A,$B53,'6 2024 BMI Query'!$C:$C,5)+SUMIFS('6 2024 BMI Query'!$G:$G,'6 2024 BMI Query'!$D:$D,$B76,'6 2024 BMI Query'!$A:$A,$B53,'6 2024 BMI Query'!$C:$C,6)</f>
        <v>-28223294.770000003</v>
      </c>
      <c r="E76" s="248">
        <f>+D76+SUMIFS('6 2024 BMI Query'!$G:$G,'6 2024 BMI Query'!$D:$D,$B76,'6 2024 BMI Query'!$A:$A,$B53,'6 2024 BMI Query'!$C:$C,7)</f>
        <v>-29374327.510000002</v>
      </c>
      <c r="F76" s="248">
        <f>+E76+SUMIFS('6 2024 BMI Query'!$G:$G,'6 2024 BMI Query'!$D:$D,$B76,'6 2024 BMI Query'!$A:$A,$B53,'6 2024 BMI Query'!$C:$C,8)</f>
        <v>-30451105.100000001</v>
      </c>
      <c r="G76" s="248">
        <f>+F76+SUMIFS('6 2024 BMI Query'!$G:$G,'6 2024 BMI Query'!$D:$D,$B76,'6 2024 BMI Query'!$A:$A,$B53,'6 2024 BMI Query'!$C:$C,9)</f>
        <v>-31481513.040000003</v>
      </c>
      <c r="H76" s="248">
        <f>+G76+SUMIFS('6 2024 BMI Query'!$G:$G,'6 2024 BMI Query'!$D:$D,$B76,'6 2024 BMI Query'!$A:$A,$B53,'6 2024 BMI Query'!$C:$C,10)</f>
        <v>-31579276.810000002</v>
      </c>
      <c r="I76" s="248">
        <f>+H76+SUMIFS('6 2024 BMI Query'!$G:$G,'6 2024 BMI Query'!$D:$D,$B76,'6 2024 BMI Query'!$A:$A,$B53,'6 2024 BMI Query'!$C:$C,11)</f>
        <v>-33749648.140000001</v>
      </c>
      <c r="J76" s="248">
        <f>+I76+SUMIFS('6 2024 BMI Query'!$G:$G,'6 2024 BMI Query'!$D:$D,$B76,'6 2024 BMI Query'!$A:$A,$B53,'6 2024 BMI Query'!$C:$C,12)</f>
        <v>-33129212.850000001</v>
      </c>
      <c r="K76" s="248">
        <f>SUMIFS('7 2025 BMI Query'!$G:$G,'7 2025 BMI Query'!$D:$D,$B76,'7 2025 BMI Query'!$A:$A,$B53,'7 2025 BMI Query'!$C:$C,0)+SUMIFS('7 2025 BMI Query'!$G:$G,'7 2025 BMI Query'!$D:$D,$B76,'7 2025 BMI Query'!$A:$A,$B53,'7 2025 BMI Query'!$C:$C,1)</f>
        <v>-33200120.629999999</v>
      </c>
      <c r="L76" s="248">
        <f>+K76+SUMIFS('7 2025 BMI Query'!$G:$G,'7 2025 BMI Query'!$D:$D,$B76,'7 2025 BMI Query'!$A:$A,$B53,'7 2025 BMI Query'!$C:$C,2)</f>
        <v>-34098709.859999999</v>
      </c>
      <c r="M76" s="248">
        <f>+L76+SUMIFS('7 2025 BMI Query'!$G:$G,'7 2025 BMI Query'!$D:$D,$B76,'7 2025 BMI Query'!$A:$A,$B53,'7 2025 BMI Query'!$C:$C,3)</f>
        <v>-36350335.659999996</v>
      </c>
      <c r="N76" s="248">
        <f>+M76+SUMIFS('7 2025 BMI Query'!$G:$G,'7 2025 BMI Query'!$D:$D,$B76,'7 2025 BMI Query'!$A:$A,$B53,'7 2025 BMI Query'!$C:$C,4)</f>
        <v>-37358660.939999998</v>
      </c>
      <c r="O76" s="248">
        <f>+N76+SUMIFS('7 2025 BMI Query'!$G:$G,'7 2025 BMI Query'!$D:$D,$B76,'7 2025 BMI Query'!$A:$A,$B53,'7 2025 BMI Query'!$C:$C,5)</f>
        <v>-38902812.169999994</v>
      </c>
      <c r="P76" s="248">
        <f>+O76+SUMIFS('7 2025 BMI Query'!$G:$G,'7 2025 BMI Query'!$D:$D,$B76,'7 2025 BMI Query'!$A:$A,$B53,'7 2025 BMI Query'!$C:$C,6)</f>
        <v>-40108160.769999996</v>
      </c>
      <c r="Q76" s="248">
        <f>+P76+SUMIFS('7 2025 BMI Query'!$G:$G,'7 2025 BMI Query'!$D:$D,$B76,'7 2025 BMI Query'!$A:$A,$B53,'7 2025 BMI Query'!$C:$C,7)</f>
        <v>-41381255.399999999</v>
      </c>
      <c r="R76" s="248">
        <f>+Q76+SUMIFS('7 2025 BMI Query'!$G:$G,'7 2025 BMI Query'!$D:$D,$B76,'7 2025 BMI Query'!$A:$A,$B53,'7 2025 BMI Query'!$C:$C,8)</f>
        <v>-42814910.739999995</v>
      </c>
      <c r="S76" s="248"/>
      <c r="T76" s="248"/>
      <c r="U76" s="248"/>
      <c r="V76" s="248"/>
      <c r="W76" s="248"/>
      <c r="X76" s="248"/>
    </row>
    <row r="77" spans="1:25" x14ac:dyDescent="0.25">
      <c r="A77" s="50"/>
    </row>
    <row r="78" spans="1:25" x14ac:dyDescent="0.25">
      <c r="A78" s="50" t="s">
        <v>477</v>
      </c>
      <c r="B78" s="238" t="s">
        <v>402</v>
      </c>
      <c r="C78" s="244">
        <f>+SUMIFS('6 2024 BMI Query'!$G:$G,'6 2024 BMI Query'!$E:$E,$B78,'6 2024 BMI Query'!$C:$C,0)+SUMIFS('6 2024 BMI Query'!$G:$G,'6 2024 BMI Query'!$E:$E,$B78,'6 2024 BMI Query'!$C:$C,1)+SUMIFS('6 2024 BMI Query'!$G:$G,'6 2024 BMI Query'!$E:$E,$B78,'6 2024 BMI Query'!$C:$C,2)+SUMIFS('6 2024 BMI Query'!$G:$G,'6 2024 BMI Query'!$E:$E,$B78,'6 2024 BMI Query'!$C:$C,3)</f>
        <v>0</v>
      </c>
      <c r="D78" s="244">
        <f>+C78+SUMIFS('6 2024 BMI Query'!$G:$G,'6 2024 BMI Query'!$E:$E,$B78,'6 2024 BMI Query'!$C:$C,4)+SUMIFS('6 2024 BMI Query'!$G:$G,'6 2024 BMI Query'!$E:$E,$B78,'6 2024 BMI Query'!$C:$C,5)+SUMIFS('6 2024 BMI Query'!$G:$G,'6 2024 BMI Query'!$E:$E,$B78,'6 2024 BMI Query'!$C:$C,6)</f>
        <v>0</v>
      </c>
      <c r="E78" s="244">
        <f>+D78+SUMIFS('6 2024 BMI Query'!$G:$G,'6 2024 BMI Query'!$E:$E,$B78,'6 2024 BMI Query'!$C:$C,7)</f>
        <v>0</v>
      </c>
      <c r="F78" s="244">
        <f>+E78+SUMIFS('6 2024 BMI Query'!$G:$G,'6 2024 BMI Query'!$E:$E,$B78,'6 2024 BMI Query'!$C:$C,8)</f>
        <v>0</v>
      </c>
      <c r="G78" s="244">
        <f>+F78+SUMIFS('6 2024 BMI Query'!$G:$G,'6 2024 BMI Query'!$E:$E,$B78,'6 2024 BMI Query'!$C:$C,9)</f>
        <v>0</v>
      </c>
      <c r="H78" s="244">
        <f>+G78+SUMIFS('6 2024 BMI Query'!$G:$G,'6 2024 BMI Query'!$E:$E,$B78,'6 2024 BMI Query'!$C:$C,10)</f>
        <v>0</v>
      </c>
      <c r="I78" s="244">
        <f>+H78+SUMIFS('6 2024 BMI Query'!$G:$G,'6 2024 BMI Query'!$E:$E,$B78,'6 2024 BMI Query'!$C:$C,11)</f>
        <v>0</v>
      </c>
      <c r="J78" s="244">
        <f>+I78+SUMIFS('6 2024 BMI Query'!$G:$G,'6 2024 BMI Query'!$E:$E,$B78,'6 2024 BMI Query'!$C:$C,12)</f>
        <v>0</v>
      </c>
      <c r="K78" s="244">
        <f>+SUMIFS('7 2025 BMI Query'!$G:$G,'7 2025 BMI Query'!$E:$E,$B78,'7 2025 BMI Query'!$C:$C,0)+SUMIFS('7 2025 BMI Query'!$G:$G,'7 2025 BMI Query'!$E:$E,$B78,'7 2025 BMI Query'!$C:$C,1)</f>
        <v>0</v>
      </c>
      <c r="L78" s="244">
        <f>+K78+SUMIFS('7 2025 BMI Query'!$G:$G,'7 2025 BMI Query'!$E:$E,$B78,'7 2025 BMI Query'!$C:$C,2)</f>
        <v>0</v>
      </c>
      <c r="M78" s="244">
        <f>+L78+SUMIFS('7 2025 BMI Query'!$G:$G,'7 2025 BMI Query'!$E:$E,$B78,'7 2025 BMI Query'!$C:$C,3)</f>
        <v>0</v>
      </c>
      <c r="N78" s="244">
        <f>+M78+SUMIFS('7 2025 BMI Query'!$G:$G,'7 2025 BMI Query'!$E:$E,$B78,'7 2025 BMI Query'!$C:$C,4)</f>
        <v>0</v>
      </c>
      <c r="O78" s="244">
        <f>+N78+SUMIFS('7 2025 BMI Query'!$G:$G,'7 2025 BMI Query'!$E:$E,$B78,'7 2025 BMI Query'!$C:$C,5)</f>
        <v>0</v>
      </c>
      <c r="P78" s="244">
        <f>+O78+SUMIFS('7 2025 BMI Query'!$G:$G,'7 2025 BMI Query'!$E:$E,$B78,'7 2025 BMI Query'!$C:$C,6)</f>
        <v>0</v>
      </c>
      <c r="Q78" s="244">
        <f>+P78+SUMIFS('7 2025 BMI Query'!$G:$G,'7 2025 BMI Query'!$E:$E,$B78,'7 2025 BMI Query'!$C:$C,7)</f>
        <v>0</v>
      </c>
      <c r="R78" s="244">
        <f>+Q78+SUMIFS('7 2025 BMI Query'!$G:$G,'7 2025 BMI Query'!$E:$E,$B78,'7 2025 BMI Query'!$C:$C,8)</f>
        <v>0</v>
      </c>
      <c r="S78" s="244"/>
      <c r="T78" s="244"/>
      <c r="U78" s="244"/>
      <c r="V78" s="244"/>
      <c r="W78" s="244"/>
      <c r="X78" s="244"/>
      <c r="Y78" s="43" t="s">
        <v>476</v>
      </c>
    </row>
    <row r="79" spans="1:25" x14ac:dyDescent="0.25">
      <c r="A79" s="50" t="s">
        <v>124</v>
      </c>
      <c r="B79" s="238">
        <v>928301261</v>
      </c>
      <c r="C79" s="244">
        <f>+SUMIFS('6 2024 BMI Query'!$G:$G,'6 2024 BMI Query'!$E:$E,$B79,'6 2024 BMI Query'!$C:$C,0)+SUMIFS('6 2024 BMI Query'!$G:$G,'6 2024 BMI Query'!$E:$E,$B79,'6 2024 BMI Query'!$C:$C,1)+SUMIFS('6 2024 BMI Query'!$G:$G,'6 2024 BMI Query'!$E:$E,$B79,'6 2024 BMI Query'!$C:$C,2)+SUMIFS('6 2024 BMI Query'!$G:$G,'6 2024 BMI Query'!$E:$E,$B79,'6 2024 BMI Query'!$C:$C,3)</f>
        <v>-12023200</v>
      </c>
      <c r="D79" s="244">
        <f>+C79+SUMIFS('6 2024 BMI Query'!$G:$G,'6 2024 BMI Query'!$E:$E,$B79,'6 2024 BMI Query'!$C:$C,4)+SUMIFS('6 2024 BMI Query'!$G:$G,'6 2024 BMI Query'!$E:$E,$B79,'6 2024 BMI Query'!$C:$C,5)+SUMIFS('6 2024 BMI Query'!$G:$G,'6 2024 BMI Query'!$E:$E,$B79,'6 2024 BMI Query'!$C:$C,6)</f>
        <v>-11507920</v>
      </c>
      <c r="E79" s="244">
        <f>+D79+SUMIFS('6 2024 BMI Query'!$G:$G,'6 2024 BMI Query'!$E:$E,$B79,'6 2024 BMI Query'!$C:$C,7)</f>
        <v>-11336160</v>
      </c>
      <c r="F79" s="244">
        <f>+E79+SUMIFS('6 2024 BMI Query'!$G:$G,'6 2024 BMI Query'!$E:$E,$B79,'6 2024 BMI Query'!$C:$C,8)</f>
        <v>-11164400</v>
      </c>
      <c r="G79" s="244">
        <f>+F79+SUMIFS('6 2024 BMI Query'!$G:$G,'6 2024 BMI Query'!$E:$E,$B79,'6 2024 BMI Query'!$C:$C,9)</f>
        <v>-10992640</v>
      </c>
      <c r="H79" s="244">
        <f>+G79+SUMIFS('6 2024 BMI Query'!$G:$G,'6 2024 BMI Query'!$E:$E,$B79,'6 2024 BMI Query'!$C:$C,10)</f>
        <v>-10820880</v>
      </c>
      <c r="I79" s="244">
        <f>+H79+SUMIFS('6 2024 BMI Query'!$G:$G,'6 2024 BMI Query'!$E:$E,$B79,'6 2024 BMI Query'!$C:$C,11)</f>
        <v>-10649120</v>
      </c>
      <c r="J79" s="244">
        <f>+I79+SUMIFS('6 2024 BMI Query'!$G:$G,'6 2024 BMI Query'!$E:$E,$B79,'6 2024 BMI Query'!$C:$C,12)</f>
        <v>-10477360</v>
      </c>
      <c r="K79" s="244">
        <f>+SUMIFS('7 2025 BMI Query'!$G:$G,'7 2025 BMI Query'!$E:$E,$B79,'7 2025 BMI Query'!$C:$C,0)+SUMIFS('7 2025 BMI Query'!$G:$G,'7 2025 BMI Query'!$E:$E,$B79,'7 2025 BMI Query'!$C:$C,1)</f>
        <v>-10305600</v>
      </c>
      <c r="L79" s="244">
        <f>+K79+SUMIFS('7 2025 BMI Query'!$G:$G,'7 2025 BMI Query'!$E:$E,$B79,'7 2025 BMI Query'!$C:$C,2)</f>
        <v>-10133840</v>
      </c>
      <c r="M79" s="244">
        <f>+L79+SUMIFS('7 2025 BMI Query'!$G:$G,'7 2025 BMI Query'!$E:$E,$B79,'7 2025 BMI Query'!$C:$C,3)</f>
        <v>-9962080</v>
      </c>
      <c r="N79" s="244">
        <f>+M79+SUMIFS('7 2025 BMI Query'!$G:$G,'7 2025 BMI Query'!$E:$E,$B79,'7 2025 BMI Query'!$C:$C,4)</f>
        <v>-9790320</v>
      </c>
      <c r="O79" s="244">
        <f>+N79+SUMIFS('7 2025 BMI Query'!$G:$G,'7 2025 BMI Query'!$E:$E,$B79,'7 2025 BMI Query'!$C:$C,5)</f>
        <v>-9618560</v>
      </c>
      <c r="P79" s="244">
        <f>+O79+SUMIFS('7 2025 BMI Query'!$G:$G,'7 2025 BMI Query'!$E:$E,$B79,'7 2025 BMI Query'!$C:$C,6)</f>
        <v>-9446800</v>
      </c>
      <c r="Q79" s="244">
        <f>+P79+SUMIFS('7 2025 BMI Query'!$G:$G,'7 2025 BMI Query'!$E:$E,$B79,'7 2025 BMI Query'!$C:$C,7)</f>
        <v>-9275040</v>
      </c>
      <c r="R79" s="244">
        <f>+Q79+SUMIFS('7 2025 BMI Query'!$G:$G,'7 2025 BMI Query'!$E:$E,$B79,'7 2025 BMI Query'!$C:$C,8)</f>
        <v>-9103280</v>
      </c>
      <c r="S79" s="244"/>
      <c r="T79" s="244"/>
      <c r="U79" s="244"/>
      <c r="V79" s="244"/>
      <c r="W79" s="244"/>
      <c r="X79" s="244"/>
    </row>
    <row r="80" spans="1:25" x14ac:dyDescent="0.25">
      <c r="A80" s="50" t="s">
        <v>478</v>
      </c>
      <c r="B80" s="238" t="s">
        <v>403</v>
      </c>
      <c r="C80" s="244">
        <f>+SUMIFS('6 2024 BMI Query'!$G:$G,'6 2024 BMI Query'!$E:$E,$B80,'6 2024 BMI Query'!$C:$C,0)+SUMIFS('6 2024 BMI Query'!$G:$G,'6 2024 BMI Query'!$E:$E,$B80,'6 2024 BMI Query'!$C:$C,1)+SUMIFS('6 2024 BMI Query'!$G:$G,'6 2024 BMI Query'!$E:$E,$B80,'6 2024 BMI Query'!$C:$C,2)+SUMIFS('6 2024 BMI Query'!$G:$G,'6 2024 BMI Query'!$E:$E,$B80,'6 2024 BMI Query'!$C:$C,3)</f>
        <v>12023200</v>
      </c>
      <c r="D80" s="244">
        <f>+C80+SUMIFS('6 2024 BMI Query'!$G:$G,'6 2024 BMI Query'!$E:$E,$B80,'6 2024 BMI Query'!$C:$C,4)+SUMIFS('6 2024 BMI Query'!$G:$G,'6 2024 BMI Query'!$E:$E,$B80,'6 2024 BMI Query'!$C:$C,5)+SUMIFS('6 2024 BMI Query'!$G:$G,'6 2024 BMI Query'!$E:$E,$B80,'6 2024 BMI Query'!$C:$C,6)</f>
        <v>11507920</v>
      </c>
      <c r="E80" s="244">
        <f>+D80+SUMIFS('6 2024 BMI Query'!$G:$G,'6 2024 BMI Query'!$E:$E,$B80,'6 2024 BMI Query'!$C:$C,7)</f>
        <v>11336160</v>
      </c>
      <c r="F80" s="244">
        <f>+E80+SUMIFS('6 2024 BMI Query'!$G:$G,'6 2024 BMI Query'!$E:$E,$B80,'6 2024 BMI Query'!$C:$C,8)</f>
        <v>11164400</v>
      </c>
      <c r="G80" s="244">
        <f>+F80+SUMIFS('6 2024 BMI Query'!$G:$G,'6 2024 BMI Query'!$E:$E,$B80,'6 2024 BMI Query'!$C:$C,9)</f>
        <v>10992640</v>
      </c>
      <c r="H80" s="244">
        <f>+G80+SUMIFS('6 2024 BMI Query'!$G:$G,'6 2024 BMI Query'!$E:$E,$B80,'6 2024 BMI Query'!$C:$C,10)</f>
        <v>10820880</v>
      </c>
      <c r="I80" s="244">
        <f>+H80+SUMIFS('6 2024 BMI Query'!$G:$G,'6 2024 BMI Query'!$E:$E,$B80,'6 2024 BMI Query'!$C:$C,11)</f>
        <v>10649120</v>
      </c>
      <c r="J80" s="244">
        <f>+I80+SUMIFS('6 2024 BMI Query'!$G:$G,'6 2024 BMI Query'!$E:$E,$B80,'6 2024 BMI Query'!$C:$C,12)</f>
        <v>10477360</v>
      </c>
      <c r="K80" s="244">
        <f>+SUMIFS('7 2025 BMI Query'!$G:$G,'7 2025 BMI Query'!$E:$E,$B80,'7 2025 BMI Query'!$C:$C,0)+SUMIFS('7 2025 BMI Query'!$G:$G,'7 2025 BMI Query'!$E:$E,$B80,'7 2025 BMI Query'!$C:$C,1)</f>
        <v>10305600</v>
      </c>
      <c r="L80" s="244">
        <f>+K80+SUMIFS('7 2025 BMI Query'!$G:$G,'7 2025 BMI Query'!$E:$E,$B80,'7 2025 BMI Query'!$C:$C,2)</f>
        <v>10133840</v>
      </c>
      <c r="M80" s="244">
        <f>+L80+SUMIFS('7 2025 BMI Query'!$G:$G,'7 2025 BMI Query'!$E:$E,$B80,'7 2025 BMI Query'!$C:$C,3)</f>
        <v>9962080</v>
      </c>
      <c r="N80" s="244">
        <f>+M80+SUMIFS('7 2025 BMI Query'!$G:$G,'7 2025 BMI Query'!$E:$E,$B80,'7 2025 BMI Query'!$C:$C,4)</f>
        <v>9790320</v>
      </c>
      <c r="O80" s="244">
        <f>+N80+SUMIFS('7 2025 BMI Query'!$G:$G,'7 2025 BMI Query'!$E:$E,$B80,'7 2025 BMI Query'!$C:$C,5)</f>
        <v>9618560</v>
      </c>
      <c r="P80" s="244">
        <f>+O80+SUMIFS('7 2025 BMI Query'!$G:$G,'7 2025 BMI Query'!$E:$E,$B80,'7 2025 BMI Query'!$C:$C,6)</f>
        <v>9446800</v>
      </c>
      <c r="Q80" s="244">
        <f>+P80+SUMIFS('7 2025 BMI Query'!$G:$G,'7 2025 BMI Query'!$E:$E,$B80,'7 2025 BMI Query'!$C:$C,7)</f>
        <v>9275040</v>
      </c>
      <c r="R80" s="244">
        <f>+Q80+SUMIFS('7 2025 BMI Query'!$G:$G,'7 2025 BMI Query'!$E:$E,$B80,'7 2025 BMI Query'!$C:$C,8)</f>
        <v>9103280</v>
      </c>
      <c r="S80" s="244"/>
      <c r="T80" s="244"/>
      <c r="U80" s="244"/>
      <c r="V80" s="244"/>
      <c r="W80" s="244"/>
      <c r="X80" s="244"/>
      <c r="Y80" s="43" t="s">
        <v>476</v>
      </c>
    </row>
    <row r="81" spans="1:25" x14ac:dyDescent="0.25">
      <c r="A81" s="50" t="s">
        <v>479</v>
      </c>
      <c r="B81" s="238" t="s">
        <v>404</v>
      </c>
      <c r="C81" s="244">
        <f>+SUMIFS('6 2024 BMI Query'!$G:$G,'6 2024 BMI Query'!$E:$E,$B81,'6 2024 BMI Query'!$C:$C,0)+SUMIFS('6 2024 BMI Query'!$G:$G,'6 2024 BMI Query'!$E:$E,$B81,'6 2024 BMI Query'!$C:$C,1)+SUMIFS('6 2024 BMI Query'!$G:$G,'6 2024 BMI Query'!$E:$E,$B81,'6 2024 BMI Query'!$C:$C,2)+SUMIFS('6 2024 BMI Query'!$G:$G,'6 2024 BMI Query'!$E:$E,$B81,'6 2024 BMI Query'!$C:$C,3)</f>
        <v>-2236991.2399999993</v>
      </c>
      <c r="D81" s="244">
        <f>+C81+SUMIFS('6 2024 BMI Query'!$G:$G,'6 2024 BMI Query'!$E:$E,$B81,'6 2024 BMI Query'!$C:$C,4)+SUMIFS('6 2024 BMI Query'!$G:$G,'6 2024 BMI Query'!$E:$E,$B81,'6 2024 BMI Query'!$C:$C,5)+SUMIFS('6 2024 BMI Query'!$G:$G,'6 2024 BMI Query'!$E:$E,$B81,'6 2024 BMI Query'!$C:$C,6)</f>
        <v>-2141120.3899999987</v>
      </c>
      <c r="E81" s="244">
        <f>+D81+SUMIFS('6 2024 BMI Query'!$G:$G,'6 2024 BMI Query'!$E:$E,$B81,'6 2024 BMI Query'!$C:$C,7)</f>
        <v>-2109163.4399999985</v>
      </c>
      <c r="F81" s="244">
        <f>+E81+SUMIFS('6 2024 BMI Query'!$G:$G,'6 2024 BMI Query'!$E:$E,$B81,'6 2024 BMI Query'!$C:$C,8)</f>
        <v>-2077206.4899999986</v>
      </c>
      <c r="G81" s="244">
        <f>+F81+SUMIFS('6 2024 BMI Query'!$G:$G,'6 2024 BMI Query'!$E:$E,$B81,'6 2024 BMI Query'!$C:$C,9)</f>
        <v>-2045249.5399999986</v>
      </c>
      <c r="H81" s="244">
        <f>+G81+SUMIFS('6 2024 BMI Query'!$G:$G,'6 2024 BMI Query'!$E:$E,$B81,'6 2024 BMI Query'!$C:$C,10)</f>
        <v>-2013292.5899999987</v>
      </c>
      <c r="I81" s="244">
        <f>+H81+SUMIFS('6 2024 BMI Query'!$G:$G,'6 2024 BMI Query'!$E:$E,$B81,'6 2024 BMI Query'!$C:$C,11)</f>
        <v>-1981335.6499999987</v>
      </c>
      <c r="J81" s="244">
        <f>+I81+SUMIFS('6 2024 BMI Query'!$G:$G,'6 2024 BMI Query'!$E:$E,$B81,'6 2024 BMI Query'!$C:$C,12)</f>
        <v>-1949378.6999999988</v>
      </c>
      <c r="K81" s="244">
        <f>+SUMIFS('7 2025 BMI Query'!$G:$G,'7 2025 BMI Query'!$E:$E,$B81,'7 2025 BMI Query'!$C:$C,0)+SUMIFS('7 2025 BMI Query'!$G:$G,'7 2025 BMI Query'!$E:$E,$B81,'7 2025 BMI Query'!$C:$C,1)</f>
        <v>-1917421.75</v>
      </c>
      <c r="L81" s="244">
        <f>+K81+SUMIFS('7 2025 BMI Query'!$G:$G,'7 2025 BMI Query'!$E:$E,$B81,'7 2025 BMI Query'!$C:$C,2)</f>
        <v>-1885464.8</v>
      </c>
      <c r="M81" s="244">
        <f>+L81+SUMIFS('7 2025 BMI Query'!$G:$G,'7 2025 BMI Query'!$E:$E,$B81,'7 2025 BMI Query'!$C:$C,3)</f>
        <v>-1853507.85</v>
      </c>
      <c r="N81" s="244">
        <f>+M81+SUMIFS('7 2025 BMI Query'!$G:$G,'7 2025 BMI Query'!$E:$E,$B81,'7 2025 BMI Query'!$C:$C,4)</f>
        <v>-1821550.9000000001</v>
      </c>
      <c r="O81" s="244">
        <f>+N81+SUMIFS('7 2025 BMI Query'!$G:$G,'7 2025 BMI Query'!$E:$E,$B81,'7 2025 BMI Query'!$C:$C,5)</f>
        <v>-1789593.9500000002</v>
      </c>
      <c r="P81" s="244">
        <f>+O81+SUMIFS('7 2025 BMI Query'!$G:$G,'7 2025 BMI Query'!$E:$E,$B81,'7 2025 BMI Query'!$C:$C,6)</f>
        <v>-1757637.0000000002</v>
      </c>
      <c r="Q81" s="244">
        <f>+P81+SUMIFS('7 2025 BMI Query'!$G:$G,'7 2025 BMI Query'!$E:$E,$B81,'7 2025 BMI Query'!$C:$C,7)</f>
        <v>-1725680.0500000003</v>
      </c>
      <c r="R81" s="244">
        <f>+Q81+SUMIFS('7 2025 BMI Query'!$G:$G,'7 2025 BMI Query'!$E:$E,$B81,'7 2025 BMI Query'!$C:$C,8)</f>
        <v>-1693723.1000000003</v>
      </c>
      <c r="S81" s="244"/>
      <c r="T81" s="244"/>
      <c r="U81" s="244"/>
      <c r="V81" s="244"/>
      <c r="W81" s="244"/>
      <c r="X81" s="244"/>
      <c r="Y81" s="43" t="s">
        <v>476</v>
      </c>
    </row>
    <row r="82" spans="1:25" x14ac:dyDescent="0.25">
      <c r="A82" s="50" t="s">
        <v>494</v>
      </c>
      <c r="B82" s="238" t="s">
        <v>495</v>
      </c>
      <c r="C82" s="244">
        <f>+SUMIFS('6 2024 BMI Query'!$G:$G,'6 2024 BMI Query'!$E:$E,$B82,'6 2024 BMI Query'!$A:$A,$B53,'6 2024 BMI Query'!$C:$C,0)+SUMIFS('6 2024 BMI Query'!$G:$G,'6 2024 BMI Query'!$E:$E,$B82,'6 2024 BMI Query'!$A:$A,$B53,'6 2024 BMI Query'!$C:$C,1)+SUMIFS('6 2024 BMI Query'!$G:$G,'6 2024 BMI Query'!$E:$E,$B82,'6 2024 BMI Query'!$A:$A,$B53,'6 2024 BMI Query'!$C:$C,2)+SUMIFS('6 2024 BMI Query'!$G:$G,'6 2024 BMI Query'!$E:$E,$B82,'6 2024 BMI Query'!$A:$A,$B53,'6 2024 BMI Query'!$C:$C,3)</f>
        <v>-3228090.39</v>
      </c>
      <c r="D82" s="244">
        <f>+C82+SUMIFS('6 2024 BMI Query'!$G:$G,'6 2024 BMI Query'!$E:$E,$B82,'6 2024 BMI Query'!$A:$A,$B53,'6 2024 BMI Query'!$C:$C,4)+SUMIFS('6 2024 BMI Query'!$G:$G,'6 2024 BMI Query'!$E:$E,$B82,'6 2024 BMI Query'!$A:$A,$B53,'6 2024 BMI Query'!$C:$C,5)+SUMIFS('6 2024 BMI Query'!$G:$G,'6 2024 BMI Query'!$E:$E,$B82,'6 2024 BMI Query'!$A:$A,$B53,'6 2024 BMI Query'!$C:$C,6)</f>
        <v>-3448295.8</v>
      </c>
      <c r="E82" s="244">
        <f>+D82+SUMIFS('6 2024 BMI Query'!$G:$G,'6 2024 BMI Query'!$E:$E,$B82,'6 2024 BMI Query'!$A:$A,$B53,'6 2024 BMI Query'!$C:$C,7)</f>
        <v>-3448401.53</v>
      </c>
      <c r="F82" s="244">
        <f>+E82+SUMIFS('6 2024 BMI Query'!$G:$G,'6 2024 BMI Query'!$E:$E,$B82,'6 2024 BMI Query'!$A:$A,$B53,'6 2024 BMI Query'!$C:$C,8)</f>
        <v>-3448507.59</v>
      </c>
      <c r="G82" s="244">
        <f>+F82+SUMIFS('6 2024 BMI Query'!$G:$G,'6 2024 BMI Query'!$E:$E,$B82,'6 2024 BMI Query'!$A:$A,$B53,'6 2024 BMI Query'!$C:$C,9)</f>
        <v>-3258618.7399999998</v>
      </c>
      <c r="H82" s="244">
        <f>+G82+SUMIFS('6 2024 BMI Query'!$G:$G,'6 2024 BMI Query'!$E:$E,$B82,'6 2024 BMI Query'!$C:$C,10)</f>
        <v>16649126.369999999</v>
      </c>
      <c r="I82" s="244">
        <f>+H82+SUMIFS('6 2024 BMI Query'!$G:$G,'6 2024 BMI Query'!$E:$E,$B82,'6 2024 BMI Query'!$C:$C,11)</f>
        <v>20377867.109999999</v>
      </c>
      <c r="J82" s="244">
        <f>+I82+SUMIFS('6 2024 BMI Query'!$G:$G,'6 2024 BMI Query'!$E:$E,$B82,'6 2024 BMI Query'!$C:$C,12)</f>
        <v>24303410.669999998</v>
      </c>
      <c r="K82" s="244">
        <f>+SUMIFS('7 2025 BMI Query'!$G:$G,'7 2025 BMI Query'!$E:$E,$B82,'7 2025 BMI Query'!$A:$A,$B53,'7 2025 BMI Query'!$C:$C,0)+SUMIFS('7 2025 BMI Query'!$G:$G,'7 2025 BMI Query'!$E:$E,$B82,'7 2025 BMI Query'!$A:$A,$B53,'7 2025 BMI Query'!$C:$C,1)</f>
        <v>-2653636.3400000003</v>
      </c>
      <c r="L82" s="244">
        <f>+K82+SUMIFS('7 2025 BMI Query'!$G:$G,'7 2025 BMI Query'!$E:$E,$B82,'7 2025 BMI Query'!$A:$A,$B53,'7 2025 BMI Query'!$C:$C,2)</f>
        <v>-2441600.7200000002</v>
      </c>
      <c r="M82" s="244">
        <f>+L82+SUMIFS('7 2025 BMI Query'!$G:$G,'7 2025 BMI Query'!$E:$E,$B82,'7 2025 BMI Query'!$A:$A,$B53,'7 2025 BMI Query'!$C:$C,3)</f>
        <v>-2237549.5</v>
      </c>
      <c r="N82" s="244">
        <f>+M82+SUMIFS('7 2025 BMI Query'!$G:$G,'7 2025 BMI Query'!$E:$E,$B82,'7 2025 BMI Query'!$A:$A,$B53,'7 2025 BMI Query'!$C:$C,4)</f>
        <v>-2129141.4300000002</v>
      </c>
      <c r="O82" s="244">
        <f>+N82+SUMIFS('7 2025 BMI Query'!$G:$G,'7 2025 BMI Query'!$E:$E,$B82,'7 2025 BMI Query'!$A:$A,$B53,'7 2025 BMI Query'!$C:$C,5)</f>
        <v>-845495.05000000028</v>
      </c>
      <c r="P82" s="244">
        <f>+O82+SUMIFS('7 2025 BMI Query'!$G:$G,'7 2025 BMI Query'!$E:$E,$B82,'7 2025 BMI Query'!$A:$A,$B53,'7 2025 BMI Query'!$C:$C,6)</f>
        <v>-366594.91000000027</v>
      </c>
      <c r="Q82" s="244">
        <f>+P82+SUMIFS('7 2025 BMI Query'!$G:$G,'7 2025 BMI Query'!$E:$E,$B82,'7 2025 BMI Query'!$A:$A,$B53,'7 2025 BMI Query'!$C:$C,7)</f>
        <v>-126744.62000000026</v>
      </c>
      <c r="R82" s="244">
        <f>+Q82+SUMIFS('7 2025 BMI Query'!$G:$G,'7 2025 BMI Query'!$E:$E,$B82,'7 2025 BMI Query'!$A:$A,$B53,'7 2025 BMI Query'!$C:$C,8)</f>
        <v>-312410.03000000026</v>
      </c>
      <c r="S82" s="244"/>
      <c r="T82" s="244"/>
      <c r="U82" s="244"/>
      <c r="V82" s="244"/>
      <c r="W82" s="244"/>
      <c r="X82" s="244"/>
    </row>
    <row r="83" spans="1:25" x14ac:dyDescent="0.25">
      <c r="A83" s="50" t="s">
        <v>496</v>
      </c>
      <c r="B83" s="238" t="s">
        <v>497</v>
      </c>
      <c r="C83" s="244">
        <f>+SUMIFS('6 2024 BMI Query'!$G:$G,'6 2024 BMI Query'!$E:$E,$B83,'6 2024 BMI Query'!$A:$A,$B53,'6 2024 BMI Query'!$C:$C,0)+SUMIFS('6 2024 BMI Query'!$G:$G,'6 2024 BMI Query'!$E:$E,$B83,'6 2024 BMI Query'!$A:$A,$B53,'6 2024 BMI Query'!$C:$C,1)+SUMIFS('6 2024 BMI Query'!$G:$G,'6 2024 BMI Query'!$E:$E,$B83,'6 2024 BMI Query'!$A:$A,$B53,'6 2024 BMI Query'!$C:$C,2)+SUMIFS('6 2024 BMI Query'!$G:$G,'6 2024 BMI Query'!$E:$E,$B83,'6 2024 BMI Query'!$A:$A,$B53,'6 2024 BMI Query'!$C:$C,3)</f>
        <v>0</v>
      </c>
      <c r="D83" s="244">
        <f>+C83+SUMIFS('6 2024 BMI Query'!$G:$G,'6 2024 BMI Query'!$E:$E,$B83,'6 2024 BMI Query'!$A:$A,$B53,'6 2024 BMI Query'!$C:$C,4)+SUMIFS('6 2024 BMI Query'!$G:$G,'6 2024 BMI Query'!$E:$E,$B83,'6 2024 BMI Query'!$A:$A,$B53,'6 2024 BMI Query'!$C:$C,5)+SUMIFS('6 2024 BMI Query'!$G:$G,'6 2024 BMI Query'!$E:$E,$B83,'6 2024 BMI Query'!$A:$A,$B53,'6 2024 BMI Query'!$C:$C,6)</f>
        <v>0</v>
      </c>
      <c r="E83" s="244">
        <f>+D83+SUMIFS('6 2024 BMI Query'!$G:$G,'6 2024 BMI Query'!$E:$E,$B83,'6 2024 BMI Query'!$A:$A,$B53,'6 2024 BMI Query'!$C:$C,7)</f>
        <v>0</v>
      </c>
      <c r="F83" s="244">
        <f>+E83+SUMIFS('6 2024 BMI Query'!$G:$G,'6 2024 BMI Query'!$E:$E,$B83,'6 2024 BMI Query'!$A:$A,$B53,'6 2024 BMI Query'!$C:$C,8)</f>
        <v>0</v>
      </c>
      <c r="G83" s="244">
        <f>+F83+SUMIFS('6 2024 BMI Query'!$G:$G,'6 2024 BMI Query'!$E:$E,$B83,'6 2024 BMI Query'!$A:$A,$B53,'6 2024 BMI Query'!$C:$C,9)</f>
        <v>0</v>
      </c>
      <c r="H83" s="244">
        <f>+G83+SUMIFS('6 2024 BMI Query'!$G:$G,'6 2024 BMI Query'!$E:$E,$B83,'6 2024 BMI Query'!$C:$C,10)</f>
        <v>0</v>
      </c>
      <c r="I83" s="244">
        <f>+H83+SUMIFS('6 2024 BMI Query'!$G:$G,'6 2024 BMI Query'!$E:$E,$B83,'6 2024 BMI Query'!$C:$C,11)</f>
        <v>1387.8400000000001</v>
      </c>
      <c r="J83" s="244">
        <f>+I83+SUMIFS('6 2024 BMI Query'!$G:$G,'6 2024 BMI Query'!$E:$E,$B83,'6 2024 BMI Query'!$C:$C,12)</f>
        <v>-446170.68</v>
      </c>
      <c r="K83" s="244">
        <f>+SUMIFS('7 2025 BMI Query'!$G:$G,'7 2025 BMI Query'!$E:$E,$B83,'7 2025 BMI Query'!$A:$A,$B53,'7 2025 BMI Query'!$C:$C,0)+SUMIFS('7 2025 BMI Query'!$G:$G,'7 2025 BMI Query'!$E:$E,$B83,'7 2025 BMI Query'!$A:$A,$B53,'7 2025 BMI Query'!$C:$C,1)</f>
        <v>0</v>
      </c>
      <c r="L83" s="244">
        <f>+K83+SUMIFS('7 2025 BMI Query'!$G:$G,'7 2025 BMI Query'!$E:$E,$B83,'7 2025 BMI Query'!$A:$A,$B53,'7 2025 BMI Query'!$C:$C,2)</f>
        <v>0</v>
      </c>
      <c r="M83" s="244">
        <f>+L83+SUMIFS('7 2025 BMI Query'!$G:$G,'7 2025 BMI Query'!$E:$E,$B83,'7 2025 BMI Query'!$A:$A,$B53,'7 2025 BMI Query'!$C:$C,3)</f>
        <v>0</v>
      </c>
      <c r="N83" s="244">
        <f>+M83+SUMIFS('7 2025 BMI Query'!$G:$G,'7 2025 BMI Query'!$E:$E,$B83,'7 2025 BMI Query'!$A:$A,$B53,'7 2025 BMI Query'!$C:$C,4)</f>
        <v>0</v>
      </c>
      <c r="O83" s="244">
        <f>+N83+SUMIFS('7 2025 BMI Query'!$G:$G,'7 2025 BMI Query'!$E:$E,$B83,'7 2025 BMI Query'!$A:$A,$B53,'7 2025 BMI Query'!$C:$C,5)</f>
        <v>0</v>
      </c>
      <c r="P83" s="244">
        <f>+O83+SUMIFS('7 2025 BMI Query'!$G:$G,'7 2025 BMI Query'!$E:$E,$B83,'7 2025 BMI Query'!$A:$A,$B53,'7 2025 BMI Query'!$C:$C,6)</f>
        <v>0</v>
      </c>
      <c r="Q83" s="244">
        <f>+P83+SUMIFS('7 2025 BMI Query'!$G:$G,'7 2025 BMI Query'!$E:$E,$B83,'7 2025 BMI Query'!$A:$A,$B53,'7 2025 BMI Query'!$C:$C,7)</f>
        <v>0</v>
      </c>
      <c r="R83" s="244">
        <f>+Q83+SUMIFS('7 2025 BMI Query'!$G:$G,'7 2025 BMI Query'!$E:$E,$B83,'7 2025 BMI Query'!$A:$A,$B53,'7 2025 BMI Query'!$C:$C,8)</f>
        <v>0</v>
      </c>
      <c r="S83" s="244"/>
      <c r="T83" s="244"/>
      <c r="U83" s="244"/>
      <c r="V83" s="244"/>
      <c r="W83" s="244"/>
      <c r="X83" s="244"/>
    </row>
    <row r="84" spans="1:25" x14ac:dyDescent="0.25">
      <c r="A84" s="50" t="s">
        <v>123</v>
      </c>
      <c r="B84" s="238">
        <v>928351021</v>
      </c>
      <c r="C84" s="244">
        <f>+SUMIFS('6 2024 BMI Query'!$G:$G,'6 2024 BMI Query'!$E:$E,$B84,'6 2024 BMI Query'!$A:$A,$B53,'6 2024 BMI Query'!$C:$C,0)+SUMIFS('6 2024 BMI Query'!$G:$G,'6 2024 BMI Query'!$E:$E,$B84,'6 2024 BMI Query'!$A:$A,$B53,'6 2024 BMI Query'!$C:$C,1)+SUMIFS('6 2024 BMI Query'!$G:$G,'6 2024 BMI Query'!$E:$E,$B84,'6 2024 BMI Query'!$A:$A,$B53,'6 2024 BMI Query'!$C:$C,2)+SUMIFS('6 2024 BMI Query'!$G:$G,'6 2024 BMI Query'!$E:$E,$B84,'6 2024 BMI Query'!$A:$A,$B53,'6 2024 BMI Query'!$C:$C,3)</f>
        <v>-18820244.130000003</v>
      </c>
      <c r="D84" s="244">
        <f>+C84+SUMIFS('6 2024 BMI Query'!$G:$G,'6 2024 BMI Query'!$E:$E,$B84,'6 2024 BMI Query'!$A:$A,$B53,'6 2024 BMI Query'!$C:$C,4)+SUMIFS('6 2024 BMI Query'!$G:$G,'6 2024 BMI Query'!$E:$E,$B84,'6 2024 BMI Query'!$A:$A,$B53,'6 2024 BMI Query'!$C:$C,5)+SUMIFS('6 2024 BMI Query'!$G:$G,'6 2024 BMI Query'!$E:$E,$B84,'6 2024 BMI Query'!$A:$A,$B53,'6 2024 BMI Query'!$C:$C,6)</f>
        <v>-18727123.200000007</v>
      </c>
      <c r="E84" s="244">
        <f>+D84+SUMIFS('6 2024 BMI Query'!$G:$G,'6 2024 BMI Query'!$E:$E,$B84,'6 2024 BMI Query'!$A:$A,$B53,'6 2024 BMI Query'!$C:$C,7)</f>
        <v>-18696082.890000008</v>
      </c>
      <c r="F84" s="244">
        <f>+E84+SUMIFS('6 2024 BMI Query'!$G:$G,'6 2024 BMI Query'!$E:$E,$B84,'6 2024 BMI Query'!$A:$A,$B53,'6 2024 BMI Query'!$C:$C,8)</f>
        <v>-18665042.580000009</v>
      </c>
      <c r="G84" s="244">
        <f>+F84+SUMIFS('6 2024 BMI Query'!$G:$G,'6 2024 BMI Query'!$E:$E,$B84,'6 2024 BMI Query'!$A:$A,$B53,'6 2024 BMI Query'!$C:$C,9)</f>
        <v>-18634002.270000011</v>
      </c>
      <c r="H84" s="244">
        <f>+G84+SUMIFS('6 2024 BMI Query'!$G:$G,'6 2024 BMI Query'!$E:$E,$B84,'6 2024 BMI Query'!$C:$C,10)</f>
        <v>-17550731.24000001</v>
      </c>
      <c r="I84" s="244">
        <f>+H84+SUMIFS('6 2024 BMI Query'!$G:$G,'6 2024 BMI Query'!$E:$E,$B84,'6 2024 BMI Query'!$C:$C,11)</f>
        <v>-18051640.670000009</v>
      </c>
      <c r="J84" s="244">
        <f>+I84+SUMIFS('6 2024 BMI Query'!$G:$G,'6 2024 BMI Query'!$E:$E,$B84,'6 2024 BMI Query'!$C:$C,12)</f>
        <v>-17934740.390000008</v>
      </c>
      <c r="K84" s="244">
        <f>+SUMIFS('7 2025 BMI Query'!$G:$G,'7 2025 BMI Query'!$E:$E,$B84,'7 2025 BMI Query'!$A:$A,$B53,'7 2025 BMI Query'!$C:$C,0)+SUMIFS('7 2025 BMI Query'!$G:$G,'7 2025 BMI Query'!$E:$E,$B84,'7 2025 BMI Query'!$A:$A,$B53,'7 2025 BMI Query'!$C:$C,1)</f>
        <v>-18038380.949999999</v>
      </c>
      <c r="L84" s="244">
        <f>+K84+SUMIFS('7 2025 BMI Query'!$G:$G,'7 2025 BMI Query'!$E:$E,$B84,'7 2025 BMI Query'!$A:$A,$B53,'7 2025 BMI Query'!$C:$C,2)</f>
        <v>-18007352.82</v>
      </c>
      <c r="M84" s="244">
        <f>+L84+SUMIFS('7 2025 BMI Query'!$G:$G,'7 2025 BMI Query'!$E:$E,$B84,'7 2025 BMI Query'!$A:$A,$B53,'7 2025 BMI Query'!$C:$C,3)</f>
        <v>-17976324.690000001</v>
      </c>
      <c r="N84" s="244">
        <f>+M84+SUMIFS('7 2025 BMI Query'!$G:$G,'7 2025 BMI Query'!$E:$E,$B84,'7 2025 BMI Query'!$A:$A,$B53,'7 2025 BMI Query'!$C:$C,4)</f>
        <v>-17945296.350000001</v>
      </c>
      <c r="O84" s="244">
        <f>+N84+SUMIFS('7 2025 BMI Query'!$G:$G,'7 2025 BMI Query'!$E:$E,$B84,'7 2025 BMI Query'!$A:$A,$B53,'7 2025 BMI Query'!$C:$C,5)</f>
        <v>-17914268.220000003</v>
      </c>
      <c r="P84" s="244">
        <f>+O84+SUMIFS('7 2025 BMI Query'!$G:$G,'7 2025 BMI Query'!$E:$E,$B84,'7 2025 BMI Query'!$A:$A,$B53,'7 2025 BMI Query'!$C:$C,6)</f>
        <v>-17883240.090000004</v>
      </c>
      <c r="Q84" s="244">
        <f>+P84+SUMIFS('7 2025 BMI Query'!$G:$G,'7 2025 BMI Query'!$E:$E,$B84,'7 2025 BMI Query'!$A:$A,$B53,'7 2025 BMI Query'!$C:$C,7)</f>
        <v>-17852211.960000005</v>
      </c>
      <c r="R84" s="244">
        <f>+Q84+SUMIFS('7 2025 BMI Query'!$G:$G,'7 2025 BMI Query'!$E:$E,$B84,'7 2025 BMI Query'!$A:$A,$B53,'7 2025 BMI Query'!$C:$C,8)</f>
        <v>-17821183.830000006</v>
      </c>
      <c r="S84" s="244"/>
      <c r="T84" s="244"/>
      <c r="U84" s="244"/>
      <c r="V84" s="244"/>
      <c r="W84" s="244"/>
      <c r="X84" s="244"/>
    </row>
    <row r="85" spans="1:25" x14ac:dyDescent="0.25">
      <c r="A85" s="50" t="s">
        <v>126</v>
      </c>
      <c r="B85" s="238">
        <v>28311</v>
      </c>
      <c r="C85" s="244">
        <f>+C88-SUM(C78:C84)</f>
        <v>-51929.19999999553</v>
      </c>
      <c r="D85" s="244">
        <f t="shared" ref="D85:R85" si="57">+D88-SUM(D78:D84)</f>
        <v>-51886.289999991655</v>
      </c>
      <c r="E85" s="244">
        <f t="shared" si="57"/>
        <v>-51871.98999999091</v>
      </c>
      <c r="F85" s="244">
        <f t="shared" si="57"/>
        <v>-51857.679999988526</v>
      </c>
      <c r="G85" s="244">
        <f t="shared" si="57"/>
        <v>-51843.379999987781</v>
      </c>
      <c r="H85" s="244">
        <f t="shared" si="57"/>
        <v>-20045543.189999986</v>
      </c>
      <c r="I85" s="244">
        <f t="shared" si="57"/>
        <v>-23738711.269999985</v>
      </c>
      <c r="J85" s="244">
        <f t="shared" si="57"/>
        <v>-26694352.789999984</v>
      </c>
      <c r="K85" s="244">
        <f t="shared" si="57"/>
        <v>-48901.189999997616</v>
      </c>
      <c r="L85" s="244">
        <f t="shared" si="57"/>
        <v>-48886.879999995232</v>
      </c>
      <c r="M85" s="244">
        <f t="shared" si="57"/>
        <v>-48872.579999990761</v>
      </c>
      <c r="N85" s="244">
        <f t="shared" si="57"/>
        <v>-48858.279999993742</v>
      </c>
      <c r="O85" s="244">
        <f t="shared" si="57"/>
        <v>-48843.979999992996</v>
      </c>
      <c r="P85" s="244">
        <f t="shared" si="57"/>
        <v>-48829.669999990612</v>
      </c>
      <c r="Q85" s="244">
        <f t="shared" si="57"/>
        <v>-48815.369999986142</v>
      </c>
      <c r="R85" s="244">
        <f t="shared" si="57"/>
        <v>-48801.069999989122</v>
      </c>
      <c r="S85" s="244"/>
      <c r="T85" s="244"/>
      <c r="U85" s="244"/>
      <c r="V85" s="244"/>
      <c r="W85" s="244"/>
      <c r="X85" s="244"/>
    </row>
    <row r="86" spans="1:25" x14ac:dyDescent="0.25">
      <c r="A86" s="245" t="s">
        <v>491</v>
      </c>
      <c r="C86" s="244"/>
      <c r="D86" s="244"/>
      <c r="E86" s="244"/>
      <c r="F86" s="244"/>
      <c r="G86" s="244"/>
      <c r="H86" s="244"/>
      <c r="I86" s="244"/>
      <c r="J86" s="244"/>
      <c r="K86" s="244"/>
      <c r="L86" s="244"/>
      <c r="M86" s="244"/>
      <c r="N86" s="244"/>
      <c r="O86" s="244"/>
      <c r="P86" s="244"/>
      <c r="Q86" s="244"/>
      <c r="R86" s="244"/>
      <c r="S86" s="244"/>
      <c r="T86" s="244"/>
      <c r="U86" s="244"/>
      <c r="V86" s="244"/>
      <c r="W86" s="244"/>
      <c r="X86" s="244"/>
    </row>
    <row r="87" spans="1:25" x14ac:dyDescent="0.25">
      <c r="A87" s="50" t="s">
        <v>501</v>
      </c>
      <c r="C87" s="247">
        <f t="shared" ref="C87:X87" si="58">SUM(C78:C86)</f>
        <v>-24337254.959999997</v>
      </c>
      <c r="D87" s="247">
        <f t="shared" si="58"/>
        <v>-24368425.679999996</v>
      </c>
      <c r="E87" s="247">
        <f t="shared" si="58"/>
        <v>-24305519.849999998</v>
      </c>
      <c r="F87" s="247">
        <f t="shared" si="58"/>
        <v>-24242614.339999996</v>
      </c>
      <c r="G87" s="247">
        <f t="shared" si="58"/>
        <v>-23989713.929999996</v>
      </c>
      <c r="H87" s="247">
        <f t="shared" si="58"/>
        <v>-22960440.649999995</v>
      </c>
      <c r="I87" s="247">
        <f t="shared" si="58"/>
        <v>-23392432.639999993</v>
      </c>
      <c r="J87" s="247">
        <f t="shared" si="58"/>
        <v>-22721231.889999993</v>
      </c>
      <c r="K87" s="247">
        <f t="shared" si="58"/>
        <v>-22658340.229999997</v>
      </c>
      <c r="L87" s="247">
        <f t="shared" si="58"/>
        <v>-22383305.219999995</v>
      </c>
      <c r="M87" s="247">
        <f t="shared" si="58"/>
        <v>-22116254.619999994</v>
      </c>
      <c r="N87" s="247">
        <f t="shared" si="58"/>
        <v>-21944846.959999993</v>
      </c>
      <c r="O87" s="247">
        <f t="shared" si="58"/>
        <v>-20598201.199999996</v>
      </c>
      <c r="P87" s="247">
        <f t="shared" si="58"/>
        <v>-20056301.669999994</v>
      </c>
      <c r="Q87" s="247">
        <f t="shared" si="58"/>
        <v>-19753451.999999993</v>
      </c>
      <c r="R87" s="247">
        <f t="shared" si="58"/>
        <v>-19876118.029999994</v>
      </c>
      <c r="S87" s="247">
        <f t="shared" si="58"/>
        <v>0</v>
      </c>
      <c r="T87" s="247">
        <f t="shared" si="58"/>
        <v>0</v>
      </c>
      <c r="U87" s="247">
        <f t="shared" si="58"/>
        <v>0</v>
      </c>
      <c r="V87" s="247">
        <f t="shared" si="58"/>
        <v>0</v>
      </c>
      <c r="W87" s="247">
        <f t="shared" si="58"/>
        <v>0</v>
      </c>
      <c r="X87" s="247">
        <f t="shared" si="58"/>
        <v>0</v>
      </c>
    </row>
    <row r="88" spans="1:25" x14ac:dyDescent="0.25">
      <c r="A88" s="245" t="s">
        <v>502</v>
      </c>
      <c r="B88" s="238">
        <v>28311</v>
      </c>
      <c r="C88" s="248">
        <f>SUMIFS('6 2024 BMI Query'!$G:$G,'6 2024 BMI Query'!$D:$D,$B88,'6 2024 BMI Query'!$A:$A,$B53,'6 2024 BMI Query'!$C:$C,0)+SUMIFS('6 2024 BMI Query'!$G:$G,'6 2024 BMI Query'!$D:$D,$B88,'6 2024 BMI Query'!$A:$A,$B53,'6 2024 BMI Query'!$C:$C,1)+SUMIFS('6 2024 BMI Query'!$G:$G,'6 2024 BMI Query'!$D:$D,$B88,'6 2024 BMI Query'!$A:$A,$B53,'6 2024 BMI Query'!$C:$C,2)+SUMIFS('6 2024 BMI Query'!$G:$G,'6 2024 BMI Query'!$D:$D,$B88,'6 2024 BMI Query'!$A:$A,$B53,'6 2024 BMI Query'!$C:$C,3)</f>
        <v>-24337254.959999997</v>
      </c>
      <c r="D88" s="248">
        <f>+C88+SUMIFS('6 2024 BMI Query'!$G:$G,'6 2024 BMI Query'!$D:$D,$B88,'6 2024 BMI Query'!$A:$A,$B53,'6 2024 BMI Query'!$C:$C,4)+SUMIFS('6 2024 BMI Query'!$G:$G,'6 2024 BMI Query'!$D:$D,$B88,'6 2024 BMI Query'!$A:$A,$B53,'6 2024 BMI Query'!$C:$C,5)+SUMIFS('6 2024 BMI Query'!$G:$G,'6 2024 BMI Query'!$D:$D,$B88,'6 2024 BMI Query'!$A:$A,$B53,'6 2024 BMI Query'!$C:$C,6)</f>
        <v>-24368425.679999996</v>
      </c>
      <c r="E88" s="248">
        <f>+D88+SUMIFS('6 2024 BMI Query'!$G:$G,'6 2024 BMI Query'!$D:$D,$B88,'6 2024 BMI Query'!$A:$A,$B53,'6 2024 BMI Query'!$C:$C,7)</f>
        <v>-24305519.849999998</v>
      </c>
      <c r="F88" s="248">
        <f>+E88+SUMIFS('6 2024 BMI Query'!$G:$G,'6 2024 BMI Query'!$D:$D,$B88,'6 2024 BMI Query'!$A:$A,$B53,'6 2024 BMI Query'!$C:$C,8)</f>
        <v>-24242614.339999996</v>
      </c>
      <c r="G88" s="248">
        <f>+F88+SUMIFS('6 2024 BMI Query'!$G:$G,'6 2024 BMI Query'!$D:$D,$B88,'6 2024 BMI Query'!$A:$A,$B53,'6 2024 BMI Query'!$C:$C,9)</f>
        <v>-23989713.929999996</v>
      </c>
      <c r="H88" s="248">
        <f>+G88+SUMIFS('6 2024 BMI Query'!$G:$G,'6 2024 BMI Query'!$D:$D,$B88,'6 2024 BMI Query'!$A:$A,$B53,'6 2024 BMI Query'!$C:$C,10)</f>
        <v>-22960440.649999995</v>
      </c>
      <c r="I88" s="248">
        <f>+H88+SUMIFS('6 2024 BMI Query'!$G:$G,'6 2024 BMI Query'!$D:$D,$B88,'6 2024 BMI Query'!$A:$A,$B53,'6 2024 BMI Query'!$C:$C,11)</f>
        <v>-23392432.639999993</v>
      </c>
      <c r="J88" s="248">
        <f>+I88+SUMIFS('6 2024 BMI Query'!$G:$G,'6 2024 BMI Query'!$D:$D,$B88,'6 2024 BMI Query'!$A:$A,$B53,'6 2024 BMI Query'!$C:$C,12)</f>
        <v>-22721231.889999993</v>
      </c>
      <c r="K88" s="248">
        <f>SUMIFS('7 2025 BMI Query'!$G:$G,'7 2025 BMI Query'!$D:$D,$B88,'7 2025 BMI Query'!$A:$A,$B53,'7 2025 BMI Query'!$C:$C,0)+SUMIFS('7 2025 BMI Query'!$G:$G,'7 2025 BMI Query'!$D:$D,$B88,'7 2025 BMI Query'!$A:$A,$B53,'7 2025 BMI Query'!$C:$C,1)</f>
        <v>-22658340.229999997</v>
      </c>
      <c r="L88" s="248">
        <f>+K88+SUMIFS('7 2025 BMI Query'!$G:$G,'7 2025 BMI Query'!$D:$D,$B88,'7 2025 BMI Query'!$A:$A,$B53,'7 2025 BMI Query'!$C:$C,2)</f>
        <v>-22383305.219999995</v>
      </c>
      <c r="M88" s="248">
        <f>+L88+SUMIFS('7 2025 BMI Query'!$G:$G,'7 2025 BMI Query'!$D:$D,$B88,'7 2025 BMI Query'!$A:$A,$B53,'7 2025 BMI Query'!$C:$C,3)</f>
        <v>-22116254.619999994</v>
      </c>
      <c r="N88" s="248">
        <f>+M88+SUMIFS('7 2025 BMI Query'!$G:$G,'7 2025 BMI Query'!$D:$D,$B88,'7 2025 BMI Query'!$A:$A,$B53,'7 2025 BMI Query'!$C:$C,4)</f>
        <v>-21944846.959999993</v>
      </c>
      <c r="O88" s="248">
        <f>+N88+SUMIFS('7 2025 BMI Query'!$G:$G,'7 2025 BMI Query'!$D:$D,$B88,'7 2025 BMI Query'!$A:$A,$B53,'7 2025 BMI Query'!$C:$C,5)</f>
        <v>-20598201.199999996</v>
      </c>
      <c r="P88" s="248">
        <f>+O88+SUMIFS('7 2025 BMI Query'!$G:$G,'7 2025 BMI Query'!$D:$D,$B88,'7 2025 BMI Query'!$A:$A,$B53,'7 2025 BMI Query'!$C:$C,6)</f>
        <v>-20056301.669999994</v>
      </c>
      <c r="Q88" s="248">
        <f>+P88+SUMIFS('7 2025 BMI Query'!$G:$G,'7 2025 BMI Query'!$D:$D,$B88,'7 2025 BMI Query'!$A:$A,$B53,'7 2025 BMI Query'!$C:$C,7)</f>
        <v>-19753451.999999993</v>
      </c>
      <c r="R88" s="248">
        <f>+Q88+SUMIFS('7 2025 BMI Query'!$G:$G,'7 2025 BMI Query'!$D:$D,$B88,'7 2025 BMI Query'!$A:$A,$B53,'7 2025 BMI Query'!$C:$C,8)+R86</f>
        <v>-19876118.029999994</v>
      </c>
      <c r="S88" s="248"/>
      <c r="T88" s="248"/>
      <c r="U88" s="248"/>
      <c r="V88" s="248"/>
      <c r="W88" s="248"/>
      <c r="X88" s="248"/>
    </row>
    <row r="89" spans="1:25" x14ac:dyDescent="0.25">
      <c r="A89" s="50"/>
      <c r="C89" s="250"/>
      <c r="D89" s="250"/>
      <c r="E89" s="250"/>
      <c r="F89" s="250"/>
      <c r="G89" s="250"/>
      <c r="H89" s="250"/>
      <c r="I89" s="250"/>
      <c r="J89" s="250"/>
      <c r="K89" s="250"/>
      <c r="L89" s="250"/>
      <c r="M89" s="250"/>
      <c r="N89" s="250"/>
      <c r="O89" s="250"/>
      <c r="P89" s="250"/>
      <c r="Q89" s="250"/>
      <c r="R89" s="250"/>
      <c r="S89" s="250"/>
      <c r="T89" s="250"/>
      <c r="U89" s="250"/>
      <c r="V89" s="250"/>
      <c r="W89" s="250"/>
      <c r="X89" s="250"/>
    </row>
    <row r="90" spans="1:25" s="49" customFormat="1" ht="16.5" thickBot="1" x14ac:dyDescent="0.3">
      <c r="A90" s="251" t="s">
        <v>505</v>
      </c>
      <c r="B90" s="241"/>
      <c r="C90" s="252">
        <f>+C67+C75+C87</f>
        <v>-18713669.24000001</v>
      </c>
      <c r="D90" s="252">
        <f>+D67+D75+D87</f>
        <v>-19939368.04000001</v>
      </c>
      <c r="E90" s="252">
        <f t="shared" ref="E90:R90" si="59">+E67+E75+E87</f>
        <v>-23781382.900000006</v>
      </c>
      <c r="F90" s="252">
        <f t="shared" si="59"/>
        <v>-25069940.660000008</v>
      </c>
      <c r="G90" s="252">
        <f t="shared" si="59"/>
        <v>-23468638.180000003</v>
      </c>
      <c r="H90" s="252">
        <f t="shared" si="59"/>
        <v>-33606648.519999996</v>
      </c>
      <c r="I90" s="252">
        <f t="shared" si="59"/>
        <v>-35751915.390000001</v>
      </c>
      <c r="J90" s="252">
        <f t="shared" si="59"/>
        <v>-32563102.900000006</v>
      </c>
      <c r="K90" s="252">
        <f t="shared" si="59"/>
        <v>-32945377.309999999</v>
      </c>
      <c r="L90" s="252">
        <f t="shared" si="59"/>
        <v>-33420877.420000002</v>
      </c>
      <c r="M90" s="252">
        <f t="shared" si="59"/>
        <v>-35938034.469999999</v>
      </c>
      <c r="N90" s="252">
        <f t="shared" si="59"/>
        <v>-36782036.32</v>
      </c>
      <c r="O90" s="252">
        <f t="shared" si="59"/>
        <v>-36785886.770000011</v>
      </c>
      <c r="P90" s="252">
        <f t="shared" si="59"/>
        <v>-35555325.789999999</v>
      </c>
      <c r="Q90" s="252">
        <f t="shared" si="59"/>
        <v>-36332722.730000004</v>
      </c>
      <c r="R90" s="252">
        <f t="shared" si="59"/>
        <v>-37286704.229999997</v>
      </c>
      <c r="S90" s="252">
        <f t="shared" ref="S90:X90" si="60">+S67+S75+S87</f>
        <v>0</v>
      </c>
      <c r="T90" s="252">
        <f t="shared" si="60"/>
        <v>0</v>
      </c>
      <c r="U90" s="252">
        <f t="shared" si="60"/>
        <v>0</v>
      </c>
      <c r="V90" s="252">
        <f t="shared" si="60"/>
        <v>0</v>
      </c>
      <c r="W90" s="252">
        <f t="shared" si="60"/>
        <v>0</v>
      </c>
      <c r="X90" s="252">
        <f t="shared" si="60"/>
        <v>0</v>
      </c>
    </row>
    <row r="91" spans="1:25" ht="16.5" thickTop="1" x14ac:dyDescent="0.25">
      <c r="A91" s="50"/>
    </row>
    <row r="92" spans="1:25" x14ac:dyDescent="0.25">
      <c r="A92" s="242" t="s">
        <v>19</v>
      </c>
      <c r="B92" s="243">
        <v>75400</v>
      </c>
      <c r="C92" s="240"/>
      <c r="D92" s="240"/>
      <c r="E92" s="240"/>
      <c r="F92" s="240"/>
      <c r="G92" s="240"/>
      <c r="H92" s="240"/>
      <c r="I92" s="240"/>
      <c r="J92" s="240"/>
      <c r="K92" s="240"/>
      <c r="L92" s="240"/>
      <c r="M92" s="240"/>
      <c r="N92" s="240"/>
      <c r="O92" s="240"/>
      <c r="P92" s="240"/>
      <c r="Q92" s="240"/>
      <c r="R92" s="240"/>
      <c r="S92" s="240"/>
      <c r="T92" s="240"/>
      <c r="U92" s="240"/>
      <c r="V92" s="240"/>
      <c r="W92" s="240"/>
      <c r="X92" s="240"/>
    </row>
    <row r="93" spans="1:25" x14ac:dyDescent="0.25">
      <c r="A93" s="50" t="s">
        <v>94</v>
      </c>
      <c r="B93" s="238">
        <v>919001471</v>
      </c>
      <c r="C93" s="244">
        <f>+SUMIFS('6 2024 BMI Query'!$G:$G,'6 2024 BMI Query'!$E:$E,$B93,'6 2024 BMI Query'!$C:$C,0)+SUMIFS('6 2024 BMI Query'!$G:$G,'6 2024 BMI Query'!$E:$E,$B93,'6 2024 BMI Query'!$C:$C,1)+SUMIFS('6 2024 BMI Query'!$G:$G,'6 2024 BMI Query'!$E:$E,$B93,'6 2024 BMI Query'!$C:$C,2)+SUMIFS('6 2024 BMI Query'!$G:$G,'6 2024 BMI Query'!$E:$E,$B93,'6 2024 BMI Query'!$C:$C,3)</f>
        <v>22283704.32</v>
      </c>
      <c r="D93" s="244">
        <f>+C93+SUMIFS('6 2024 BMI Query'!$G:$G,'6 2024 BMI Query'!$E:$E,$B93,'6 2024 BMI Query'!$C:$C,4)+SUMIFS('6 2024 BMI Query'!$G:$G,'6 2024 BMI Query'!$E:$E,$B93,'6 2024 BMI Query'!$C:$C,5)+SUMIFS('6 2024 BMI Query'!$G:$G,'6 2024 BMI Query'!$E:$E,$B93,'6 2024 BMI Query'!$C:$C,6)</f>
        <v>22276972.32</v>
      </c>
      <c r="E93" s="244">
        <f>+D93+SUMIFS('6 2024 BMI Query'!$G:$G,'6 2024 BMI Query'!$E:$E,$B93,'6 2024 BMI Query'!$C:$C,7)</f>
        <v>22274728.32</v>
      </c>
      <c r="F93" s="244">
        <f>+E93+SUMIFS('6 2024 BMI Query'!$G:$G,'6 2024 BMI Query'!$E:$E,$B93,'6 2024 BMI Query'!$C:$C,8)</f>
        <v>22272484.32</v>
      </c>
      <c r="G93" s="244">
        <f>+F93+SUMIFS('6 2024 BMI Query'!$G:$G,'6 2024 BMI Query'!$E:$E,$B93,'6 2024 BMI Query'!$C:$C,9)</f>
        <v>22270240.32</v>
      </c>
      <c r="H93" s="244">
        <f>+G93+SUMIFS('6 2024 BMI Query'!$G:$G,'6 2024 BMI Query'!$E:$E,$B93,'6 2024 BMI Query'!$C:$C,10)</f>
        <v>22267996.32</v>
      </c>
      <c r="I93" s="244">
        <f>+H93+SUMIFS('6 2024 BMI Query'!$G:$G,'6 2024 BMI Query'!$E:$E,$B93,'6 2024 BMI Query'!$C:$C,11)</f>
        <v>22265752.32</v>
      </c>
      <c r="J93" s="244">
        <f>+I93+SUMIFS('6 2024 BMI Query'!$G:$G,'6 2024 BMI Query'!$E:$E,$B93,'6 2024 BMI Query'!$C:$C,12)</f>
        <v>22263508.32</v>
      </c>
      <c r="K93" s="244">
        <f>+SUMIFS('7 2025 BMI Query'!$G:$G,'7 2025 BMI Query'!$E:$E,$B93,'7 2025 BMI Query'!$C:$C,0)+SUMIFS('7 2025 BMI Query'!$G:$G,'7 2025 BMI Query'!$E:$E,$B93,'7 2025 BMI Query'!$C:$C,1)</f>
        <v>22261264.32</v>
      </c>
      <c r="L93" s="244">
        <f>+K93+SUMIFS('7 2025 BMI Query'!$G:$G,'7 2025 BMI Query'!$E:$E,$B93,'7 2025 BMI Query'!$C:$C,2)</f>
        <v>22259020.32</v>
      </c>
      <c r="M93" s="244">
        <f>+L93+SUMIFS('7 2025 BMI Query'!$G:$G,'7 2025 BMI Query'!$E:$E,$B93,'7 2025 BMI Query'!$C:$C,3)</f>
        <v>22256776.32</v>
      </c>
      <c r="N93" s="244">
        <f>+M93+SUMIFS('7 2025 BMI Query'!$G:$G,'7 2025 BMI Query'!$E:$E,$B93,'7 2025 BMI Query'!$C:$C,4)</f>
        <v>22254532.32</v>
      </c>
      <c r="O93" s="244">
        <f>+N93+SUMIFS('7 2025 BMI Query'!$G:$G,'7 2025 BMI Query'!$E:$E,$B93,'7 2025 BMI Query'!$C:$C,5)</f>
        <v>22252288.32</v>
      </c>
      <c r="P93" s="244">
        <f>+O93+SUMIFS('7 2025 BMI Query'!$G:$G,'7 2025 BMI Query'!$E:$E,$B93,'7 2025 BMI Query'!$C:$C,6)</f>
        <v>20500068.32</v>
      </c>
      <c r="Q93" s="244">
        <f>+P93+SUMIFS('7 2025 BMI Query'!$G:$G,'7 2025 BMI Query'!$E:$E,$B93,'7 2025 BMI Query'!$C:$C,7)</f>
        <v>20440747.32</v>
      </c>
      <c r="R93" s="244">
        <f>+Q93+SUMIFS('7 2025 BMI Query'!$G:$G,'7 2025 BMI Query'!$E:$E,$B93,'7 2025 BMI Query'!$C:$C,8)</f>
        <v>20381426.32</v>
      </c>
      <c r="S93" s="244"/>
      <c r="T93" s="244"/>
      <c r="U93" s="244"/>
      <c r="V93" s="244"/>
      <c r="W93" s="244"/>
      <c r="X93" s="244"/>
      <c r="Y93" s="43" t="s">
        <v>506</v>
      </c>
    </row>
    <row r="94" spans="1:25" x14ac:dyDescent="0.25">
      <c r="A94" s="50" t="s">
        <v>104</v>
      </c>
      <c r="B94" s="238">
        <v>919025401</v>
      </c>
      <c r="C94" s="244">
        <f>+SUMIFS('6 2024 BMI Query'!$G:$G,'6 2024 BMI Query'!$E:$E,$B94,'6 2024 BMI Query'!$C:$C,0)+SUMIFS('6 2024 BMI Query'!$G:$G,'6 2024 BMI Query'!$E:$E,$B94,'6 2024 BMI Query'!$C:$C,1)+SUMIFS('6 2024 BMI Query'!$G:$G,'6 2024 BMI Query'!$E:$E,$B94,'6 2024 BMI Query'!$C:$C,2)+SUMIFS('6 2024 BMI Query'!$G:$G,'6 2024 BMI Query'!$E:$E,$B94,'6 2024 BMI Query'!$C:$C,3)</f>
        <v>1516445.07</v>
      </c>
      <c r="D94" s="244">
        <f>+C94+SUMIFS('6 2024 BMI Query'!$G:$G,'6 2024 BMI Query'!$E:$E,$B94,'6 2024 BMI Query'!$C:$C,4)+SUMIFS('6 2024 BMI Query'!$G:$G,'6 2024 BMI Query'!$E:$E,$B94,'6 2024 BMI Query'!$C:$C,5)+SUMIFS('6 2024 BMI Query'!$G:$G,'6 2024 BMI Query'!$E:$E,$B94,'6 2024 BMI Query'!$C:$C,6)</f>
        <v>1977800.21</v>
      </c>
      <c r="E94" s="244">
        <f>+D94+SUMIFS('6 2024 BMI Query'!$G:$G,'6 2024 BMI Query'!$E:$E,$B94,'6 2024 BMI Query'!$C:$C,7)</f>
        <v>1977800.21</v>
      </c>
      <c r="F94" s="244">
        <f>+E94+SUMIFS('6 2024 BMI Query'!$G:$G,'6 2024 BMI Query'!$E:$E,$B94,'6 2024 BMI Query'!$C:$C,8)</f>
        <v>1947362.5899999999</v>
      </c>
      <c r="G94" s="244">
        <f>+F94+SUMIFS('6 2024 BMI Query'!$G:$G,'6 2024 BMI Query'!$E:$E,$B94,'6 2024 BMI Query'!$C:$C,9)</f>
        <v>1957044.8499999999</v>
      </c>
      <c r="H94" s="244">
        <f>+G94+SUMIFS('6 2024 BMI Query'!$G:$G,'6 2024 BMI Query'!$E:$E,$B94,'6 2024 BMI Query'!$C:$C,10)</f>
        <v>1954738.7</v>
      </c>
      <c r="I94" s="244">
        <f>+H94+SUMIFS('6 2024 BMI Query'!$G:$G,'6 2024 BMI Query'!$E:$E,$B94,'6 2024 BMI Query'!$C:$C,11)</f>
        <v>1952432.55</v>
      </c>
      <c r="J94" s="244">
        <f>+I94+SUMIFS('6 2024 BMI Query'!$G:$G,'6 2024 BMI Query'!$E:$E,$B94,'6 2024 BMI Query'!$C:$C,12)</f>
        <v>2099321.6</v>
      </c>
      <c r="K94" s="244">
        <f>+SUMIFS('7 2025 BMI Query'!$G:$G,'7 2025 BMI Query'!$E:$E,$B94,'7 2025 BMI Query'!$C:$C,0)+SUMIFS('7 2025 BMI Query'!$G:$G,'7 2025 BMI Query'!$E:$E,$B94,'7 2025 BMI Query'!$C:$C,1)</f>
        <v>2094345.04</v>
      </c>
      <c r="L94" s="244">
        <f>+K94+SUMIFS('7 2025 BMI Query'!$G:$G,'7 2025 BMI Query'!$E:$E,$B94,'7 2025 BMI Query'!$C:$C,2)</f>
        <v>2110526.88</v>
      </c>
      <c r="M94" s="244">
        <f>+L94+SUMIFS('7 2025 BMI Query'!$G:$G,'7 2025 BMI Query'!$E:$E,$B94,'7 2025 BMI Query'!$C:$C,3)</f>
        <v>2106062.8199999998</v>
      </c>
      <c r="N94" s="244">
        <f>+M94+SUMIFS('7 2025 BMI Query'!$G:$G,'7 2025 BMI Query'!$E:$E,$B94,'7 2025 BMI Query'!$C:$C,4)</f>
        <v>2112854.88</v>
      </c>
      <c r="O94" s="244">
        <f>+N94+SUMIFS('7 2025 BMI Query'!$G:$G,'7 2025 BMI Query'!$E:$E,$B94,'7 2025 BMI Query'!$C:$C,5)</f>
        <v>2119229.5699999998</v>
      </c>
      <c r="P94" s="244">
        <f>+O94+SUMIFS('7 2025 BMI Query'!$G:$G,'7 2025 BMI Query'!$E:$E,$B94,'7 2025 BMI Query'!$C:$C,6)</f>
        <v>2122278.6599999997</v>
      </c>
      <c r="Q94" s="244">
        <f>+P94+SUMIFS('7 2025 BMI Query'!$G:$G,'7 2025 BMI Query'!$E:$E,$B94,'7 2025 BMI Query'!$C:$C,7)</f>
        <v>2149759.8499999996</v>
      </c>
      <c r="R94" s="244">
        <f>+Q94+SUMIFS('7 2025 BMI Query'!$G:$G,'7 2025 BMI Query'!$E:$E,$B94,'7 2025 BMI Query'!$C:$C,8)</f>
        <v>2172162.0399999996</v>
      </c>
      <c r="S94" s="244"/>
      <c r="T94" s="244"/>
      <c r="U94" s="244"/>
      <c r="V94" s="244"/>
      <c r="W94" s="244"/>
      <c r="X94" s="244"/>
    </row>
    <row r="95" spans="1:25" x14ac:dyDescent="0.25">
      <c r="A95" s="50" t="s">
        <v>475</v>
      </c>
      <c r="B95" s="238">
        <v>919001401</v>
      </c>
      <c r="C95" s="244">
        <f>+SUMIFS('6 2024 BMI Query'!$G:$G,'6 2024 BMI Query'!$E:$E,$B95,'6 2024 BMI Query'!$C:$C,0)+SUMIFS('6 2024 BMI Query'!$G:$G,'6 2024 BMI Query'!$E:$E,$B95,'6 2024 BMI Query'!$C:$C,1)+SUMIFS('6 2024 BMI Query'!$G:$G,'6 2024 BMI Query'!$E:$E,$B95,'6 2024 BMI Query'!$C:$C,2)+SUMIFS('6 2024 BMI Query'!$G:$G,'6 2024 BMI Query'!$E:$E,$B95,'6 2024 BMI Query'!$C:$C,3)</f>
        <v>-22283704.32</v>
      </c>
      <c r="D95" s="244">
        <f>+C95+SUMIFS('6 2024 BMI Query'!$G:$G,'6 2024 BMI Query'!$E:$E,$B95,'6 2024 BMI Query'!$C:$C,4)+SUMIFS('6 2024 BMI Query'!$G:$G,'6 2024 BMI Query'!$E:$E,$B95,'6 2024 BMI Query'!$C:$C,5)+SUMIFS('6 2024 BMI Query'!$G:$G,'6 2024 BMI Query'!$E:$E,$B95,'6 2024 BMI Query'!$C:$C,6)</f>
        <v>-22276972.32</v>
      </c>
      <c r="E95" s="244">
        <f>+D95+SUMIFS('6 2024 BMI Query'!$G:$G,'6 2024 BMI Query'!$E:$E,$B95,'6 2024 BMI Query'!$C:$C,7)</f>
        <v>-22274728.32</v>
      </c>
      <c r="F95" s="244">
        <f>+E95+SUMIFS('6 2024 BMI Query'!$G:$G,'6 2024 BMI Query'!$E:$E,$B95,'6 2024 BMI Query'!$C:$C,8)</f>
        <v>-22272484.32</v>
      </c>
      <c r="G95" s="244">
        <f>+F95+SUMIFS('6 2024 BMI Query'!$G:$G,'6 2024 BMI Query'!$E:$E,$B95,'6 2024 BMI Query'!$C:$C,9)</f>
        <v>-22270240.330000002</v>
      </c>
      <c r="H95" s="244">
        <f>+G95+SUMIFS('6 2024 BMI Query'!$G:$G,'6 2024 BMI Query'!$E:$E,$B95,'6 2024 BMI Query'!$C:$C,10)</f>
        <v>-22267996.330000002</v>
      </c>
      <c r="I95" s="244">
        <f>+H95+SUMIFS('6 2024 BMI Query'!$G:$G,'6 2024 BMI Query'!$E:$E,$B95,'6 2024 BMI Query'!$C:$C,11)</f>
        <v>-22265752.32</v>
      </c>
      <c r="J95" s="244">
        <f>+I95+SUMIFS('6 2024 BMI Query'!$G:$G,'6 2024 BMI Query'!$E:$E,$B95,'6 2024 BMI Query'!$C:$C,12)</f>
        <v>-22263508.309999999</v>
      </c>
      <c r="K95" s="244">
        <f>+SUMIFS('7 2025 BMI Query'!$G:$G,'7 2025 BMI Query'!$E:$E,$B95,'7 2025 BMI Query'!$C:$C,0)+SUMIFS('7 2025 BMI Query'!$G:$G,'7 2025 BMI Query'!$E:$E,$B95,'7 2025 BMI Query'!$C:$C,1)</f>
        <v>-22261264.209999997</v>
      </c>
      <c r="L95" s="244">
        <f>+K95+SUMIFS('7 2025 BMI Query'!$G:$G,'7 2025 BMI Query'!$E:$E,$B95,'7 2025 BMI Query'!$C:$C,2)</f>
        <v>-22259020.209999997</v>
      </c>
      <c r="M95" s="244">
        <f>+L95+SUMIFS('7 2025 BMI Query'!$G:$G,'7 2025 BMI Query'!$E:$E,$B95,'7 2025 BMI Query'!$C:$C,3)</f>
        <v>-22256776.209999997</v>
      </c>
      <c r="N95" s="244">
        <f>+M95+SUMIFS('7 2025 BMI Query'!$G:$G,'7 2025 BMI Query'!$E:$E,$B95,'7 2025 BMI Query'!$C:$C,4)</f>
        <v>-22254532.209999997</v>
      </c>
      <c r="O95" s="244">
        <f>+N95+SUMIFS('7 2025 BMI Query'!$G:$G,'7 2025 BMI Query'!$E:$E,$B95,'7 2025 BMI Query'!$C:$C,5)</f>
        <v>-22252288.219999999</v>
      </c>
      <c r="P95" s="244">
        <f>+O95+SUMIFS('7 2025 BMI Query'!$G:$G,'7 2025 BMI Query'!$E:$E,$B95,'7 2025 BMI Query'!$C:$C,6)</f>
        <v>-20500068.199999999</v>
      </c>
      <c r="Q95" s="244">
        <f>+P95+SUMIFS('7 2025 BMI Query'!$G:$G,'7 2025 BMI Query'!$E:$E,$B95,'7 2025 BMI Query'!$C:$C,7)</f>
        <v>-20440747.210000001</v>
      </c>
      <c r="R95" s="244">
        <f>+Q95+SUMIFS('7 2025 BMI Query'!$G:$G,'7 2025 BMI Query'!$E:$E,$B95,'7 2025 BMI Query'!$C:$C,8)</f>
        <v>-20381426.210000001</v>
      </c>
      <c r="S95" s="244"/>
      <c r="T95" s="244"/>
      <c r="U95" s="244"/>
      <c r="V95" s="244"/>
      <c r="W95" s="244"/>
      <c r="X95" s="244"/>
      <c r="Y95" s="43" t="s">
        <v>476</v>
      </c>
    </row>
    <row r="96" spans="1:25" x14ac:dyDescent="0.25">
      <c r="A96" s="50" t="s">
        <v>477</v>
      </c>
      <c r="B96" s="238">
        <v>919001411</v>
      </c>
      <c r="C96" s="244">
        <f>+SUMIFS('6 2024 BMI Query'!$G:$G,'6 2024 BMI Query'!$E:$E,$B96,'6 2024 BMI Query'!$C:$C,0)+SUMIFS('6 2024 BMI Query'!$G:$G,'6 2024 BMI Query'!$E:$E,$B96,'6 2024 BMI Query'!$C:$C,1)+SUMIFS('6 2024 BMI Query'!$G:$G,'6 2024 BMI Query'!$E:$E,$B96,'6 2024 BMI Query'!$C:$C,2)+SUMIFS('6 2024 BMI Query'!$G:$G,'6 2024 BMI Query'!$E:$E,$B96,'6 2024 BMI Query'!$C:$C,3)</f>
        <v>12655438.149999999</v>
      </c>
      <c r="D96" s="244">
        <f>+C96+SUMIFS('6 2024 BMI Query'!$G:$G,'6 2024 BMI Query'!$E:$E,$B96,'6 2024 BMI Query'!$C:$C,4)+SUMIFS('6 2024 BMI Query'!$G:$G,'6 2024 BMI Query'!$E:$E,$B96,'6 2024 BMI Query'!$C:$C,5)+SUMIFS('6 2024 BMI Query'!$G:$G,'6 2024 BMI Query'!$E:$E,$B96,'6 2024 BMI Query'!$C:$C,6)</f>
        <v>12535944.719999999</v>
      </c>
      <c r="E96" s="244">
        <f>+D96+SUMIFS('6 2024 BMI Query'!$G:$G,'6 2024 BMI Query'!$E:$E,$B96,'6 2024 BMI Query'!$C:$C,7)</f>
        <v>12494896.609999999</v>
      </c>
      <c r="F96" s="244">
        <f>+E96+SUMIFS('6 2024 BMI Query'!$G:$G,'6 2024 BMI Query'!$E:$E,$B96,'6 2024 BMI Query'!$C:$C,8)</f>
        <v>12455342.16</v>
      </c>
      <c r="G96" s="244">
        <f>+F96+SUMIFS('6 2024 BMI Query'!$G:$G,'6 2024 BMI Query'!$E:$E,$B96,'6 2024 BMI Query'!$C:$C,9)</f>
        <v>12416039.050000001</v>
      </c>
      <c r="H96" s="244">
        <f>+G96+SUMIFS('6 2024 BMI Query'!$G:$G,'6 2024 BMI Query'!$E:$E,$B96,'6 2024 BMI Query'!$C:$C,10)</f>
        <v>12374169.5</v>
      </c>
      <c r="I96" s="244">
        <f>+H96+SUMIFS('6 2024 BMI Query'!$G:$G,'6 2024 BMI Query'!$E:$E,$B96,'6 2024 BMI Query'!$C:$C,11)</f>
        <v>12335326.17</v>
      </c>
      <c r="J96" s="244">
        <f>+I96+SUMIFS('6 2024 BMI Query'!$G:$G,'6 2024 BMI Query'!$E:$E,$B96,'6 2024 BMI Query'!$C:$C,12)</f>
        <v>12289232.08</v>
      </c>
      <c r="K96" s="244">
        <f>+SUMIFS('7 2025 BMI Query'!$G:$G,'7 2025 BMI Query'!$E:$E,$B96,'7 2025 BMI Query'!$C:$C,0)+SUMIFS('7 2025 BMI Query'!$G:$G,'7 2025 BMI Query'!$E:$E,$B96,'7 2025 BMI Query'!$C:$C,1)</f>
        <v>12237033.52</v>
      </c>
      <c r="L96" s="244">
        <f>+K96+SUMIFS('7 2025 BMI Query'!$G:$G,'7 2025 BMI Query'!$E:$E,$B96,'7 2025 BMI Query'!$C:$C,2)</f>
        <v>12183480.67</v>
      </c>
      <c r="M96" s="244">
        <f>+L96+SUMIFS('7 2025 BMI Query'!$G:$G,'7 2025 BMI Query'!$E:$E,$B96,'7 2025 BMI Query'!$C:$C,3)</f>
        <v>12134004.449999999</v>
      </c>
      <c r="N96" s="244">
        <f>+M96+SUMIFS('7 2025 BMI Query'!$G:$G,'7 2025 BMI Query'!$E:$E,$B96,'7 2025 BMI Query'!$C:$C,4)</f>
        <v>12080103.799999999</v>
      </c>
      <c r="O96" s="244">
        <f>+N96+SUMIFS('7 2025 BMI Query'!$G:$G,'7 2025 BMI Query'!$E:$E,$B96,'7 2025 BMI Query'!$C:$C,5)</f>
        <v>12030591.35</v>
      </c>
      <c r="P96" s="244">
        <f>+O96+SUMIFS('7 2025 BMI Query'!$G:$G,'7 2025 BMI Query'!$E:$E,$B96,'7 2025 BMI Query'!$C:$C,6)</f>
        <v>11976401.219999999</v>
      </c>
      <c r="Q96" s="244">
        <f>+P96+SUMIFS('7 2025 BMI Query'!$G:$G,'7 2025 BMI Query'!$E:$E,$B96,'7 2025 BMI Query'!$C:$C,7)</f>
        <v>11917397.27</v>
      </c>
      <c r="R96" s="244">
        <f>+Q96+SUMIFS('7 2025 BMI Query'!$G:$G,'7 2025 BMI Query'!$E:$E,$B96,'7 2025 BMI Query'!$C:$C,8)</f>
        <v>11862553.629999999</v>
      </c>
      <c r="S96" s="244"/>
      <c r="T96" s="244"/>
      <c r="U96" s="244"/>
      <c r="V96" s="244"/>
      <c r="W96" s="244"/>
      <c r="X96" s="244"/>
      <c r="Y96" s="43" t="s">
        <v>476</v>
      </c>
    </row>
    <row r="97" spans="1:25" x14ac:dyDescent="0.25">
      <c r="A97" s="50" t="s">
        <v>110</v>
      </c>
      <c r="B97" s="238">
        <v>919001461</v>
      </c>
      <c r="C97" s="244">
        <f>+SUMIFS('6 2024 BMI Query'!$G:$G,'6 2024 BMI Query'!$E:$E,$B97,'6 2024 BMI Query'!$C:$C,0)+SUMIFS('6 2024 BMI Query'!$G:$G,'6 2024 BMI Query'!$E:$E,$B97,'6 2024 BMI Query'!$C:$C,1)+SUMIFS('6 2024 BMI Query'!$G:$G,'6 2024 BMI Query'!$E:$E,$B97,'6 2024 BMI Query'!$C:$C,2)+SUMIFS('6 2024 BMI Query'!$G:$G,'6 2024 BMI Query'!$E:$E,$B97,'6 2024 BMI Query'!$C:$C,3)</f>
        <v>5992152.29</v>
      </c>
      <c r="D97" s="244">
        <f>+C97+SUMIFS('6 2024 BMI Query'!$G:$G,'6 2024 BMI Query'!$E:$E,$B97,'6 2024 BMI Query'!$C:$C,4)+SUMIFS('6 2024 BMI Query'!$G:$G,'6 2024 BMI Query'!$E:$E,$B97,'6 2024 BMI Query'!$C:$C,5)+SUMIFS('6 2024 BMI Query'!$G:$G,'6 2024 BMI Query'!$E:$E,$B97,'6 2024 BMI Query'!$C:$C,6)</f>
        <v>5565387.29</v>
      </c>
      <c r="E97" s="244">
        <f>+D97+SUMIFS('6 2024 BMI Query'!$G:$G,'6 2024 BMI Query'!$E:$E,$B97,'6 2024 BMI Query'!$C:$C,7)</f>
        <v>5423132.29</v>
      </c>
      <c r="F97" s="244">
        <f>+E97+SUMIFS('6 2024 BMI Query'!$G:$G,'6 2024 BMI Query'!$E:$E,$B97,'6 2024 BMI Query'!$C:$C,8)</f>
        <v>5280877.29</v>
      </c>
      <c r="G97" s="244">
        <f>+F97+SUMIFS('6 2024 BMI Query'!$G:$G,'6 2024 BMI Query'!$E:$E,$B97,'6 2024 BMI Query'!$C:$C,9)</f>
        <v>5138622.29</v>
      </c>
      <c r="H97" s="244">
        <f>+G97+SUMIFS('6 2024 BMI Query'!$G:$G,'6 2024 BMI Query'!$E:$E,$B97,'6 2024 BMI Query'!$C:$C,10)</f>
        <v>4996367.29</v>
      </c>
      <c r="I97" s="244">
        <f>+H97+SUMIFS('6 2024 BMI Query'!$G:$G,'6 2024 BMI Query'!$E:$E,$B97,'6 2024 BMI Query'!$C:$C,11)</f>
        <v>4854112.29</v>
      </c>
      <c r="J97" s="244">
        <f>+I97+SUMIFS('6 2024 BMI Query'!$G:$G,'6 2024 BMI Query'!$E:$E,$B97,'6 2024 BMI Query'!$C:$C,12)</f>
        <v>4711857.29</v>
      </c>
      <c r="K97" s="244">
        <f>+SUMIFS('7 2025 BMI Query'!$G:$G,'7 2025 BMI Query'!$E:$E,$B97,'7 2025 BMI Query'!$C:$C,0)+SUMIFS('7 2025 BMI Query'!$G:$G,'7 2025 BMI Query'!$E:$E,$B97,'7 2025 BMI Query'!$C:$C,1)</f>
        <v>4569602.29</v>
      </c>
      <c r="L97" s="244">
        <f>+K97+SUMIFS('7 2025 BMI Query'!$G:$G,'7 2025 BMI Query'!$E:$E,$B97,'7 2025 BMI Query'!$C:$C,2)</f>
        <v>4427347.29</v>
      </c>
      <c r="M97" s="244">
        <f>+L97+SUMIFS('7 2025 BMI Query'!$G:$G,'7 2025 BMI Query'!$E:$E,$B97,'7 2025 BMI Query'!$C:$C,3)</f>
        <v>4285092.29</v>
      </c>
      <c r="N97" s="244">
        <f>+M97+SUMIFS('7 2025 BMI Query'!$G:$G,'7 2025 BMI Query'!$E:$E,$B97,'7 2025 BMI Query'!$C:$C,4)</f>
        <v>4142837.29</v>
      </c>
      <c r="O97" s="244">
        <f>+N97+SUMIFS('7 2025 BMI Query'!$G:$G,'7 2025 BMI Query'!$E:$E,$B97,'7 2025 BMI Query'!$C:$C,5)</f>
        <v>4000582.29</v>
      </c>
      <c r="P97" s="244">
        <f>+O97+SUMIFS('7 2025 BMI Query'!$G:$G,'7 2025 BMI Query'!$E:$E,$B97,'7 2025 BMI Query'!$C:$C,6)</f>
        <v>3858327.29</v>
      </c>
      <c r="Q97" s="244">
        <f>+P97+SUMIFS('7 2025 BMI Query'!$G:$G,'7 2025 BMI Query'!$E:$E,$B97,'7 2025 BMI Query'!$C:$C,7)</f>
        <v>3716072.29</v>
      </c>
      <c r="R97" s="244">
        <f>+Q97+SUMIFS('7 2025 BMI Query'!$G:$G,'7 2025 BMI Query'!$E:$E,$B97,'7 2025 BMI Query'!$C:$C,8)</f>
        <v>3573817.29</v>
      </c>
      <c r="S97" s="244"/>
      <c r="T97" s="244"/>
      <c r="U97" s="244"/>
      <c r="V97" s="244"/>
      <c r="W97" s="244"/>
      <c r="X97" s="244"/>
    </row>
    <row r="98" spans="1:25" x14ac:dyDescent="0.25">
      <c r="A98" s="50" t="s">
        <v>478</v>
      </c>
      <c r="B98" s="238">
        <v>919001421</v>
      </c>
      <c r="C98" s="244">
        <f>+SUMIFS('6 2024 BMI Query'!$G:$G,'6 2024 BMI Query'!$E:$E,$B98,'6 2024 BMI Query'!$C:$C,0)+SUMIFS('6 2024 BMI Query'!$G:$G,'6 2024 BMI Query'!$E:$E,$B98,'6 2024 BMI Query'!$C:$C,1)+SUMIFS('6 2024 BMI Query'!$G:$G,'6 2024 BMI Query'!$E:$E,$B98,'6 2024 BMI Query'!$C:$C,2)+SUMIFS('6 2024 BMI Query'!$G:$G,'6 2024 BMI Query'!$E:$E,$B98,'6 2024 BMI Query'!$C:$C,3)</f>
        <v>-5992152.29</v>
      </c>
      <c r="D98" s="244">
        <f>+C98+SUMIFS('6 2024 BMI Query'!$G:$G,'6 2024 BMI Query'!$E:$E,$B98,'6 2024 BMI Query'!$C:$C,4)+SUMIFS('6 2024 BMI Query'!$G:$G,'6 2024 BMI Query'!$E:$E,$B98,'6 2024 BMI Query'!$C:$C,5)+SUMIFS('6 2024 BMI Query'!$G:$G,'6 2024 BMI Query'!$E:$E,$B98,'6 2024 BMI Query'!$C:$C,6)</f>
        <v>-5565387.29</v>
      </c>
      <c r="E98" s="244">
        <f>+D98+SUMIFS('6 2024 BMI Query'!$G:$G,'6 2024 BMI Query'!$E:$E,$B98,'6 2024 BMI Query'!$C:$C,7)</f>
        <v>-5423132.29</v>
      </c>
      <c r="F98" s="244">
        <f>+E98+SUMIFS('6 2024 BMI Query'!$G:$G,'6 2024 BMI Query'!$E:$E,$B98,'6 2024 BMI Query'!$C:$C,8)</f>
        <v>-5280877.29</v>
      </c>
      <c r="G98" s="244">
        <f>+F98+SUMIFS('6 2024 BMI Query'!$G:$G,'6 2024 BMI Query'!$E:$E,$B98,'6 2024 BMI Query'!$C:$C,9)</f>
        <v>-5138622.29</v>
      </c>
      <c r="H98" s="244">
        <f>+G98+SUMIFS('6 2024 BMI Query'!$G:$G,'6 2024 BMI Query'!$E:$E,$B98,'6 2024 BMI Query'!$C:$C,10)</f>
        <v>-4996367.29</v>
      </c>
      <c r="I98" s="244">
        <f>+H98+SUMIFS('6 2024 BMI Query'!$G:$G,'6 2024 BMI Query'!$E:$E,$B98,'6 2024 BMI Query'!$C:$C,11)</f>
        <v>-4854112.29</v>
      </c>
      <c r="J98" s="244">
        <f>+I98+SUMIFS('6 2024 BMI Query'!$G:$G,'6 2024 BMI Query'!$E:$E,$B98,'6 2024 BMI Query'!$C:$C,12)</f>
        <v>-4711857.29</v>
      </c>
      <c r="K98" s="244">
        <f>+SUMIFS('7 2025 BMI Query'!$G:$G,'7 2025 BMI Query'!$E:$E,$B98,'7 2025 BMI Query'!$C:$C,0)+SUMIFS('7 2025 BMI Query'!$G:$G,'7 2025 BMI Query'!$E:$E,$B98,'7 2025 BMI Query'!$C:$C,1)</f>
        <v>-4569602.29</v>
      </c>
      <c r="L98" s="244">
        <f>+K98+SUMIFS('7 2025 BMI Query'!$G:$G,'7 2025 BMI Query'!$E:$E,$B98,'7 2025 BMI Query'!$C:$C,2)</f>
        <v>-4427347.29</v>
      </c>
      <c r="M98" s="244">
        <f>+L98+SUMIFS('7 2025 BMI Query'!$G:$G,'7 2025 BMI Query'!$E:$E,$B98,'7 2025 BMI Query'!$C:$C,3)</f>
        <v>-4285092.29</v>
      </c>
      <c r="N98" s="244">
        <f>+M98+SUMIFS('7 2025 BMI Query'!$G:$G,'7 2025 BMI Query'!$E:$E,$B98,'7 2025 BMI Query'!$C:$C,4)</f>
        <v>-4142837.29</v>
      </c>
      <c r="O98" s="244">
        <f>+N98+SUMIFS('7 2025 BMI Query'!$G:$G,'7 2025 BMI Query'!$E:$E,$B98,'7 2025 BMI Query'!$C:$C,5)</f>
        <v>-4000582.29</v>
      </c>
      <c r="P98" s="244">
        <f>+O98+SUMIFS('7 2025 BMI Query'!$G:$G,'7 2025 BMI Query'!$E:$E,$B98,'7 2025 BMI Query'!$C:$C,6)</f>
        <v>-3858327.29</v>
      </c>
      <c r="Q98" s="244">
        <f>+P98+SUMIFS('7 2025 BMI Query'!$G:$G,'7 2025 BMI Query'!$E:$E,$B98,'7 2025 BMI Query'!$C:$C,7)</f>
        <v>-3716072.29</v>
      </c>
      <c r="R98" s="244">
        <f>+Q98+SUMIFS('7 2025 BMI Query'!$G:$G,'7 2025 BMI Query'!$E:$E,$B98,'7 2025 BMI Query'!$C:$C,8)</f>
        <v>-3573817.29</v>
      </c>
      <c r="S98" s="244"/>
      <c r="T98" s="244"/>
      <c r="U98" s="244"/>
      <c r="V98" s="244"/>
      <c r="W98" s="244"/>
      <c r="X98" s="244"/>
      <c r="Y98" s="43" t="s">
        <v>476</v>
      </c>
    </row>
    <row r="99" spans="1:25" x14ac:dyDescent="0.25">
      <c r="A99" s="50" t="s">
        <v>479</v>
      </c>
      <c r="B99" s="238">
        <v>919001431</v>
      </c>
      <c r="C99" s="244">
        <f>+SUMIFS('6 2024 BMI Query'!$G:$G,'6 2024 BMI Query'!$E:$E,$B99,'6 2024 BMI Query'!$C:$C,0)+SUMIFS('6 2024 BMI Query'!$G:$G,'6 2024 BMI Query'!$E:$E,$B99,'6 2024 BMI Query'!$C:$C,1)+SUMIFS('6 2024 BMI Query'!$G:$G,'6 2024 BMI Query'!$E:$E,$B99,'6 2024 BMI Query'!$C:$C,2)+SUMIFS('6 2024 BMI Query'!$G:$G,'6 2024 BMI Query'!$E:$E,$B99,'6 2024 BMI Query'!$C:$C,3)</f>
        <v>1540808.06</v>
      </c>
      <c r="D99" s="244">
        <f>+C99+SUMIFS('6 2024 BMI Query'!$G:$G,'6 2024 BMI Query'!$E:$E,$B99,'6 2024 BMI Query'!$C:$C,4)+SUMIFS('6 2024 BMI Query'!$G:$G,'6 2024 BMI Query'!$E:$E,$B99,'6 2024 BMI Query'!$C:$C,5)+SUMIFS('6 2024 BMI Query'!$G:$G,'6 2024 BMI Query'!$E:$E,$B99,'6 2024 BMI Query'!$C:$C,6)</f>
        <v>1430294.1</v>
      </c>
      <c r="E99" s="244">
        <f>+D99+SUMIFS('6 2024 BMI Query'!$G:$G,'6 2024 BMI Query'!$E:$E,$B99,'6 2024 BMI Query'!$C:$C,7)</f>
        <v>1393456.11</v>
      </c>
      <c r="F99" s="244">
        <f>+E99+SUMIFS('6 2024 BMI Query'!$G:$G,'6 2024 BMI Query'!$E:$E,$B99,'6 2024 BMI Query'!$C:$C,8)</f>
        <v>1356618.1300000001</v>
      </c>
      <c r="G99" s="244">
        <f>+F99+SUMIFS('6 2024 BMI Query'!$G:$G,'6 2024 BMI Query'!$E:$E,$B99,'6 2024 BMI Query'!$C:$C,9)</f>
        <v>1319780.1400000001</v>
      </c>
      <c r="H99" s="244">
        <f>+G99+SUMIFS('6 2024 BMI Query'!$G:$G,'6 2024 BMI Query'!$E:$E,$B99,'6 2024 BMI Query'!$C:$C,10)</f>
        <v>1282942.1500000001</v>
      </c>
      <c r="I99" s="244">
        <f>+H99+SUMIFS('6 2024 BMI Query'!$G:$G,'6 2024 BMI Query'!$E:$E,$B99,'6 2024 BMI Query'!$C:$C,11)</f>
        <v>1246104.1600000001</v>
      </c>
      <c r="J99" s="244">
        <f>+I99+SUMIFS('6 2024 BMI Query'!$G:$G,'6 2024 BMI Query'!$E:$E,$B99,'6 2024 BMI Query'!$C:$C,12)</f>
        <v>1209266.1800000002</v>
      </c>
      <c r="K99" s="244">
        <f>+SUMIFS('7 2025 BMI Query'!$G:$G,'7 2025 BMI Query'!$E:$E,$B99,'7 2025 BMI Query'!$C:$C,0)+SUMIFS('7 2025 BMI Query'!$G:$G,'7 2025 BMI Query'!$E:$E,$B99,'7 2025 BMI Query'!$C:$C,1)</f>
        <v>1172428.19</v>
      </c>
      <c r="L99" s="244">
        <f>+K99+SUMIFS('7 2025 BMI Query'!$G:$G,'7 2025 BMI Query'!$E:$E,$B99,'7 2025 BMI Query'!$C:$C,2)</f>
        <v>1135590.2</v>
      </c>
      <c r="M99" s="244">
        <f>+L99+SUMIFS('7 2025 BMI Query'!$G:$G,'7 2025 BMI Query'!$E:$E,$B99,'7 2025 BMI Query'!$C:$C,3)</f>
        <v>1098752.21</v>
      </c>
      <c r="N99" s="244">
        <f>+M99+SUMIFS('7 2025 BMI Query'!$G:$G,'7 2025 BMI Query'!$E:$E,$B99,'7 2025 BMI Query'!$C:$C,4)</f>
        <v>1061914.23</v>
      </c>
      <c r="O99" s="244">
        <f>+N99+SUMIFS('7 2025 BMI Query'!$G:$G,'7 2025 BMI Query'!$E:$E,$B99,'7 2025 BMI Query'!$C:$C,5)</f>
        <v>1025076.24</v>
      </c>
      <c r="P99" s="244">
        <f>+O99+SUMIFS('7 2025 BMI Query'!$G:$G,'7 2025 BMI Query'!$E:$E,$B99,'7 2025 BMI Query'!$C:$C,6)</f>
        <v>988238.25</v>
      </c>
      <c r="Q99" s="244">
        <f>+P99+SUMIFS('7 2025 BMI Query'!$G:$G,'7 2025 BMI Query'!$E:$E,$B99,'7 2025 BMI Query'!$C:$C,7)</f>
        <v>951400.27</v>
      </c>
      <c r="R99" s="244">
        <f>+Q99+SUMIFS('7 2025 BMI Query'!$G:$G,'7 2025 BMI Query'!$E:$E,$B99,'7 2025 BMI Query'!$C:$C,8)</f>
        <v>914562.28</v>
      </c>
      <c r="S99" s="244"/>
      <c r="T99" s="244"/>
      <c r="U99" s="244"/>
      <c r="V99" s="244"/>
      <c r="W99" s="244"/>
      <c r="X99" s="244"/>
      <c r="Y99" s="43" t="s">
        <v>480</v>
      </c>
    </row>
    <row r="100" spans="1:25" x14ac:dyDescent="0.25">
      <c r="A100" s="50" t="s">
        <v>106</v>
      </c>
      <c r="B100" s="238">
        <v>919010011</v>
      </c>
      <c r="C100" s="244">
        <f>+SUMIFS('6 2024 BMI Query'!$G:$G,'6 2024 BMI Query'!$E:$E,$B100,'6 2024 BMI Query'!$A:$A,$B92,'6 2024 BMI Query'!$C:$C,0)+SUMIFS('6 2024 BMI Query'!$G:$G,'6 2024 BMI Query'!$E:$E,$B100,'6 2024 BMI Query'!$A:$A,$B92,'6 2024 BMI Query'!$C:$C,1)+SUMIFS('6 2024 BMI Query'!$G:$G,'6 2024 BMI Query'!$E:$E,$B100,'6 2024 BMI Query'!$A:$A,$B92,'6 2024 BMI Query'!$C:$C,2)+SUMIFS('6 2024 BMI Query'!$G:$G,'6 2024 BMI Query'!$E:$E,$B100,'6 2024 BMI Query'!$A:$A,$B92,'6 2024 BMI Query'!$C:$C,3)</f>
        <v>2923465.34</v>
      </c>
      <c r="D100" s="244">
        <f>+C100+SUMIFS('6 2024 BMI Query'!$G:$G,'6 2024 BMI Query'!$E:$E,$B100,'6 2024 BMI Query'!$A:$A,$B92,'6 2024 BMI Query'!$C:$C,4)+SUMIFS('6 2024 BMI Query'!$G:$G,'6 2024 BMI Query'!$E:$E,$B100,'6 2024 BMI Query'!$A:$A,$B92,'6 2024 BMI Query'!$C:$C,5)+SUMIFS('6 2024 BMI Query'!$G:$G,'6 2024 BMI Query'!$E:$E,$B100,'6 2024 BMI Query'!$A:$A,$B92,'6 2024 BMI Query'!$C:$C,6)</f>
        <v>3061305.26</v>
      </c>
      <c r="E100" s="244">
        <f>+D100+SUMIFS('6 2024 BMI Query'!$G:$G,'6 2024 BMI Query'!$E:$E,$B100,'6 2024 BMI Query'!$A:$A,$B92,'6 2024 BMI Query'!$C:$C,7)</f>
        <v>2924047.19</v>
      </c>
      <c r="F100" s="244">
        <f>+E100+SUMIFS('6 2024 BMI Query'!$G:$G,'6 2024 BMI Query'!$E:$E,$B100,'6 2024 BMI Query'!$A:$A,$B92,'6 2024 BMI Query'!$C:$C,8)</f>
        <v>3405085.07</v>
      </c>
      <c r="G100" s="244">
        <f>+F100+SUMIFS('6 2024 BMI Query'!$G:$G,'6 2024 BMI Query'!$E:$E,$B100,'6 2024 BMI Query'!$A:$A,$B92,'6 2024 BMI Query'!$C:$C,9)</f>
        <v>2764949.3</v>
      </c>
      <c r="H100" s="244">
        <f>+G100+SUMIFS('6 2024 BMI Query'!$G:$G,'6 2024 BMI Query'!$E:$E,$B100,'6 2024 BMI Query'!$A:$A,$B92,'6 2024 BMI Query'!$C:$C,10)</f>
        <v>3908634.4899999998</v>
      </c>
      <c r="I100" s="244">
        <f>+H100+SUMIFS('6 2024 BMI Query'!$G:$G,'6 2024 BMI Query'!$E:$E,$B100,'6 2024 BMI Query'!$A:$A,$B92,'6 2024 BMI Query'!$C:$C,11)</f>
        <v>4047439.2399999998</v>
      </c>
      <c r="J100" s="244">
        <f>+I100+SUMIFS('6 2024 BMI Query'!$G:$G,'6 2024 BMI Query'!$E:$E,$B100,'6 2024 BMI Query'!$A:$A,$B92,'6 2024 BMI Query'!$C:$C,12)</f>
        <v>4567856.42</v>
      </c>
      <c r="K100" s="244">
        <f>+SUMIFS('7 2025 BMI Query'!$G:$G,'7 2025 BMI Query'!$E:$E,$B100,'7 2025 BMI Query'!$A:$A,$B92,'7 2025 BMI Query'!$C:$C,0)+SUMIFS('7 2025 BMI Query'!$G:$G,'7 2025 BMI Query'!$E:$E,$B100,'7 2025 BMI Query'!$A:$A,$B92,'7 2025 BMI Query'!$C:$C,1)</f>
        <v>5176540.57</v>
      </c>
      <c r="L100" s="244">
        <f>+K100+SUMIFS('7 2025 BMI Query'!$G:$G,'7 2025 BMI Query'!$E:$E,$B100,'7 2025 BMI Query'!$A:$A,$B92,'7 2025 BMI Query'!$C:$C,2)</f>
        <v>5681585.79</v>
      </c>
      <c r="M100" s="244">
        <f>+L100+SUMIFS('7 2025 BMI Query'!$G:$G,'7 2025 BMI Query'!$E:$E,$B100,'7 2025 BMI Query'!$A:$A,$B92,'7 2025 BMI Query'!$C:$C,3)</f>
        <v>5973651.6900000004</v>
      </c>
      <c r="N100" s="244">
        <f>+M100+SUMIFS('7 2025 BMI Query'!$G:$G,'7 2025 BMI Query'!$E:$E,$B100,'7 2025 BMI Query'!$A:$A,$B92,'7 2025 BMI Query'!$C:$C,4)</f>
        <v>6280981.5100000007</v>
      </c>
      <c r="O100" s="244">
        <f>+N100+SUMIFS('7 2025 BMI Query'!$G:$G,'7 2025 BMI Query'!$E:$E,$B100,'7 2025 BMI Query'!$A:$A,$B92,'7 2025 BMI Query'!$C:$C,5)</f>
        <v>6177784.8500000006</v>
      </c>
      <c r="P100" s="244">
        <f>+O100+SUMIFS('7 2025 BMI Query'!$G:$G,'7 2025 BMI Query'!$E:$E,$B100,'7 2025 BMI Query'!$A:$A,$B92,'7 2025 BMI Query'!$C:$C,6)</f>
        <v>6362817.9900000002</v>
      </c>
      <c r="Q100" s="244">
        <f>+P100+SUMIFS('7 2025 BMI Query'!$G:$G,'7 2025 BMI Query'!$E:$E,$B100,'7 2025 BMI Query'!$A:$A,$B92,'7 2025 BMI Query'!$C:$C,7)</f>
        <v>5444314.79</v>
      </c>
      <c r="R100" s="244">
        <f>+Q100+SUMIFS('7 2025 BMI Query'!$G:$G,'7 2025 BMI Query'!$E:$E,$B100,'7 2025 BMI Query'!$A:$A,$B92,'7 2025 BMI Query'!$C:$C,8)</f>
        <v>5041742.38</v>
      </c>
      <c r="S100" s="244"/>
      <c r="T100" s="244"/>
      <c r="U100" s="244"/>
      <c r="V100" s="244"/>
      <c r="W100" s="244"/>
      <c r="X100" s="244"/>
    </row>
    <row r="101" spans="1:25" x14ac:dyDescent="0.25">
      <c r="A101" s="50" t="s">
        <v>481</v>
      </c>
      <c r="B101" s="238" t="s">
        <v>482</v>
      </c>
      <c r="C101" s="244">
        <f>+SUMIFS('6 2024 BMI Query'!$G:$G,'6 2024 BMI Query'!$E:$E,$B101,'6 2024 BMI Query'!$A:$A,$B92,'6 2024 BMI Query'!$C:$C,0)+SUMIFS('6 2024 BMI Query'!$G:$G,'6 2024 BMI Query'!$E:$E,$B101,'6 2024 BMI Query'!$A:$A,$B92,'6 2024 BMI Query'!$C:$C,1)+SUMIFS('6 2024 BMI Query'!$G:$G,'6 2024 BMI Query'!$E:$E,$B101,'6 2024 BMI Query'!$A:$A,$B92,'6 2024 BMI Query'!$C:$C,2)+SUMIFS('6 2024 BMI Query'!$G:$G,'6 2024 BMI Query'!$E:$E,$B101,'6 2024 BMI Query'!$A:$A,$B92,'6 2024 BMI Query'!$C:$C,3)</f>
        <v>27402797.439999998</v>
      </c>
      <c r="D101" s="244">
        <f>+C101+SUMIFS('6 2024 BMI Query'!$G:$G,'6 2024 BMI Query'!$E:$E,$B101,'6 2024 BMI Query'!$A:$A,$B92,'6 2024 BMI Query'!$C:$C,4)+SUMIFS('6 2024 BMI Query'!$G:$G,'6 2024 BMI Query'!$E:$E,$B101,'6 2024 BMI Query'!$A:$A,$B92,'6 2024 BMI Query'!$C:$C,5)+SUMIFS('6 2024 BMI Query'!$G:$G,'6 2024 BMI Query'!$E:$E,$B101,'6 2024 BMI Query'!$A:$A,$B92,'6 2024 BMI Query'!$C:$C,6)</f>
        <v>25177281.539999999</v>
      </c>
      <c r="E101" s="244">
        <f>+D101+SUMIFS('6 2024 BMI Query'!$G:$G,'6 2024 BMI Query'!$E:$E,$B101,'6 2024 BMI Query'!$A:$A,$B92,'6 2024 BMI Query'!$C:$C,7)</f>
        <v>24053421.82</v>
      </c>
      <c r="F101" s="244">
        <f>+E101+SUMIFS('6 2024 BMI Query'!$G:$G,'6 2024 BMI Query'!$E:$E,$B101,'6 2024 BMI Query'!$A:$A,$B92,'6 2024 BMI Query'!$C:$C,8)</f>
        <v>24268909.02</v>
      </c>
      <c r="G101" s="244">
        <f>+F101+SUMIFS('6 2024 BMI Query'!$G:$G,'6 2024 BMI Query'!$E:$E,$B101,'6 2024 BMI Query'!$A:$A,$B92,'6 2024 BMI Query'!$C:$C,9)</f>
        <v>23730055.890000001</v>
      </c>
      <c r="H101" s="244">
        <f>+G101+SUMIFS('6 2024 BMI Query'!$G:$G,'6 2024 BMI Query'!$E:$E,$B101,'6 2024 BMI Query'!$C:$C,10)</f>
        <v>5599287.1600000001</v>
      </c>
      <c r="I101" s="244">
        <f>+H101+SUMIFS('6 2024 BMI Query'!$G:$G,'6 2024 BMI Query'!$E:$E,$B101,'6 2024 BMI Query'!$C:$C,11)</f>
        <v>6982561.5899999999</v>
      </c>
      <c r="J101" s="244">
        <f>+I101+SUMIFS('6 2024 BMI Query'!$G:$G,'6 2024 BMI Query'!$E:$E,$B101,'6 2024 BMI Query'!$C:$C,12)</f>
        <v>4767758.0299999993</v>
      </c>
      <c r="K101" s="244">
        <f>+SUMIFS('7 2025 BMI Query'!$G:$G,'7 2025 BMI Query'!$E:$E,$B101,'7 2025 BMI Query'!$A:$A,$B92,'7 2025 BMI Query'!$C:$C,0)+SUMIFS('7 2025 BMI Query'!$G:$G,'7 2025 BMI Query'!$E:$E,$B101,'7 2025 BMI Query'!$A:$A,$B92,'7 2025 BMI Query'!$C:$C,1)</f>
        <v>18710640.41</v>
      </c>
      <c r="L101" s="244">
        <f>+K101+SUMIFS('7 2025 BMI Query'!$G:$G,'7 2025 BMI Query'!$E:$E,$B101,'7 2025 BMI Query'!$A:$A,$B92,'7 2025 BMI Query'!$C:$C,2)</f>
        <v>21904471.789999999</v>
      </c>
      <c r="M101" s="244">
        <f>+L101+SUMIFS('7 2025 BMI Query'!$G:$G,'7 2025 BMI Query'!$E:$E,$B101,'7 2025 BMI Query'!$A:$A,$B92,'7 2025 BMI Query'!$C:$C,3)</f>
        <v>25155945.129999999</v>
      </c>
      <c r="N101" s="244">
        <f>+M101+SUMIFS('7 2025 BMI Query'!$G:$G,'7 2025 BMI Query'!$E:$E,$B101,'7 2025 BMI Query'!$A:$A,$B92,'7 2025 BMI Query'!$C:$C,4)</f>
        <v>20675885.210000001</v>
      </c>
      <c r="O101" s="244">
        <f>+N101+SUMIFS('7 2025 BMI Query'!$G:$G,'7 2025 BMI Query'!$E:$E,$B101,'7 2025 BMI Query'!$A:$A,$B92,'7 2025 BMI Query'!$C:$C,5)</f>
        <v>19135488.140000001</v>
      </c>
      <c r="P101" s="244">
        <f>+O101+SUMIFS('7 2025 BMI Query'!$G:$G,'7 2025 BMI Query'!$E:$E,$B101,'7 2025 BMI Query'!$A:$A,$B92,'7 2025 BMI Query'!$C:$C,6)</f>
        <v>18969894.120000001</v>
      </c>
      <c r="Q101" s="244">
        <f>+P101+SUMIFS('7 2025 BMI Query'!$G:$G,'7 2025 BMI Query'!$E:$E,$B101,'7 2025 BMI Query'!$A:$A,$B92,'7 2025 BMI Query'!$C:$C,7)</f>
        <v>17523490.07</v>
      </c>
      <c r="R101" s="244">
        <f>+Q101+SUMIFS('7 2025 BMI Query'!$G:$G,'7 2025 BMI Query'!$E:$E,$B101,'7 2025 BMI Query'!$A:$A,$B92,'7 2025 BMI Query'!$C:$C,8)</f>
        <v>15665960.98</v>
      </c>
      <c r="S101" s="244"/>
      <c r="T101" s="244"/>
      <c r="U101" s="244"/>
      <c r="V101" s="244"/>
      <c r="W101" s="244"/>
      <c r="X101" s="244"/>
    </row>
    <row r="102" spans="1:25" x14ac:dyDescent="0.25">
      <c r="A102" s="50" t="s">
        <v>483</v>
      </c>
      <c r="B102" s="238" t="s">
        <v>484</v>
      </c>
      <c r="C102" s="244">
        <f>+SUMIFS('6 2024 BMI Query'!$G:$G,'6 2024 BMI Query'!$E:$E,$B102,'6 2024 BMI Query'!$A:$A,$B92,'6 2024 BMI Query'!$C:$C,0)+SUMIFS('6 2024 BMI Query'!$G:$G,'6 2024 BMI Query'!$E:$E,$B102,'6 2024 BMI Query'!$A:$A,$B92,'6 2024 BMI Query'!$C:$C,1)+SUMIFS('6 2024 BMI Query'!$G:$G,'6 2024 BMI Query'!$E:$E,$B102,'6 2024 BMI Query'!$A:$A,$B92,'6 2024 BMI Query'!$C:$C,2)+SUMIFS('6 2024 BMI Query'!$G:$G,'6 2024 BMI Query'!$E:$E,$B102,'6 2024 BMI Query'!$A:$A,$B92,'6 2024 BMI Query'!$C:$C,3)</f>
        <v>3628614.64</v>
      </c>
      <c r="D102" s="244">
        <f>+C102+SUMIFS('6 2024 BMI Query'!$G:$G,'6 2024 BMI Query'!$E:$E,$B102,'6 2024 BMI Query'!$A:$A,$B92,'6 2024 BMI Query'!$C:$C,4)+SUMIFS('6 2024 BMI Query'!$G:$G,'6 2024 BMI Query'!$E:$E,$B102,'6 2024 BMI Query'!$A:$A,$B92,'6 2024 BMI Query'!$C:$C,5)+SUMIFS('6 2024 BMI Query'!$G:$G,'6 2024 BMI Query'!$E:$E,$B102,'6 2024 BMI Query'!$A:$A,$B92,'6 2024 BMI Query'!$C:$C,6)</f>
        <v>3595095.24</v>
      </c>
      <c r="E102" s="244">
        <f>+D102+SUMIFS('6 2024 BMI Query'!$G:$G,'6 2024 BMI Query'!$E:$E,$B102,'6 2024 BMI Query'!$A:$A,$B92,'6 2024 BMI Query'!$C:$C,7)</f>
        <v>3595095.24</v>
      </c>
      <c r="F102" s="244">
        <f>+E102+SUMIFS('6 2024 BMI Query'!$G:$G,'6 2024 BMI Query'!$E:$E,$B102,'6 2024 BMI Query'!$A:$A,$B92,'6 2024 BMI Query'!$C:$C,8)</f>
        <v>3595095.24</v>
      </c>
      <c r="G102" s="244">
        <f>+F102+SUMIFS('6 2024 BMI Query'!$G:$G,'6 2024 BMI Query'!$E:$E,$B102,'6 2024 BMI Query'!$A:$A,$B92,'6 2024 BMI Query'!$C:$C,9)</f>
        <v>3635736.58</v>
      </c>
      <c r="H102" s="244">
        <f>+G102+SUMIFS('6 2024 BMI Query'!$G:$G,'6 2024 BMI Query'!$E:$E,$B102,'6 2024 BMI Query'!$C:$C,10)</f>
        <v>3635736.58</v>
      </c>
      <c r="I102" s="244">
        <f>+H102+SUMIFS('6 2024 BMI Query'!$G:$G,'6 2024 BMI Query'!$E:$E,$B102,'6 2024 BMI Query'!$C:$C,11)</f>
        <v>3527910.77</v>
      </c>
      <c r="J102" s="244">
        <f>+I102+SUMIFS('6 2024 BMI Query'!$G:$G,'6 2024 BMI Query'!$E:$E,$B102,'6 2024 BMI Query'!$C:$C,12)</f>
        <v>3260552.84</v>
      </c>
      <c r="K102" s="244">
        <f>+SUMIFS('7 2025 BMI Query'!$G:$G,'7 2025 BMI Query'!$E:$E,$B102,'7 2025 BMI Query'!$A:$A,$B92,'7 2025 BMI Query'!$C:$C,0)+SUMIFS('7 2025 BMI Query'!$G:$G,'7 2025 BMI Query'!$E:$E,$B102,'7 2025 BMI Query'!$A:$A,$B92,'7 2025 BMI Query'!$C:$C,1)</f>
        <v>3527174.07</v>
      </c>
      <c r="L102" s="244">
        <f>+K102+SUMIFS('7 2025 BMI Query'!$G:$G,'7 2025 BMI Query'!$E:$E,$B102,'7 2025 BMI Query'!$A:$A,$B92,'7 2025 BMI Query'!$C:$C,2)</f>
        <v>3527174.07</v>
      </c>
      <c r="M102" s="244">
        <f>+L102+SUMIFS('7 2025 BMI Query'!$G:$G,'7 2025 BMI Query'!$E:$E,$B102,'7 2025 BMI Query'!$A:$A,$B92,'7 2025 BMI Query'!$C:$C,3)</f>
        <v>3485871.7199999997</v>
      </c>
      <c r="N102" s="244">
        <f>+M102+SUMIFS('7 2025 BMI Query'!$G:$G,'7 2025 BMI Query'!$E:$E,$B102,'7 2025 BMI Query'!$A:$A,$B92,'7 2025 BMI Query'!$C:$C,4)</f>
        <v>3485871.7199999997</v>
      </c>
      <c r="O102" s="244">
        <f>+N102+SUMIFS('7 2025 BMI Query'!$G:$G,'7 2025 BMI Query'!$E:$E,$B102,'7 2025 BMI Query'!$A:$A,$B92,'7 2025 BMI Query'!$C:$C,5)</f>
        <v>3485871.7199999997</v>
      </c>
      <c r="P102" s="244">
        <f>+O102+SUMIFS('7 2025 BMI Query'!$G:$G,'7 2025 BMI Query'!$E:$E,$B102,'7 2025 BMI Query'!$A:$A,$B92,'7 2025 BMI Query'!$C:$C,6)</f>
        <v>3444569.3699999996</v>
      </c>
      <c r="Q102" s="244">
        <f>+P102+SUMIFS('7 2025 BMI Query'!$G:$G,'7 2025 BMI Query'!$E:$E,$B102,'7 2025 BMI Query'!$A:$A,$B92,'7 2025 BMI Query'!$C:$C,7)</f>
        <v>3444569.3699999996</v>
      </c>
      <c r="R102" s="244">
        <f>+Q102+SUMIFS('7 2025 BMI Query'!$G:$G,'7 2025 BMI Query'!$E:$E,$B102,'7 2025 BMI Query'!$A:$A,$B92,'7 2025 BMI Query'!$C:$C,8)</f>
        <v>3417034.4699999997</v>
      </c>
      <c r="S102" s="244"/>
      <c r="T102" s="244"/>
      <c r="U102" s="244"/>
      <c r="V102" s="244"/>
      <c r="W102" s="244"/>
      <c r="X102" s="244"/>
    </row>
    <row r="103" spans="1:25" x14ac:dyDescent="0.25">
      <c r="A103" s="43" t="s">
        <v>109</v>
      </c>
      <c r="B103" s="238">
        <v>919081001</v>
      </c>
      <c r="C103" s="244">
        <f>+SUMIFS('6 2024 BMI Query'!$G:$G,'6 2024 BMI Query'!$E:$E,$B103,'6 2024 BMI Query'!$A:$A,$B92,'6 2024 BMI Query'!$C:$C,0)+SUMIFS('6 2024 BMI Query'!$G:$G,'6 2024 BMI Query'!$E:$E,$B103,'6 2024 BMI Query'!$A:$A,$B92,'6 2024 BMI Query'!$C:$C,1)+SUMIFS('6 2024 BMI Query'!$G:$G,'6 2024 BMI Query'!$E:$E,$B103,'6 2024 BMI Query'!$A:$A,$B92,'6 2024 BMI Query'!$C:$C,2)+SUMIFS('6 2024 BMI Query'!$G:$G,'6 2024 BMI Query'!$E:$E,$B103,'6 2024 BMI Query'!$A:$A,$B92,'6 2024 BMI Query'!$C:$C,3)</f>
        <v>21554070.990000002</v>
      </c>
      <c r="D103" s="244">
        <f>+C103+SUMIFS('6 2024 BMI Query'!$G:$G,'6 2024 BMI Query'!$E:$E,$B103,'6 2024 BMI Query'!$A:$A,$B92,'6 2024 BMI Query'!$C:$C,4)+SUMIFS('6 2024 BMI Query'!$G:$G,'6 2024 BMI Query'!$E:$E,$B103,'6 2024 BMI Query'!$A:$A,$B92,'6 2024 BMI Query'!$C:$C,5)+SUMIFS('6 2024 BMI Query'!$G:$G,'6 2024 BMI Query'!$E:$E,$B103,'6 2024 BMI Query'!$A:$A,$B92,'6 2024 BMI Query'!$C:$C,6)</f>
        <v>21144212.420000002</v>
      </c>
      <c r="E103" s="244">
        <f>+D103+SUMIFS('6 2024 BMI Query'!$G:$G,'6 2024 BMI Query'!$E:$E,$B103,'6 2024 BMI Query'!$A:$A,$B92,'6 2024 BMI Query'!$C:$C,7)</f>
        <v>21007592.890000001</v>
      </c>
      <c r="F103" s="244">
        <f>+E103+SUMIFS('6 2024 BMI Query'!$G:$G,'6 2024 BMI Query'!$E:$E,$B103,'6 2024 BMI Query'!$A:$A,$B92,'6 2024 BMI Query'!$C:$C,8)</f>
        <v>20870973.370000001</v>
      </c>
      <c r="G103" s="244">
        <f>+F103+SUMIFS('6 2024 BMI Query'!$G:$G,'6 2024 BMI Query'!$E:$E,$B103,'6 2024 BMI Query'!$A:$A,$B92,'6 2024 BMI Query'!$C:$C,9)</f>
        <v>20734353.84</v>
      </c>
      <c r="H103" s="244">
        <f>+G103+SUMIFS('6 2024 BMI Query'!$G:$G,'6 2024 BMI Query'!$E:$E,$B103,'6 2024 BMI Query'!$C:$C,10)</f>
        <v>20247634.350000001</v>
      </c>
      <c r="I103" s="244">
        <f>+H103+SUMIFS('6 2024 BMI Query'!$G:$G,'6 2024 BMI Query'!$E:$E,$B103,'6 2024 BMI Query'!$C:$C,11)</f>
        <v>19760914.84</v>
      </c>
      <c r="J103" s="244">
        <f>+I103+SUMIFS('6 2024 BMI Query'!$G:$G,'6 2024 BMI Query'!$E:$E,$B103,'6 2024 BMI Query'!$C:$C,12)</f>
        <v>19274195.34</v>
      </c>
      <c r="K103" s="244">
        <f>+SUMIFS('7 2025 BMI Query'!$G:$G,'7 2025 BMI Query'!$E:$E,$B103,'7 2025 BMI Query'!$A:$A,$B92,'7 2025 BMI Query'!$C:$C,0)+SUMIFS('7 2025 BMI Query'!$G:$G,'7 2025 BMI Query'!$E:$E,$B103,'7 2025 BMI Query'!$A:$A,$B92,'7 2025 BMI Query'!$C:$C,1)</f>
        <v>20187875.739999998</v>
      </c>
      <c r="L103" s="244">
        <f>+K103+SUMIFS('7 2025 BMI Query'!$G:$G,'7 2025 BMI Query'!$E:$E,$B103,'7 2025 BMI Query'!$A:$A,$B92,'7 2025 BMI Query'!$C:$C,2)</f>
        <v>20051256.219999999</v>
      </c>
      <c r="M103" s="244">
        <f>+L103+SUMIFS('7 2025 BMI Query'!$G:$G,'7 2025 BMI Query'!$E:$E,$B103,'7 2025 BMI Query'!$A:$A,$B92,'7 2025 BMI Query'!$C:$C,3)</f>
        <v>19914636.689999998</v>
      </c>
      <c r="N103" s="244">
        <f>+M103+SUMIFS('7 2025 BMI Query'!$G:$G,'7 2025 BMI Query'!$E:$E,$B103,'7 2025 BMI Query'!$A:$A,$B92,'7 2025 BMI Query'!$C:$C,4)</f>
        <v>19778017.169999998</v>
      </c>
      <c r="O103" s="244">
        <f>+N103+SUMIFS('7 2025 BMI Query'!$G:$G,'7 2025 BMI Query'!$E:$E,$B103,'7 2025 BMI Query'!$A:$A,$B92,'7 2025 BMI Query'!$C:$C,5)</f>
        <v>19641397.639999997</v>
      </c>
      <c r="P103" s="244">
        <f>+O103+SUMIFS('7 2025 BMI Query'!$G:$G,'7 2025 BMI Query'!$E:$E,$B103,'7 2025 BMI Query'!$A:$A,$B92,'7 2025 BMI Query'!$C:$C,6)</f>
        <v>19504778.119999997</v>
      </c>
      <c r="Q103" s="244">
        <f>+P103+SUMIFS('7 2025 BMI Query'!$G:$G,'7 2025 BMI Query'!$E:$E,$B103,'7 2025 BMI Query'!$A:$A,$B92,'7 2025 BMI Query'!$C:$C,7)</f>
        <v>19368158.589999996</v>
      </c>
      <c r="R103" s="244">
        <f>+Q103+SUMIFS('7 2025 BMI Query'!$G:$G,'7 2025 BMI Query'!$E:$E,$B103,'7 2025 BMI Query'!$A:$A,$B92,'7 2025 BMI Query'!$C:$C,8)</f>
        <v>19231539.069999997</v>
      </c>
      <c r="S103" s="244"/>
      <c r="T103" s="244"/>
      <c r="U103" s="244"/>
      <c r="V103" s="244"/>
      <c r="W103" s="244"/>
      <c r="X103" s="244"/>
    </row>
    <row r="104" spans="1:25" x14ac:dyDescent="0.25">
      <c r="A104" s="50" t="s">
        <v>112</v>
      </c>
      <c r="C104" s="244">
        <f>+C107-SUM(C93:C103)</f>
        <v>10772712.650000006</v>
      </c>
      <c r="D104" s="244">
        <f t="shared" ref="D104:Q104" si="61">+D107-SUM(D93:D103)</f>
        <v>8283330.8700000048</v>
      </c>
      <c r="E104" s="244">
        <f t="shared" si="61"/>
        <v>8344540.7100000232</v>
      </c>
      <c r="F104" s="244">
        <f t="shared" si="61"/>
        <v>10439124.420000017</v>
      </c>
      <c r="G104" s="244">
        <f t="shared" si="61"/>
        <v>9544439.3100000173</v>
      </c>
      <c r="H104" s="244">
        <f t="shared" si="61"/>
        <v>16022567.250000015</v>
      </c>
      <c r="I104" s="244">
        <f t="shared" si="61"/>
        <v>18421255.870000012</v>
      </c>
      <c r="J104" s="244">
        <f t="shared" si="61"/>
        <v>23804978.230000012</v>
      </c>
      <c r="K104" s="244">
        <f t="shared" si="61"/>
        <v>9521751.3699999899</v>
      </c>
      <c r="L104" s="244">
        <f t="shared" si="61"/>
        <v>8612318.609999992</v>
      </c>
      <c r="M104" s="244">
        <f t="shared" si="61"/>
        <v>9107740.3599999994</v>
      </c>
      <c r="N104" s="244">
        <f t="shared" si="61"/>
        <v>9665859.4999999851</v>
      </c>
      <c r="O104" s="244">
        <f t="shared" si="61"/>
        <v>10047446.700000003</v>
      </c>
      <c r="P104" s="244">
        <f t="shared" si="61"/>
        <v>10001838.63000001</v>
      </c>
      <c r="Q104" s="244">
        <f t="shared" si="61"/>
        <v>10556172.690000013</v>
      </c>
      <c r="R104" s="244">
        <f>+R107-SUM(R93:R103)-R105</f>
        <v>11160260.99000001</v>
      </c>
      <c r="S104" s="244"/>
      <c r="T104" s="244"/>
      <c r="U104" s="244"/>
      <c r="V104" s="244"/>
      <c r="W104" s="244"/>
      <c r="X104" s="244"/>
    </row>
    <row r="105" spans="1:25" x14ac:dyDescent="0.25">
      <c r="A105" s="245" t="s">
        <v>491</v>
      </c>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row>
    <row r="106" spans="1:25" x14ac:dyDescent="0.25">
      <c r="A106" s="50" t="s">
        <v>487</v>
      </c>
      <c r="C106" s="247">
        <f t="shared" ref="C106:X106" si="62">SUM(C93:C105)</f>
        <v>81994352.340000004</v>
      </c>
      <c r="D106" s="247">
        <f t="shared" si="62"/>
        <v>77205264.360000014</v>
      </c>
      <c r="E106" s="247">
        <f t="shared" si="62"/>
        <v>75790850.780000016</v>
      </c>
      <c r="F106" s="247">
        <f t="shared" si="62"/>
        <v>78338510.000000015</v>
      </c>
      <c r="G106" s="247">
        <f t="shared" si="62"/>
        <v>76102398.950000018</v>
      </c>
      <c r="H106" s="247">
        <f t="shared" si="62"/>
        <v>65025710.170000017</v>
      </c>
      <c r="I106" s="247">
        <f t="shared" si="62"/>
        <v>68273945.190000013</v>
      </c>
      <c r="J106" s="247">
        <f t="shared" si="62"/>
        <v>71273160.730000019</v>
      </c>
      <c r="K106" s="247">
        <f t="shared" si="62"/>
        <v>72627789.019999996</v>
      </c>
      <c r="L106" s="247">
        <f t="shared" si="62"/>
        <v>75206404.339999989</v>
      </c>
      <c r="M106" s="247">
        <f t="shared" si="62"/>
        <v>78976665.179999992</v>
      </c>
      <c r="N106" s="247">
        <f t="shared" si="62"/>
        <v>75141488.129999995</v>
      </c>
      <c r="O106" s="247">
        <f t="shared" si="62"/>
        <v>73662886.310000002</v>
      </c>
      <c r="P106" s="247">
        <f t="shared" si="62"/>
        <v>73370816.480000004</v>
      </c>
      <c r="Q106" s="247">
        <f t="shared" si="62"/>
        <v>71355263.010000005</v>
      </c>
      <c r="R106" s="247">
        <f t="shared" si="62"/>
        <v>69465815.950000003</v>
      </c>
      <c r="S106" s="247">
        <f t="shared" si="62"/>
        <v>0</v>
      </c>
      <c r="T106" s="247">
        <f t="shared" si="62"/>
        <v>0</v>
      </c>
      <c r="U106" s="247">
        <f t="shared" si="62"/>
        <v>0</v>
      </c>
      <c r="V106" s="247">
        <f t="shared" si="62"/>
        <v>0</v>
      </c>
      <c r="W106" s="247">
        <f t="shared" si="62"/>
        <v>0</v>
      </c>
      <c r="X106" s="247">
        <f t="shared" si="62"/>
        <v>0</v>
      </c>
    </row>
    <row r="107" spans="1:25" x14ac:dyDescent="0.25">
      <c r="A107" s="50" t="s">
        <v>488</v>
      </c>
      <c r="B107" s="238">
        <v>19011</v>
      </c>
      <c r="C107" s="248">
        <f>SUMIFS('6 2024 BMI Query'!$G:$G,'6 2024 BMI Query'!$D:$D,$B107,'6 2024 BMI Query'!$A:$A,$B92,'6 2024 BMI Query'!$C:$C,0)+SUMIFS('6 2024 BMI Query'!$G:$G,'6 2024 BMI Query'!$D:$D,$B107,'6 2024 BMI Query'!$A:$A,$B92,'6 2024 BMI Query'!$C:$C,1)+SUMIFS('6 2024 BMI Query'!$G:$G,'6 2024 BMI Query'!$D:$D,$B107,'6 2024 BMI Query'!$A:$A,$B92,'6 2024 BMI Query'!$C:$C,2)+SUMIFS('6 2024 BMI Query'!$G:$G,'6 2024 BMI Query'!$D:$D,$B107,'6 2024 BMI Query'!$A:$A,$B92,'6 2024 BMI Query'!$C:$C,3)</f>
        <v>81994352.340000004</v>
      </c>
      <c r="D107" s="248">
        <f>+C107+SUMIFS('6 2024 BMI Query'!$G:$G,'6 2024 BMI Query'!$D:$D,$B107,'6 2024 BMI Query'!$A:$A,$B92,'6 2024 BMI Query'!$C:$C,4)+SUMIFS('6 2024 BMI Query'!$G:$G,'6 2024 BMI Query'!$D:$D,$B107,'6 2024 BMI Query'!$A:$A,$B92,'6 2024 BMI Query'!$C:$C,5)+SUMIFS('6 2024 BMI Query'!$G:$G,'6 2024 BMI Query'!$D:$D,$B107,'6 2024 BMI Query'!$A:$A,$B92,'6 2024 BMI Query'!$C:$C,6)</f>
        <v>77205264.360000014</v>
      </c>
      <c r="E107" s="248">
        <f>+D107+SUMIFS('6 2024 BMI Query'!$G:$G,'6 2024 BMI Query'!$D:$D,$B107,'6 2024 BMI Query'!$A:$A,$B92,'6 2024 BMI Query'!$C:$C,7)</f>
        <v>75790850.780000016</v>
      </c>
      <c r="F107" s="248">
        <f>+E107+SUMIFS('6 2024 BMI Query'!$G:$G,'6 2024 BMI Query'!$D:$D,$B107,'6 2024 BMI Query'!$A:$A,$B92,'6 2024 BMI Query'!$C:$C,8)</f>
        <v>78338510.000000015</v>
      </c>
      <c r="G107" s="248">
        <f>+F107+SUMIFS('6 2024 BMI Query'!$G:$G,'6 2024 BMI Query'!$D:$D,$B107,'6 2024 BMI Query'!$A:$A,$B92,'6 2024 BMI Query'!$C:$C,9)</f>
        <v>76102398.950000018</v>
      </c>
      <c r="H107" s="248">
        <f>+G107+SUMIFS('6 2024 BMI Query'!$G:$G,'6 2024 BMI Query'!$D:$D,$B107,'6 2024 BMI Query'!$A:$A,$B92,'6 2024 BMI Query'!$C:$C,10)</f>
        <v>65025710.170000017</v>
      </c>
      <c r="I107" s="248">
        <f>+H107+SUMIFS('6 2024 BMI Query'!$G:$G,'6 2024 BMI Query'!$D:$D,$B107,'6 2024 BMI Query'!$A:$A,$B92,'6 2024 BMI Query'!$C:$C,11)</f>
        <v>68273945.190000013</v>
      </c>
      <c r="J107" s="248">
        <f>+I107+SUMIFS('6 2024 BMI Query'!$G:$G,'6 2024 BMI Query'!$D:$D,$B107,'6 2024 BMI Query'!$A:$A,$B92,'6 2024 BMI Query'!$C:$C,12)</f>
        <v>71273160.730000019</v>
      </c>
      <c r="K107" s="248">
        <f>SUMIFS('7 2025 BMI Query'!$G:$G,'7 2025 BMI Query'!$D:$D,$B107,'7 2025 BMI Query'!$A:$A,$B92,'7 2025 BMI Query'!$C:$C,0)+SUMIFS('7 2025 BMI Query'!$G:$G,'7 2025 BMI Query'!$D:$D,$B107,'7 2025 BMI Query'!$A:$A,$B92,'7 2025 BMI Query'!$C:$C,1)</f>
        <v>72627789.019999996</v>
      </c>
      <c r="L107" s="248">
        <f>+K107+SUMIFS('7 2025 BMI Query'!$G:$G,'7 2025 BMI Query'!$D:$D,$B107,'7 2025 BMI Query'!$A:$A,$B92,'7 2025 BMI Query'!$C:$C,2)</f>
        <v>75206404.339999989</v>
      </c>
      <c r="M107" s="248">
        <f>+L107+SUMIFS('7 2025 BMI Query'!$G:$G,'7 2025 BMI Query'!$D:$D,$B107,'7 2025 BMI Query'!$A:$A,$B92,'7 2025 BMI Query'!$C:$C,3)</f>
        <v>78976665.179999992</v>
      </c>
      <c r="N107" s="248">
        <f>+M107+SUMIFS('7 2025 BMI Query'!$G:$G,'7 2025 BMI Query'!$D:$D,$B107,'7 2025 BMI Query'!$A:$A,$B92,'7 2025 BMI Query'!$C:$C,4)</f>
        <v>75141488.129999995</v>
      </c>
      <c r="O107" s="248">
        <f>+N107+SUMIFS('7 2025 BMI Query'!$G:$G,'7 2025 BMI Query'!$D:$D,$B107,'7 2025 BMI Query'!$A:$A,$B92,'7 2025 BMI Query'!$C:$C,5)</f>
        <v>73662886.310000002</v>
      </c>
      <c r="P107" s="248">
        <f>+O107+SUMIFS('7 2025 BMI Query'!$G:$G,'7 2025 BMI Query'!$D:$D,$B107,'7 2025 BMI Query'!$A:$A,$B92,'7 2025 BMI Query'!$C:$C,6)</f>
        <v>73370816.480000004</v>
      </c>
      <c r="Q107" s="248">
        <f>+P107+SUMIFS('7 2025 BMI Query'!$G:$G,'7 2025 BMI Query'!$D:$D,$B107,'7 2025 BMI Query'!$A:$A,$B92,'7 2025 BMI Query'!$C:$C,7)</f>
        <v>71355263.010000005</v>
      </c>
      <c r="R107" s="248">
        <f>+Q107+SUMIFS('7 2025 BMI Query'!$G:$G,'7 2025 BMI Query'!$D:$D,$B107,'7 2025 BMI Query'!$A:$A,$B92,'7 2025 BMI Query'!$C:$C,8)+R105</f>
        <v>69465815.950000003</v>
      </c>
      <c r="S107" s="248"/>
      <c r="T107" s="248"/>
      <c r="U107" s="248"/>
      <c r="V107" s="248"/>
      <c r="W107" s="248"/>
      <c r="X107" s="248"/>
    </row>
    <row r="108" spans="1:25" x14ac:dyDescent="0.25">
      <c r="A108" s="50"/>
      <c r="C108" s="250"/>
      <c r="D108" s="250"/>
      <c r="E108" s="250"/>
      <c r="F108" s="250"/>
      <c r="G108" s="250"/>
      <c r="H108" s="250"/>
      <c r="I108" s="250"/>
      <c r="J108" s="250"/>
      <c r="K108" s="250"/>
      <c r="L108" s="250"/>
      <c r="M108" s="250"/>
      <c r="N108" s="250"/>
      <c r="O108" s="250"/>
      <c r="P108" s="250"/>
      <c r="Q108" s="250"/>
      <c r="R108" s="250"/>
      <c r="S108" s="250"/>
      <c r="T108" s="250"/>
      <c r="U108" s="250"/>
      <c r="V108" s="250"/>
      <c r="W108" s="250"/>
      <c r="X108" s="250"/>
    </row>
    <row r="109" spans="1:25" x14ac:dyDescent="0.25">
      <c r="A109" s="50" t="s">
        <v>96</v>
      </c>
      <c r="B109" s="238">
        <v>28211</v>
      </c>
      <c r="C109" s="244">
        <f t="shared" ref="C109:R109" si="63">+C114-SUM(C110:C111)</f>
        <v>-105243876.27</v>
      </c>
      <c r="D109" s="244">
        <f t="shared" si="63"/>
        <v>-111467333.62</v>
      </c>
      <c r="E109" s="244">
        <f t="shared" si="63"/>
        <v>-114173706.06</v>
      </c>
      <c r="F109" s="244">
        <f t="shared" si="63"/>
        <v>-116130178.16</v>
      </c>
      <c r="G109" s="244">
        <f t="shared" si="63"/>
        <v>-118232672.48000002</v>
      </c>
      <c r="H109" s="244">
        <f t="shared" si="63"/>
        <v>-102514768.83000001</v>
      </c>
      <c r="I109" s="244">
        <f t="shared" si="63"/>
        <v>-105682919.10000002</v>
      </c>
      <c r="J109" s="244">
        <f t="shared" si="63"/>
        <v>-118084891.98000002</v>
      </c>
      <c r="K109" s="244">
        <f t="shared" si="63"/>
        <v>-120338891.22000001</v>
      </c>
      <c r="L109" s="244">
        <f t="shared" si="63"/>
        <v>-121359432.91000001</v>
      </c>
      <c r="M109" s="244">
        <f t="shared" si="63"/>
        <v>-123375236.51000001</v>
      </c>
      <c r="N109" s="244">
        <f t="shared" si="63"/>
        <v>-125267647.72</v>
      </c>
      <c r="O109" s="244">
        <f t="shared" si="63"/>
        <v>-127282271.10000001</v>
      </c>
      <c r="P109" s="244">
        <f t="shared" si="63"/>
        <v>-127357597.51000002</v>
      </c>
      <c r="Q109" s="244">
        <f t="shared" si="63"/>
        <v>-129035734.20000002</v>
      </c>
      <c r="R109" s="244">
        <f t="shared" si="63"/>
        <v>-130688428.61000001</v>
      </c>
      <c r="S109" s="244"/>
      <c r="T109" s="244"/>
      <c r="U109" s="244"/>
      <c r="V109" s="244"/>
      <c r="W109" s="244"/>
      <c r="X109" s="244"/>
    </row>
    <row r="110" spans="1:25" x14ac:dyDescent="0.25">
      <c r="A110" s="50" t="s">
        <v>507</v>
      </c>
      <c r="B110" s="238">
        <v>928290001</v>
      </c>
      <c r="C110" s="244">
        <f>+SUMIFS('6 2024 BMI Query'!$G:$G,'6 2024 BMI Query'!$E:$E,$B110,'6 2024 BMI Query'!$A:$A,$B92,'6 2024 BMI Query'!$C:$C,0)+SUMIFS('6 2024 BMI Query'!$G:$G,'6 2024 BMI Query'!$E:$E,$B110,'6 2024 BMI Query'!$A:$A,$B92,'6 2024 BMI Query'!$C:$C,1)+SUMIFS('6 2024 BMI Query'!$G:$G,'6 2024 BMI Query'!$E:$E,$B110,'6 2024 BMI Query'!$A:$A,$B92,'6 2024 BMI Query'!$C:$C,2)+SUMIFS('6 2024 BMI Query'!$G:$G,'6 2024 BMI Query'!$E:$E,$B110,'6 2024 BMI Query'!$A:$A,$B92,'6 2024 BMI Query'!$C:$C,3)</f>
        <v>0</v>
      </c>
      <c r="D110" s="244">
        <f>+C110+SUMIFS('6 2024 BMI Query'!$G:$G,'6 2024 BMI Query'!$E:$E,$B110,'6 2024 BMI Query'!$A:$A,$B92,'6 2024 BMI Query'!$C:$C,4)+SUMIFS('6 2024 BMI Query'!$G:$G,'6 2024 BMI Query'!$E:$E,$B110,'6 2024 BMI Query'!$A:$A,$B92,'6 2024 BMI Query'!$C:$C,5)+SUMIFS('6 2024 BMI Query'!$G:$G,'6 2024 BMI Query'!$E:$E,$B110,'6 2024 BMI Query'!$A:$A,$B92,'6 2024 BMI Query'!$C:$C,6)</f>
        <v>0</v>
      </c>
      <c r="E110" s="244">
        <f>+D110+SUMIFS('6 2024 BMI Query'!$G:$G,'6 2024 BMI Query'!$E:$E,$B110,'6 2024 BMI Query'!$A:$A,$B92,'6 2024 BMI Query'!$C:$C,7)</f>
        <v>0</v>
      </c>
      <c r="F110" s="244">
        <f>+E110+SUMIFS('6 2024 BMI Query'!$G:$G,'6 2024 BMI Query'!$E:$E,$B110,'6 2024 BMI Query'!$A:$A,$B92,'6 2024 BMI Query'!$C:$C,8)</f>
        <v>0</v>
      </c>
      <c r="G110" s="244">
        <f>+F110+SUMIFS('6 2024 BMI Query'!$G:$G,'6 2024 BMI Query'!$E:$E,$B110,'6 2024 BMI Query'!$A:$A,$B92,'6 2024 BMI Query'!$C:$C,9)</f>
        <v>0</v>
      </c>
      <c r="H110" s="244">
        <f>+G110+SUMIFS('6 2024 BMI Query'!$G:$G,'6 2024 BMI Query'!$E:$E,$B110,'6 2024 BMI Query'!$A:$A,$B92,'6 2024 BMI Query'!$C:$C,10)</f>
        <v>0</v>
      </c>
      <c r="I110" s="244">
        <f>+H110+SUMIFS('6 2024 BMI Query'!$G:$G,'6 2024 BMI Query'!$E:$E,$B110,'6 2024 BMI Query'!$A:$A,$B92,'6 2024 BMI Query'!$C:$C,11)</f>
        <v>0</v>
      </c>
      <c r="J110" s="244">
        <f>+I110+SUMIFS('6 2024 BMI Query'!$G:$G,'6 2024 BMI Query'!$E:$E,$B110,'6 2024 BMI Query'!$A:$A,$B92,'6 2024 BMI Query'!$C:$C,12)</f>
        <v>0</v>
      </c>
      <c r="K110" s="244">
        <f>+SUMIFS('7 2025 BMI Query'!$G:$G,'7 2025 BMI Query'!$E:$E,$B110,'7 2025 BMI Query'!$A:$A,$B92,'7 2025 BMI Query'!$C:$C,0)+SUMIFS('7 2025 BMI Query'!$G:$G,'7 2025 BMI Query'!$E:$E,$B110,'7 2025 BMI Query'!$A:$A,$B92,'7 2025 BMI Query'!$C:$C,1)</f>
        <v>0</v>
      </c>
      <c r="L110" s="244">
        <f>+K110+SUMIFS('7 2025 BMI Query'!$G:$G,'7 2025 BMI Query'!$E:$E,$B110,'7 2025 BMI Query'!$A:$A,$B92,'7 2025 BMI Query'!$C:$C,2)</f>
        <v>0</v>
      </c>
      <c r="M110" s="244">
        <f>+L110+SUMIFS('7 2025 BMI Query'!$G:$G,'7 2025 BMI Query'!$E:$E,$B110,'7 2025 BMI Query'!$A:$A,$B92,'7 2025 BMI Query'!$C:$C,3)</f>
        <v>0</v>
      </c>
      <c r="N110" s="244">
        <f>+M110+SUMIFS('7 2025 BMI Query'!$G:$G,'7 2025 BMI Query'!$E:$E,$B110,'7 2025 BMI Query'!$A:$A,$B92,'7 2025 BMI Query'!$C:$C,4)</f>
        <v>0</v>
      </c>
      <c r="O110" s="244">
        <f>+N110+SUMIFS('7 2025 BMI Query'!$G:$G,'7 2025 BMI Query'!$E:$E,$B110,'7 2025 BMI Query'!$A:$A,$B92,'7 2025 BMI Query'!$C:$C,5)</f>
        <v>0</v>
      </c>
      <c r="P110" s="244">
        <f>+O110+SUMIFS('7 2025 BMI Query'!$G:$G,'7 2025 BMI Query'!$E:$E,$B110,'7 2025 BMI Query'!$A:$A,$B92,'7 2025 BMI Query'!$C:$C,6)</f>
        <v>0</v>
      </c>
      <c r="Q110" s="244">
        <f>+P110+SUMIFS('7 2025 BMI Query'!$G:$G,'7 2025 BMI Query'!$E:$E,$B110,'7 2025 BMI Query'!$A:$A,$B92,'7 2025 BMI Query'!$C:$C,7)</f>
        <v>0</v>
      </c>
      <c r="R110" s="244">
        <f>+Q110+SUMIFS('7 2025 BMI Query'!$G:$G,'7 2025 BMI Query'!$E:$E,$B110,'7 2025 BMI Query'!$A:$A,$B92,'7 2025 BMI Query'!$C:$C,8)</f>
        <v>0</v>
      </c>
      <c r="S110" s="244"/>
      <c r="T110" s="244"/>
      <c r="U110" s="244"/>
      <c r="V110" s="244"/>
      <c r="W110" s="244"/>
      <c r="X110" s="244"/>
    </row>
    <row r="111" spans="1:25" x14ac:dyDescent="0.25">
      <c r="A111" s="50" t="s">
        <v>489</v>
      </c>
      <c r="B111" s="238">
        <v>928201401</v>
      </c>
      <c r="C111" s="244">
        <f>+SUMIFS('6 2024 BMI Query'!$G:$G,'6 2024 BMI Query'!$E:$E,$B111,'6 2024 BMI Query'!$C:$C,0)+SUMIFS('6 2024 BMI Query'!$G:$G,'6 2024 BMI Query'!$E:$E,$B111,'6 2024 BMI Query'!$C:$C,1)+SUMIFS('6 2024 BMI Query'!$G:$G,'6 2024 BMI Query'!$E:$E,$B111,'6 2024 BMI Query'!$C:$C,2)+SUMIFS('6 2024 BMI Query'!$G:$G,'6 2024 BMI Query'!$E:$E,$B111,'6 2024 BMI Query'!$C:$C,3)</f>
        <v>69892257.329999998</v>
      </c>
      <c r="D111" s="244">
        <f>+C111+SUMIFS('6 2024 BMI Query'!$G:$G,'6 2024 BMI Query'!$E:$E,$B111,'6 2024 BMI Query'!$C:$C,4)+SUMIFS('6 2024 BMI Query'!$G:$G,'6 2024 BMI Query'!$E:$E,$B111,'6 2024 BMI Query'!$C:$C,5)+SUMIFS('6 2024 BMI Query'!$G:$G,'6 2024 BMI Query'!$E:$E,$B111,'6 2024 BMI Query'!$C:$C,6)</f>
        <v>69436002.420000002</v>
      </c>
      <c r="E111" s="244">
        <f>+D111+SUMIFS('6 2024 BMI Query'!$G:$G,'6 2024 BMI Query'!$E:$E,$B111,'6 2024 BMI Query'!$C:$C,7)</f>
        <v>69279339.320000008</v>
      </c>
      <c r="F111" s="244">
        <f>+E111+SUMIFS('6 2024 BMI Query'!$G:$G,'6 2024 BMI Query'!$E:$E,$B111,'6 2024 BMI Query'!$C:$C,8)</f>
        <v>69128295.270000011</v>
      </c>
      <c r="G111" s="244">
        <f>+F111+SUMIFS('6 2024 BMI Query'!$G:$G,'6 2024 BMI Query'!$E:$E,$B111,'6 2024 BMI Query'!$C:$C,9)</f>
        <v>68978196.780000016</v>
      </c>
      <c r="H111" s="244">
        <f>+G111+SUMIFS('6 2024 BMI Query'!$G:$G,'6 2024 BMI Query'!$E:$E,$B111,'6 2024 BMI Query'!$C:$C,10)</f>
        <v>68818443.480000019</v>
      </c>
      <c r="I111" s="244">
        <f>+H111+SUMIFS('6 2024 BMI Query'!$G:$G,'6 2024 BMI Query'!$E:$E,$B111,'6 2024 BMI Query'!$C:$C,11)</f>
        <v>68670074.540000021</v>
      </c>
      <c r="J111" s="244">
        <f>+I111+SUMIFS('6 2024 BMI Query'!$G:$G,'6 2024 BMI Query'!$E:$E,$B111,'6 2024 BMI Query'!$C:$C,12)</f>
        <v>68494428.970000029</v>
      </c>
      <c r="K111" s="244">
        <f>+SUMIFS('7 2025 BMI Query'!$G:$G,'7 2025 BMI Query'!$E:$E,$B111,'7 2025 BMI Query'!$C:$C,0)+SUMIFS('7 2025 BMI Query'!$G:$G,'7 2025 BMI Query'!$E:$E,$B111,'7 2025 BMI Query'!$C:$C,1)</f>
        <v>68295818.870000005</v>
      </c>
      <c r="L111" s="244">
        <f>+K111+SUMIFS('7 2025 BMI Query'!$G:$G,'7 2025 BMI Query'!$E:$E,$B111,'7 2025 BMI Query'!$C:$C,2)</f>
        <v>68092114.120000005</v>
      </c>
      <c r="M111" s="244">
        <f>+L111+SUMIFS('7 2025 BMI Query'!$G:$G,'7 2025 BMI Query'!$E:$E,$B111,'7 2025 BMI Query'!$C:$C,3)</f>
        <v>67903745.280000001</v>
      </c>
      <c r="N111" s="244">
        <f>+M111+SUMIFS('7 2025 BMI Query'!$G:$G,'7 2025 BMI Query'!$E:$E,$B111,'7 2025 BMI Query'!$C:$C,4)</f>
        <v>67698732.140000001</v>
      </c>
      <c r="O111" s="244">
        <f>+N111+SUMIFS('7 2025 BMI Query'!$G:$G,'7 2025 BMI Query'!$E:$E,$B111,'7 2025 BMI Query'!$C:$C,5)</f>
        <v>67510227.010000005</v>
      </c>
      <c r="P111" s="244">
        <f>+O111+SUMIFS('7 2025 BMI Query'!$G:$G,'7 2025 BMI Query'!$E:$E,$B111,'7 2025 BMI Query'!$C:$C,6)</f>
        <v>65554148.900000006</v>
      </c>
      <c r="Q111" s="244">
        <f>+P111+SUMIFS('7 2025 BMI Query'!$G:$G,'7 2025 BMI Query'!$E:$E,$B111,'7 2025 BMI Query'!$C:$C,7)</f>
        <v>65272860.74000001</v>
      </c>
      <c r="R111" s="244">
        <f>+Q111+SUMIFS('7 2025 BMI Query'!$G:$G,'7 2025 BMI Query'!$E:$E,$B111,'7 2025 BMI Query'!$C:$C,8)</f>
        <v>65007223.150000006</v>
      </c>
      <c r="S111" s="244"/>
      <c r="T111" s="244"/>
      <c r="U111" s="244"/>
      <c r="V111" s="244"/>
      <c r="W111" s="244"/>
      <c r="X111" s="244"/>
      <c r="Y111" s="43" t="s">
        <v>508</v>
      </c>
    </row>
    <row r="112" spans="1:25" x14ac:dyDescent="0.25">
      <c r="A112" s="245" t="s">
        <v>491</v>
      </c>
      <c r="C112" s="244"/>
      <c r="D112" s="244"/>
      <c r="E112" s="244"/>
      <c r="F112" s="244"/>
      <c r="G112" s="244"/>
      <c r="H112" s="244"/>
      <c r="I112" s="244"/>
      <c r="J112" s="244"/>
      <c r="K112" s="244"/>
      <c r="L112" s="244"/>
      <c r="M112" s="244"/>
      <c r="N112" s="244"/>
      <c r="O112" s="244"/>
      <c r="P112" s="244"/>
      <c r="Q112" s="244"/>
      <c r="R112" s="244"/>
      <c r="S112" s="244"/>
      <c r="T112" s="244"/>
      <c r="U112" s="244"/>
      <c r="V112" s="244"/>
      <c r="W112" s="244"/>
      <c r="X112" s="244"/>
    </row>
    <row r="113" spans="1:25" ht="16.5" thickBot="1" x14ac:dyDescent="0.3">
      <c r="A113" s="50" t="s">
        <v>492</v>
      </c>
      <c r="C113" s="247">
        <f t="shared" ref="C113:X113" si="64">SUM(C109:C112)</f>
        <v>-35351618.939999998</v>
      </c>
      <c r="D113" s="247">
        <f t="shared" si="64"/>
        <v>-42031331.200000003</v>
      </c>
      <c r="E113" s="247">
        <f t="shared" si="64"/>
        <v>-44894366.739999995</v>
      </c>
      <c r="F113" s="247">
        <f t="shared" si="64"/>
        <v>-47001882.889999986</v>
      </c>
      <c r="G113" s="247">
        <f t="shared" si="64"/>
        <v>-49254475.700000003</v>
      </c>
      <c r="H113" s="247">
        <f t="shared" si="64"/>
        <v>-33696325.349999994</v>
      </c>
      <c r="I113" s="247">
        <f t="shared" si="64"/>
        <v>-37012844.560000002</v>
      </c>
      <c r="J113" s="247">
        <f t="shared" si="64"/>
        <v>-49590463.00999999</v>
      </c>
      <c r="K113" s="247">
        <f t="shared" si="64"/>
        <v>-52043072.350000009</v>
      </c>
      <c r="L113" s="247">
        <f t="shared" si="64"/>
        <v>-53267318.790000007</v>
      </c>
      <c r="M113" s="247">
        <f t="shared" si="64"/>
        <v>-55471491.230000004</v>
      </c>
      <c r="N113" s="247">
        <f t="shared" si="64"/>
        <v>-57568915.579999998</v>
      </c>
      <c r="O113" s="247">
        <f t="shared" si="64"/>
        <v>-59772044.090000004</v>
      </c>
      <c r="P113" s="247">
        <f t="shared" si="64"/>
        <v>-61803448.610000014</v>
      </c>
      <c r="Q113" s="247">
        <f t="shared" si="64"/>
        <v>-63762873.460000008</v>
      </c>
      <c r="R113" s="247">
        <f t="shared" si="64"/>
        <v>-65681205.460000008</v>
      </c>
      <c r="S113" s="58">
        <f t="shared" si="64"/>
        <v>0</v>
      </c>
      <c r="T113" s="58">
        <f t="shared" si="64"/>
        <v>0</v>
      </c>
      <c r="U113" s="58">
        <f t="shared" si="64"/>
        <v>0</v>
      </c>
      <c r="V113" s="58">
        <f t="shared" si="64"/>
        <v>0</v>
      </c>
      <c r="W113" s="58">
        <f t="shared" si="64"/>
        <v>0</v>
      </c>
      <c r="X113" s="58">
        <f t="shared" si="64"/>
        <v>0</v>
      </c>
    </row>
    <row r="114" spans="1:25" ht="16.5" thickTop="1" x14ac:dyDescent="0.25">
      <c r="A114" s="245" t="s">
        <v>493</v>
      </c>
      <c r="B114" s="238">
        <v>28211</v>
      </c>
      <c r="C114" s="248">
        <f>SUMIFS('6 2024 BMI Query'!$G:$G,'6 2024 BMI Query'!$D:$D,$B114,'6 2024 BMI Query'!$A:$A,$B92,'6 2024 BMI Query'!$C:$C,0)+SUMIFS('6 2024 BMI Query'!$G:$G,'6 2024 BMI Query'!$D:$D,$B114,'6 2024 BMI Query'!$A:$A,$B92,'6 2024 BMI Query'!$C:$C,1)+SUMIFS('6 2024 BMI Query'!$G:$G,'6 2024 BMI Query'!$D:$D,$B114,'6 2024 BMI Query'!$A:$A,$B92,'6 2024 BMI Query'!$C:$C,2)+SUMIFS('6 2024 BMI Query'!$G:$G,'6 2024 BMI Query'!$D:$D,$B114,'6 2024 BMI Query'!$A:$A,$B92,'6 2024 BMI Query'!$C:$C,3)</f>
        <v>-35351618.939999998</v>
      </c>
      <c r="D114" s="248">
        <f>+C114+SUMIFS('6 2024 BMI Query'!$G:$G,'6 2024 BMI Query'!$D:$D,$B114,'6 2024 BMI Query'!$A:$A,$B92,'6 2024 BMI Query'!$C:$C,4)+SUMIFS('6 2024 BMI Query'!$G:$G,'6 2024 BMI Query'!$D:$D,$B114,'6 2024 BMI Query'!$A:$A,$B92,'6 2024 BMI Query'!$C:$C,5)+SUMIFS('6 2024 BMI Query'!$G:$G,'6 2024 BMI Query'!$D:$D,$B114,'6 2024 BMI Query'!$A:$A,$B92,'6 2024 BMI Query'!$C:$C,6)</f>
        <v>-42031331.199999996</v>
      </c>
      <c r="E114" s="248">
        <f>+D114+SUMIFS('6 2024 BMI Query'!$G:$G,'6 2024 BMI Query'!$D:$D,$B114,'6 2024 BMI Query'!$A:$A,$B92,'6 2024 BMI Query'!$C:$C,7)</f>
        <v>-44894366.739999995</v>
      </c>
      <c r="F114" s="248">
        <f>+E114+SUMIFS('6 2024 BMI Query'!$G:$G,'6 2024 BMI Query'!$D:$D,$B114,'6 2024 BMI Query'!$A:$A,$B92,'6 2024 BMI Query'!$C:$C,8)</f>
        <v>-47001882.889999993</v>
      </c>
      <c r="G114" s="248">
        <f>+F114+SUMIFS('6 2024 BMI Query'!$G:$G,'6 2024 BMI Query'!$D:$D,$B114,'6 2024 BMI Query'!$A:$A,$B92,'6 2024 BMI Query'!$C:$C,9)</f>
        <v>-49254475.699999996</v>
      </c>
      <c r="H114" s="248">
        <f>+G114+SUMIFS('6 2024 BMI Query'!$G:$G,'6 2024 BMI Query'!$D:$D,$B114,'6 2024 BMI Query'!$A:$A,$B92,'6 2024 BMI Query'!$C:$C,10)</f>
        <v>-33696325.349999994</v>
      </c>
      <c r="I114" s="248">
        <f>+H114+SUMIFS('6 2024 BMI Query'!$G:$G,'6 2024 BMI Query'!$D:$D,$B114,'6 2024 BMI Query'!$A:$A,$B92,'6 2024 BMI Query'!$C:$C,11)</f>
        <v>-37012844.559999995</v>
      </c>
      <c r="J114" s="248">
        <f>+I114+SUMIFS('6 2024 BMI Query'!$G:$G,'6 2024 BMI Query'!$D:$D,$B114,'6 2024 BMI Query'!$A:$A,$B92,'6 2024 BMI Query'!$C:$C,12)</f>
        <v>-49590463.00999999</v>
      </c>
      <c r="K114" s="248">
        <f>SUMIFS('7 2025 BMI Query'!$G:$G,'7 2025 BMI Query'!$D:$D,$B114,'7 2025 BMI Query'!$A:$A,$B92,'7 2025 BMI Query'!$C:$C,0)+SUMIFS('7 2025 BMI Query'!$G:$G,'7 2025 BMI Query'!$D:$D,$B114,'7 2025 BMI Query'!$A:$A,$B92,'7 2025 BMI Query'!$C:$C,1)</f>
        <v>-52043072.350000009</v>
      </c>
      <c r="L114" s="248">
        <f>+K114+SUMIFS('7 2025 BMI Query'!$G:$G,'7 2025 BMI Query'!$D:$D,$B114,'7 2025 BMI Query'!$A:$A,$B92,'7 2025 BMI Query'!$C:$C,2)</f>
        <v>-53267318.790000007</v>
      </c>
      <c r="M114" s="248">
        <f>+L114+SUMIFS('7 2025 BMI Query'!$G:$G,'7 2025 BMI Query'!$D:$D,$B114,'7 2025 BMI Query'!$A:$A,$B92,'7 2025 BMI Query'!$C:$C,3)</f>
        <v>-55471491.230000004</v>
      </c>
      <c r="N114" s="248">
        <f>+M114+SUMIFS('7 2025 BMI Query'!$G:$G,'7 2025 BMI Query'!$D:$D,$B114,'7 2025 BMI Query'!$A:$A,$B92,'7 2025 BMI Query'!$C:$C,4)</f>
        <v>-57568915.580000006</v>
      </c>
      <c r="O114" s="248">
        <f>+N114+SUMIFS('7 2025 BMI Query'!$G:$G,'7 2025 BMI Query'!$D:$D,$B114,'7 2025 BMI Query'!$A:$A,$B92,'7 2025 BMI Query'!$C:$C,5)</f>
        <v>-59772044.090000004</v>
      </c>
      <c r="P114" s="248">
        <f>+O114+SUMIFS('7 2025 BMI Query'!$G:$G,'7 2025 BMI Query'!$D:$D,$B114,'7 2025 BMI Query'!$A:$A,$B92,'7 2025 BMI Query'!$C:$C,6)</f>
        <v>-61803448.610000007</v>
      </c>
      <c r="Q114" s="248">
        <f>+P114+SUMIFS('7 2025 BMI Query'!$G:$G,'7 2025 BMI Query'!$D:$D,$B114,'7 2025 BMI Query'!$A:$A,$B92,'7 2025 BMI Query'!$C:$C,7)</f>
        <v>-63762873.460000008</v>
      </c>
      <c r="R114" s="248">
        <f>+Q114+SUMIFS('7 2025 BMI Query'!$G:$G,'7 2025 BMI Query'!$D:$D,$B114,'7 2025 BMI Query'!$A:$A,$B92,'7 2025 BMI Query'!$C:$C,8)</f>
        <v>-65681205.460000008</v>
      </c>
      <c r="S114" s="248"/>
      <c r="T114" s="248"/>
      <c r="U114" s="248"/>
      <c r="V114" s="248"/>
      <c r="W114" s="248"/>
      <c r="X114" s="248"/>
    </row>
    <row r="115" spans="1:25" x14ac:dyDescent="0.25">
      <c r="A115" s="245"/>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row>
    <row r="116" spans="1:25" x14ac:dyDescent="0.25">
      <c r="A116" s="50"/>
    </row>
    <row r="117" spans="1:25" x14ac:dyDescent="0.25">
      <c r="A117" s="50" t="s">
        <v>477</v>
      </c>
      <c r="B117" s="238" t="s">
        <v>406</v>
      </c>
      <c r="C117" s="244">
        <f>+SUMIFS('6 2024 BMI Query'!$G:$G,'6 2024 BMI Query'!$E:$E,$B117,'6 2024 BMI Query'!$C:$C,0)+SUMIFS('6 2024 BMI Query'!$G:$G,'6 2024 BMI Query'!$E:$E,$B117,'6 2024 BMI Query'!$C:$C,1)+SUMIFS('6 2024 BMI Query'!$G:$G,'6 2024 BMI Query'!$E:$E,$B117,'6 2024 BMI Query'!$C:$C,2)+SUMIFS('6 2024 BMI Query'!$G:$G,'6 2024 BMI Query'!$E:$E,$B117,'6 2024 BMI Query'!$C:$C,3)</f>
        <v>0</v>
      </c>
      <c r="D117" s="244">
        <f>+C117+SUMIFS('6 2024 BMI Query'!$G:$G,'6 2024 BMI Query'!$E:$E,$B117,'6 2024 BMI Query'!$C:$C,4)+SUMIFS('6 2024 BMI Query'!$G:$G,'6 2024 BMI Query'!$E:$E,$B117,'6 2024 BMI Query'!$C:$C,5)+SUMIFS('6 2024 BMI Query'!$G:$G,'6 2024 BMI Query'!$E:$E,$B117,'6 2024 BMI Query'!$C:$C,6)</f>
        <v>0</v>
      </c>
      <c r="E117" s="244">
        <f>+D117+SUMIFS('6 2024 BMI Query'!$G:$G,'6 2024 BMI Query'!$E:$E,$B117,'6 2024 BMI Query'!$C:$C,7)</f>
        <v>0</v>
      </c>
      <c r="F117" s="244">
        <f>+E117+SUMIFS('6 2024 BMI Query'!$G:$G,'6 2024 BMI Query'!$E:$E,$B117,'6 2024 BMI Query'!$C:$C,8)</f>
        <v>0</v>
      </c>
      <c r="G117" s="244">
        <f>+F117+SUMIFS('6 2024 BMI Query'!$G:$G,'6 2024 BMI Query'!$E:$E,$B117,'6 2024 BMI Query'!$C:$C,9)</f>
        <v>0</v>
      </c>
      <c r="H117" s="244">
        <f>+G117+SUMIFS('6 2024 BMI Query'!$G:$G,'6 2024 BMI Query'!$E:$E,$B117,'6 2024 BMI Query'!$C:$C,10)</f>
        <v>0</v>
      </c>
      <c r="I117" s="244">
        <f>+H117+SUMIFS('6 2024 BMI Query'!$G:$G,'6 2024 BMI Query'!$E:$E,$B117,'6 2024 BMI Query'!$C:$C,11)</f>
        <v>0</v>
      </c>
      <c r="J117" s="244">
        <f>+I117+SUMIFS('6 2024 BMI Query'!$G:$G,'6 2024 BMI Query'!$E:$E,$B117,'6 2024 BMI Query'!$C:$C,12)</f>
        <v>0</v>
      </c>
      <c r="K117" s="244">
        <f>+SUMIFS('7 2025 BMI Query'!$G:$G,'7 2025 BMI Query'!$E:$E,$B117,'7 2025 BMI Query'!$C:$C,0)+SUMIFS('7 2025 BMI Query'!$G:$G,'7 2025 BMI Query'!$E:$E,$B117,'7 2025 BMI Query'!$C:$C,1)</f>
        <v>0</v>
      </c>
      <c r="L117" s="244">
        <f>+K117+SUMIFS('7 2025 BMI Query'!$G:$G,'7 2025 BMI Query'!$E:$E,$B117,'7 2025 BMI Query'!$C:$C,2)</f>
        <v>0</v>
      </c>
      <c r="M117" s="244">
        <f>+L117+SUMIFS('7 2025 BMI Query'!$G:$G,'7 2025 BMI Query'!$E:$E,$B117,'7 2025 BMI Query'!$C:$C,3)</f>
        <v>0</v>
      </c>
      <c r="N117" s="244">
        <f>+M117+SUMIFS('7 2025 BMI Query'!$G:$G,'7 2025 BMI Query'!$E:$E,$B117,'7 2025 BMI Query'!$C:$C,4)</f>
        <v>0</v>
      </c>
      <c r="O117" s="244">
        <f>+N117+SUMIFS('7 2025 BMI Query'!$G:$G,'7 2025 BMI Query'!$E:$E,$B117,'7 2025 BMI Query'!$C:$C,5)</f>
        <v>0</v>
      </c>
      <c r="P117" s="244">
        <f>+O117+SUMIFS('7 2025 BMI Query'!$G:$G,'7 2025 BMI Query'!$E:$E,$B117,'7 2025 BMI Query'!$C:$C,6)</f>
        <v>0</v>
      </c>
      <c r="Q117" s="244">
        <f>+P117+SUMIFS('7 2025 BMI Query'!$G:$G,'7 2025 BMI Query'!$E:$E,$B117,'7 2025 BMI Query'!$C:$C,7)</f>
        <v>0</v>
      </c>
      <c r="R117" s="244">
        <f>+Q117+SUMIFS('7 2025 BMI Query'!$G:$G,'7 2025 BMI Query'!$E:$E,$B117,'7 2025 BMI Query'!$C:$C,8)</f>
        <v>0</v>
      </c>
      <c r="S117" s="244"/>
      <c r="T117" s="244"/>
      <c r="U117" s="244"/>
      <c r="V117" s="244"/>
      <c r="W117" s="244"/>
      <c r="X117" s="244"/>
      <c r="Y117" s="43" t="s">
        <v>476</v>
      </c>
    </row>
    <row r="118" spans="1:25" x14ac:dyDescent="0.25">
      <c r="A118" s="50" t="s">
        <v>124</v>
      </c>
      <c r="B118" s="238">
        <v>928301461</v>
      </c>
      <c r="C118" s="244">
        <f>+SUMIFS('6 2024 BMI Query'!$G:$G,'6 2024 BMI Query'!$E:$E,$B118,'6 2024 BMI Query'!$C:$C,0)+SUMIFS('6 2024 BMI Query'!$G:$G,'6 2024 BMI Query'!$E:$E,$B118,'6 2024 BMI Query'!$C:$C,1)+SUMIFS('6 2024 BMI Query'!$G:$G,'6 2024 BMI Query'!$E:$E,$B118,'6 2024 BMI Query'!$C:$C,2)+SUMIFS('6 2024 BMI Query'!$G:$G,'6 2024 BMI Query'!$E:$E,$B118,'6 2024 BMI Query'!$C:$C,3)</f>
        <v>-5796373.1900000004</v>
      </c>
      <c r="D118" s="244">
        <f>+C118+SUMIFS('6 2024 BMI Query'!$G:$G,'6 2024 BMI Query'!$E:$E,$B118,'6 2024 BMI Query'!$C:$C,4)+SUMIFS('6 2024 BMI Query'!$G:$G,'6 2024 BMI Query'!$E:$E,$B118,'6 2024 BMI Query'!$C:$C,5)+SUMIFS('6 2024 BMI Query'!$G:$G,'6 2024 BMI Query'!$E:$E,$B118,'6 2024 BMI Query'!$C:$C,6)</f>
        <v>-5380630.1900000004</v>
      </c>
      <c r="E118" s="244">
        <f>+D118+SUMIFS('6 2024 BMI Query'!$G:$G,'6 2024 BMI Query'!$E:$E,$B118,'6 2024 BMI Query'!$C:$C,7)</f>
        <v>-5242049.1900000004</v>
      </c>
      <c r="F118" s="244">
        <f>+E118+SUMIFS('6 2024 BMI Query'!$G:$G,'6 2024 BMI Query'!$E:$E,$B118,'6 2024 BMI Query'!$C:$C,8)</f>
        <v>-5103468.1900000004</v>
      </c>
      <c r="G118" s="244">
        <f>+F118+SUMIFS('6 2024 BMI Query'!$G:$G,'6 2024 BMI Query'!$E:$E,$B118,'6 2024 BMI Query'!$C:$C,9)</f>
        <v>-4964887.1900000004</v>
      </c>
      <c r="H118" s="244">
        <f>+G118+SUMIFS('6 2024 BMI Query'!$G:$G,'6 2024 BMI Query'!$E:$E,$B118,'6 2024 BMI Query'!$C:$C,10)</f>
        <v>-4826306.1900000004</v>
      </c>
      <c r="I118" s="244">
        <f>+H118+SUMIFS('6 2024 BMI Query'!$G:$G,'6 2024 BMI Query'!$E:$E,$B118,'6 2024 BMI Query'!$C:$C,11)</f>
        <v>-4687725.1900000004</v>
      </c>
      <c r="J118" s="244">
        <f>+I118+SUMIFS('6 2024 BMI Query'!$G:$G,'6 2024 BMI Query'!$E:$E,$B118,'6 2024 BMI Query'!$C:$C,12)</f>
        <v>-4549144.1900000004</v>
      </c>
      <c r="K118" s="244">
        <f>+SUMIFS('7 2025 BMI Query'!$G:$G,'7 2025 BMI Query'!$E:$E,$B118,'7 2025 BMI Query'!$C:$C,0)+SUMIFS('7 2025 BMI Query'!$G:$G,'7 2025 BMI Query'!$E:$E,$B118,'7 2025 BMI Query'!$C:$C,1)</f>
        <v>-4410563.1900000004</v>
      </c>
      <c r="L118" s="244">
        <f>+K118+SUMIFS('7 2025 BMI Query'!$G:$G,'7 2025 BMI Query'!$E:$E,$B118,'7 2025 BMI Query'!$C:$C,2)</f>
        <v>-4271982.1900000004</v>
      </c>
      <c r="M118" s="244">
        <f>+L118+SUMIFS('7 2025 BMI Query'!$G:$G,'7 2025 BMI Query'!$E:$E,$B118,'7 2025 BMI Query'!$C:$C,3)</f>
        <v>-4133401.1900000004</v>
      </c>
      <c r="N118" s="244">
        <f>+M118+SUMIFS('7 2025 BMI Query'!$G:$G,'7 2025 BMI Query'!$E:$E,$B118,'7 2025 BMI Query'!$C:$C,4)</f>
        <v>-3994820.1900000004</v>
      </c>
      <c r="O118" s="244">
        <f>+N118+SUMIFS('7 2025 BMI Query'!$G:$G,'7 2025 BMI Query'!$E:$E,$B118,'7 2025 BMI Query'!$C:$C,5)</f>
        <v>-3856239.1900000004</v>
      </c>
      <c r="P118" s="244">
        <f>+O118+SUMIFS('7 2025 BMI Query'!$G:$G,'7 2025 BMI Query'!$E:$E,$B118,'7 2025 BMI Query'!$C:$C,6)</f>
        <v>-3717658.1900000004</v>
      </c>
      <c r="Q118" s="244">
        <f>+P118+SUMIFS('7 2025 BMI Query'!$G:$G,'7 2025 BMI Query'!$E:$E,$B118,'7 2025 BMI Query'!$C:$C,7)</f>
        <v>-3579077.1900000004</v>
      </c>
      <c r="R118" s="244">
        <f>+Q118+SUMIFS('7 2025 BMI Query'!$G:$G,'7 2025 BMI Query'!$E:$E,$B118,'7 2025 BMI Query'!$C:$C,8)</f>
        <v>-3440496.1900000004</v>
      </c>
      <c r="S118" s="244"/>
      <c r="T118" s="244"/>
      <c r="U118" s="244"/>
      <c r="V118" s="244"/>
      <c r="W118" s="244"/>
      <c r="X118" s="244"/>
    </row>
    <row r="119" spans="1:25" x14ac:dyDescent="0.25">
      <c r="A119" s="50" t="s">
        <v>478</v>
      </c>
      <c r="B119" s="238" t="s">
        <v>407</v>
      </c>
      <c r="C119" s="244">
        <f>+SUMIFS('6 2024 BMI Query'!$G:$G,'6 2024 BMI Query'!$E:$E,$B119,'6 2024 BMI Query'!$C:$C,0)+SUMIFS('6 2024 BMI Query'!$G:$G,'6 2024 BMI Query'!$E:$E,$B119,'6 2024 BMI Query'!$C:$C,1)+SUMIFS('6 2024 BMI Query'!$G:$G,'6 2024 BMI Query'!$E:$E,$B119,'6 2024 BMI Query'!$C:$C,2)+SUMIFS('6 2024 BMI Query'!$G:$G,'6 2024 BMI Query'!$E:$E,$B119,'6 2024 BMI Query'!$C:$C,3)</f>
        <v>5796373.1900000004</v>
      </c>
      <c r="D119" s="244">
        <f>+C119+SUMIFS('6 2024 BMI Query'!$G:$G,'6 2024 BMI Query'!$E:$E,$B119,'6 2024 BMI Query'!$C:$C,4)+SUMIFS('6 2024 BMI Query'!$G:$G,'6 2024 BMI Query'!$E:$E,$B119,'6 2024 BMI Query'!$C:$C,5)+SUMIFS('6 2024 BMI Query'!$G:$G,'6 2024 BMI Query'!$E:$E,$B119,'6 2024 BMI Query'!$C:$C,6)</f>
        <v>5380630.1900000004</v>
      </c>
      <c r="E119" s="244">
        <f>+D119+SUMIFS('6 2024 BMI Query'!$G:$G,'6 2024 BMI Query'!$E:$E,$B119,'6 2024 BMI Query'!$C:$C,7)</f>
        <v>5242049.1900000004</v>
      </c>
      <c r="F119" s="244">
        <f>+E119+SUMIFS('6 2024 BMI Query'!$G:$G,'6 2024 BMI Query'!$E:$E,$B119,'6 2024 BMI Query'!$C:$C,8)</f>
        <v>5103468.1900000004</v>
      </c>
      <c r="G119" s="244">
        <f>+F119+SUMIFS('6 2024 BMI Query'!$G:$G,'6 2024 BMI Query'!$E:$E,$B119,'6 2024 BMI Query'!$C:$C,9)</f>
        <v>4964887.1900000004</v>
      </c>
      <c r="H119" s="244">
        <f>+G119+SUMIFS('6 2024 BMI Query'!$G:$G,'6 2024 BMI Query'!$E:$E,$B119,'6 2024 BMI Query'!$C:$C,10)</f>
        <v>4826306.1900000004</v>
      </c>
      <c r="I119" s="244">
        <f>+H119+SUMIFS('6 2024 BMI Query'!$G:$G,'6 2024 BMI Query'!$E:$E,$B119,'6 2024 BMI Query'!$C:$C,11)</f>
        <v>4687725.1900000004</v>
      </c>
      <c r="J119" s="244">
        <f>+I119+SUMIFS('6 2024 BMI Query'!$G:$G,'6 2024 BMI Query'!$E:$E,$B119,'6 2024 BMI Query'!$C:$C,12)</f>
        <v>4549144.1900000004</v>
      </c>
      <c r="K119" s="244">
        <f>+SUMIFS('7 2025 BMI Query'!$G:$G,'7 2025 BMI Query'!$E:$E,$B119,'7 2025 BMI Query'!$C:$C,0)+SUMIFS('7 2025 BMI Query'!$G:$G,'7 2025 BMI Query'!$E:$E,$B119,'7 2025 BMI Query'!$C:$C,1)</f>
        <v>4410563.1900000004</v>
      </c>
      <c r="L119" s="244">
        <f>+K119+SUMIFS('7 2025 BMI Query'!$G:$G,'7 2025 BMI Query'!$E:$E,$B119,'7 2025 BMI Query'!$C:$C,2)</f>
        <v>4271982.1900000004</v>
      </c>
      <c r="M119" s="244">
        <f>+L119+SUMIFS('7 2025 BMI Query'!$G:$G,'7 2025 BMI Query'!$E:$E,$B119,'7 2025 BMI Query'!$C:$C,3)</f>
        <v>4133401.1900000004</v>
      </c>
      <c r="N119" s="244">
        <f>+M119+SUMIFS('7 2025 BMI Query'!$G:$G,'7 2025 BMI Query'!$E:$E,$B119,'7 2025 BMI Query'!$C:$C,4)</f>
        <v>3994820.1900000004</v>
      </c>
      <c r="O119" s="244">
        <f>+N119+SUMIFS('7 2025 BMI Query'!$G:$G,'7 2025 BMI Query'!$E:$E,$B119,'7 2025 BMI Query'!$C:$C,5)</f>
        <v>3856239.1900000004</v>
      </c>
      <c r="P119" s="244">
        <f>+O119+SUMIFS('7 2025 BMI Query'!$G:$G,'7 2025 BMI Query'!$E:$E,$B119,'7 2025 BMI Query'!$C:$C,6)</f>
        <v>3717658.1900000004</v>
      </c>
      <c r="Q119" s="244">
        <f>+P119+SUMIFS('7 2025 BMI Query'!$G:$G,'7 2025 BMI Query'!$E:$E,$B119,'7 2025 BMI Query'!$C:$C,7)</f>
        <v>3579077.1900000004</v>
      </c>
      <c r="R119" s="244">
        <f>+Q119+SUMIFS('7 2025 BMI Query'!$G:$G,'7 2025 BMI Query'!$E:$E,$B119,'7 2025 BMI Query'!$C:$C,8)</f>
        <v>3440496.1900000004</v>
      </c>
      <c r="S119" s="244"/>
      <c r="T119" s="244"/>
      <c r="U119" s="244"/>
      <c r="V119" s="244"/>
      <c r="W119" s="244"/>
      <c r="X119" s="244"/>
      <c r="Y119" s="43" t="s">
        <v>476</v>
      </c>
    </row>
    <row r="120" spans="1:25" x14ac:dyDescent="0.25">
      <c r="A120" s="50" t="s">
        <v>479</v>
      </c>
      <c r="B120" s="238" t="s">
        <v>408</v>
      </c>
      <c r="C120" s="244">
        <f>+SUMIFS('6 2024 BMI Query'!$G:$G,'6 2024 BMI Query'!$E:$E,$B120,'6 2024 BMI Query'!$C:$C,0)+SUMIFS('6 2024 BMI Query'!$G:$G,'6 2024 BMI Query'!$E:$E,$B120,'6 2024 BMI Query'!$C:$C,1)+SUMIFS('6 2024 BMI Query'!$G:$G,'6 2024 BMI Query'!$E:$E,$B120,'6 2024 BMI Query'!$C:$C,2)+SUMIFS('6 2024 BMI Query'!$G:$G,'6 2024 BMI Query'!$E:$E,$B120,'6 2024 BMI Query'!$C:$C,3)</f>
        <v>-1592850.5999999996</v>
      </c>
      <c r="D120" s="244">
        <f>+C120+SUMIFS('6 2024 BMI Query'!$G:$G,'6 2024 BMI Query'!$E:$E,$B120,'6 2024 BMI Query'!$C:$C,4)+SUMIFS('6 2024 BMI Query'!$G:$G,'6 2024 BMI Query'!$E:$E,$B120,'6 2024 BMI Query'!$C:$C,5)+SUMIFS('6 2024 BMI Query'!$G:$G,'6 2024 BMI Query'!$E:$E,$B120,'6 2024 BMI Query'!$C:$C,6)</f>
        <v>-1479406.7399999993</v>
      </c>
      <c r="E120" s="244">
        <f>+D120+SUMIFS('6 2024 BMI Query'!$G:$G,'6 2024 BMI Query'!$E:$E,$B120,'6 2024 BMI Query'!$C:$C,7)</f>
        <v>-1441592.1199999992</v>
      </c>
      <c r="F120" s="244">
        <f>+E120+SUMIFS('6 2024 BMI Query'!$G:$G,'6 2024 BMI Query'!$E:$E,$B120,'6 2024 BMI Query'!$C:$C,8)</f>
        <v>-1403777.4999999991</v>
      </c>
      <c r="G120" s="244">
        <f>+F120+SUMIFS('6 2024 BMI Query'!$G:$G,'6 2024 BMI Query'!$E:$E,$B120,'6 2024 BMI Query'!$C:$C,9)</f>
        <v>-1365962.879999999</v>
      </c>
      <c r="H120" s="244">
        <f>+G120+SUMIFS('6 2024 BMI Query'!$G:$G,'6 2024 BMI Query'!$E:$E,$B120,'6 2024 BMI Query'!$C:$C,10)</f>
        <v>-1328148.2599999988</v>
      </c>
      <c r="I120" s="244">
        <f>+H120+SUMIFS('6 2024 BMI Query'!$G:$G,'6 2024 BMI Query'!$E:$E,$B120,'6 2024 BMI Query'!$C:$C,11)</f>
        <v>-1290333.6399999987</v>
      </c>
      <c r="J120" s="244">
        <f>+I120+SUMIFS('6 2024 BMI Query'!$G:$G,'6 2024 BMI Query'!$E:$E,$B120,'6 2024 BMI Query'!$C:$C,12)</f>
        <v>-1252519.0199999986</v>
      </c>
      <c r="K120" s="244">
        <f>+SUMIFS('7 2025 BMI Query'!$G:$G,'7 2025 BMI Query'!$E:$E,$B120,'7 2025 BMI Query'!$C:$C,0)+SUMIFS('7 2025 BMI Query'!$G:$G,'7 2025 BMI Query'!$E:$E,$B120,'7 2025 BMI Query'!$C:$C,1)</f>
        <v>-1214704.3999999999</v>
      </c>
      <c r="L120" s="244">
        <f>+K120+SUMIFS('7 2025 BMI Query'!$G:$G,'7 2025 BMI Query'!$E:$E,$B120,'7 2025 BMI Query'!$C:$C,2)</f>
        <v>-1176889.7799999998</v>
      </c>
      <c r="M120" s="244">
        <f>+L120+SUMIFS('7 2025 BMI Query'!$G:$G,'7 2025 BMI Query'!$E:$E,$B120,'7 2025 BMI Query'!$C:$C,3)</f>
        <v>-1139075.1599999997</v>
      </c>
      <c r="N120" s="244">
        <f>+M120+SUMIFS('7 2025 BMI Query'!$G:$G,'7 2025 BMI Query'!$E:$E,$B120,'7 2025 BMI Query'!$C:$C,4)</f>
        <v>-1101260.5399999996</v>
      </c>
      <c r="O120" s="244">
        <f>+N120+SUMIFS('7 2025 BMI Query'!$G:$G,'7 2025 BMI Query'!$E:$E,$B120,'7 2025 BMI Query'!$C:$C,5)</f>
        <v>-1063445.9199999995</v>
      </c>
      <c r="P120" s="244">
        <f>+O120+SUMIFS('7 2025 BMI Query'!$G:$G,'7 2025 BMI Query'!$E:$E,$B120,'7 2025 BMI Query'!$C:$C,6)</f>
        <v>-1025631.2999999995</v>
      </c>
      <c r="Q120" s="244">
        <f>+P120+SUMIFS('7 2025 BMI Query'!$G:$G,'7 2025 BMI Query'!$E:$E,$B120,'7 2025 BMI Query'!$C:$C,7)</f>
        <v>-987816.67999999947</v>
      </c>
      <c r="R120" s="244">
        <f>+Q120+SUMIFS('7 2025 BMI Query'!$G:$G,'7 2025 BMI Query'!$E:$E,$B120,'7 2025 BMI Query'!$C:$C,8)</f>
        <v>-950002.05999999947</v>
      </c>
      <c r="S120" s="244"/>
      <c r="T120" s="244"/>
      <c r="U120" s="244"/>
      <c r="V120" s="244"/>
      <c r="W120" s="244"/>
      <c r="X120" s="244"/>
      <c r="Y120" s="43" t="s">
        <v>476</v>
      </c>
    </row>
    <row r="121" spans="1:25" x14ac:dyDescent="0.25">
      <c r="A121" s="50" t="s">
        <v>494</v>
      </c>
      <c r="B121" s="238" t="s">
        <v>495</v>
      </c>
      <c r="C121" s="244">
        <f>+SUMIFS('6 2024 BMI Query'!$G:$G,'6 2024 BMI Query'!$E:$E,$B121,'6 2024 BMI Query'!$A:$A,$B92,'6 2024 BMI Query'!$C:$C,0)+SUMIFS('6 2024 BMI Query'!$G:$G,'6 2024 BMI Query'!$E:$E,$B121,'6 2024 BMI Query'!$A:$A,$B92,'6 2024 BMI Query'!$C:$C,1)+SUMIFS('6 2024 BMI Query'!$G:$G,'6 2024 BMI Query'!$E:$E,$B121,'6 2024 BMI Query'!$A:$A,$B92,'6 2024 BMI Query'!$C:$C,2)+SUMIFS('6 2024 BMI Query'!$G:$G,'6 2024 BMI Query'!$E:$E,$B121,'6 2024 BMI Query'!$A:$A,$B92,'6 2024 BMI Query'!$C:$C,3)</f>
        <v>-51255730.780000001</v>
      </c>
      <c r="D121" s="244">
        <f>+C121+SUMIFS('6 2024 BMI Query'!$G:$G,'6 2024 BMI Query'!$E:$E,$B121,'6 2024 BMI Query'!$A:$A,$B92,'6 2024 BMI Query'!$C:$C,4)+SUMIFS('6 2024 BMI Query'!$G:$G,'6 2024 BMI Query'!$E:$E,$B121,'6 2024 BMI Query'!$A:$A,$B92,'6 2024 BMI Query'!$C:$C,5)+SUMIFS('6 2024 BMI Query'!$G:$G,'6 2024 BMI Query'!$E:$E,$B121,'6 2024 BMI Query'!$A:$A,$B92,'6 2024 BMI Query'!$C:$C,6)</f>
        <v>-50243973.539999999</v>
      </c>
      <c r="E121" s="244">
        <f>+D121+SUMIFS('6 2024 BMI Query'!$G:$G,'6 2024 BMI Query'!$E:$E,$B121,'6 2024 BMI Query'!$A:$A,$B92,'6 2024 BMI Query'!$C:$C,7)</f>
        <v>-51270305.479999997</v>
      </c>
      <c r="F121" s="244">
        <f>+E121+SUMIFS('6 2024 BMI Query'!$G:$G,'6 2024 BMI Query'!$E:$E,$B121,'6 2024 BMI Query'!$A:$A,$B92,'6 2024 BMI Query'!$C:$C,8)</f>
        <v>-53995077.809999995</v>
      </c>
      <c r="G121" s="244">
        <f>+F121+SUMIFS('6 2024 BMI Query'!$G:$G,'6 2024 BMI Query'!$E:$E,$B121,'6 2024 BMI Query'!$A:$A,$B92,'6 2024 BMI Query'!$C:$C,9)</f>
        <v>-53112554.099999994</v>
      </c>
      <c r="H121" s="244">
        <f>+G121+SUMIFS('6 2024 BMI Query'!$G:$G,'6 2024 BMI Query'!$E:$E,$B121,'6 2024 BMI Query'!$C:$C,10)</f>
        <v>-33204808.989999995</v>
      </c>
      <c r="I121" s="244">
        <f>+H121+SUMIFS('6 2024 BMI Query'!$G:$G,'6 2024 BMI Query'!$E:$E,$B121,'6 2024 BMI Query'!$C:$C,11)</f>
        <v>-29476068.249999993</v>
      </c>
      <c r="J121" s="244">
        <f>+I121+SUMIFS('6 2024 BMI Query'!$G:$G,'6 2024 BMI Query'!$E:$E,$B121,'6 2024 BMI Query'!$C:$C,12)</f>
        <v>-25550524.689999994</v>
      </c>
      <c r="K121" s="244">
        <f>+SUMIFS('7 2025 BMI Query'!$G:$G,'7 2025 BMI Query'!$E:$E,$B121,'7 2025 BMI Query'!$A:$A,$B92,'7 2025 BMI Query'!$C:$C,0)+SUMIFS('7 2025 BMI Query'!$G:$G,'7 2025 BMI Query'!$E:$E,$B121,'7 2025 BMI Query'!$A:$A,$B92,'7 2025 BMI Query'!$C:$C,1)</f>
        <v>-34632572.980000004</v>
      </c>
      <c r="L121" s="244">
        <f>+K121+SUMIFS('7 2025 BMI Query'!$G:$G,'7 2025 BMI Query'!$E:$E,$B121,'7 2025 BMI Query'!$A:$A,$B92,'7 2025 BMI Query'!$C:$C,2)</f>
        <v>-32729127.130000003</v>
      </c>
      <c r="M121" s="244">
        <f>+L121+SUMIFS('7 2025 BMI Query'!$G:$G,'7 2025 BMI Query'!$E:$E,$B121,'7 2025 BMI Query'!$A:$A,$B92,'7 2025 BMI Query'!$C:$C,3)</f>
        <v>-32791850.930000003</v>
      </c>
      <c r="N121" s="244">
        <f>+M121+SUMIFS('7 2025 BMI Query'!$G:$G,'7 2025 BMI Query'!$E:$E,$B121,'7 2025 BMI Query'!$A:$A,$B92,'7 2025 BMI Query'!$C:$C,4)</f>
        <v>-33100198.340000004</v>
      </c>
      <c r="O121" s="244">
        <f>+N121+SUMIFS('7 2025 BMI Query'!$G:$G,'7 2025 BMI Query'!$E:$E,$B121,'7 2025 BMI Query'!$A:$A,$B92,'7 2025 BMI Query'!$C:$C,5)</f>
        <v>-34041716.660000004</v>
      </c>
      <c r="P121" s="244">
        <f>+O121+SUMIFS('7 2025 BMI Query'!$G:$G,'7 2025 BMI Query'!$E:$E,$B121,'7 2025 BMI Query'!$A:$A,$B92,'7 2025 BMI Query'!$C:$C,6)</f>
        <v>-34087183.830000006</v>
      </c>
      <c r="Q121" s="244">
        <f>+P121+SUMIFS('7 2025 BMI Query'!$G:$G,'7 2025 BMI Query'!$E:$E,$B121,'7 2025 BMI Query'!$A:$A,$B92,'7 2025 BMI Query'!$C:$C,7)</f>
        <v>-36162550.620000005</v>
      </c>
      <c r="R121" s="244">
        <f>+Q121+SUMIFS('7 2025 BMI Query'!$G:$G,'7 2025 BMI Query'!$E:$E,$B121,'7 2025 BMI Query'!$A:$A,$B92,'7 2025 BMI Query'!$C:$C,8)</f>
        <v>-36017345.050000004</v>
      </c>
      <c r="S121" s="244"/>
      <c r="T121" s="244"/>
      <c r="U121" s="244"/>
      <c r="V121" s="244"/>
      <c r="W121" s="244"/>
      <c r="X121" s="244"/>
    </row>
    <row r="122" spans="1:25" x14ac:dyDescent="0.25">
      <c r="A122" s="50" t="s">
        <v>496</v>
      </c>
      <c r="B122" s="238" t="s">
        <v>497</v>
      </c>
      <c r="C122" s="244">
        <f>+SUMIFS('6 2024 BMI Query'!$G:$G,'6 2024 BMI Query'!$E:$E,$B122,'6 2024 BMI Query'!$A:$A,$B92,'6 2024 BMI Query'!$C:$C,0)+SUMIFS('6 2024 BMI Query'!$G:$G,'6 2024 BMI Query'!$E:$E,$B122,'6 2024 BMI Query'!$A:$A,$B92,'6 2024 BMI Query'!$C:$C,1)+SUMIFS('6 2024 BMI Query'!$G:$G,'6 2024 BMI Query'!$E:$E,$B122,'6 2024 BMI Query'!$A:$A,$B92,'6 2024 BMI Query'!$C:$C,2)+SUMIFS('6 2024 BMI Query'!$G:$G,'6 2024 BMI Query'!$E:$E,$B122,'6 2024 BMI Query'!$A:$A,$B92,'6 2024 BMI Query'!$C:$C,3)</f>
        <v>-11087875.200000001</v>
      </c>
      <c r="D122" s="244">
        <f>+C122+SUMIFS('6 2024 BMI Query'!$G:$G,'6 2024 BMI Query'!$E:$E,$B122,'6 2024 BMI Query'!$A:$A,$B92,'6 2024 BMI Query'!$C:$C,4)+SUMIFS('6 2024 BMI Query'!$G:$G,'6 2024 BMI Query'!$E:$E,$B122,'6 2024 BMI Query'!$A:$A,$B92,'6 2024 BMI Query'!$C:$C,5)+SUMIFS('6 2024 BMI Query'!$G:$G,'6 2024 BMI Query'!$E:$E,$B122,'6 2024 BMI Query'!$A:$A,$B92,'6 2024 BMI Query'!$C:$C,6)</f>
        <v>-11087333.950000001</v>
      </c>
      <c r="E122" s="244">
        <f>+D122+SUMIFS('6 2024 BMI Query'!$G:$G,'6 2024 BMI Query'!$E:$E,$B122,'6 2024 BMI Query'!$A:$A,$B92,'6 2024 BMI Query'!$C:$C,7)</f>
        <v>-11087333.950000001</v>
      </c>
      <c r="F122" s="244">
        <f>+E122+SUMIFS('6 2024 BMI Query'!$G:$G,'6 2024 BMI Query'!$E:$E,$B122,'6 2024 BMI Query'!$A:$A,$B92,'6 2024 BMI Query'!$C:$C,8)</f>
        <v>-11087333.950000001</v>
      </c>
      <c r="G122" s="244">
        <f>+F122+SUMIFS('6 2024 BMI Query'!$G:$G,'6 2024 BMI Query'!$E:$E,$B122,'6 2024 BMI Query'!$A:$A,$B92,'6 2024 BMI Query'!$C:$C,9)</f>
        <v>-11086792.690000001</v>
      </c>
      <c r="H122" s="244">
        <f>+G122+SUMIFS('6 2024 BMI Query'!$G:$G,'6 2024 BMI Query'!$E:$E,$B122,'6 2024 BMI Query'!$C:$C,10)</f>
        <v>-11086792.690000001</v>
      </c>
      <c r="I122" s="244">
        <f>+H122+SUMIFS('6 2024 BMI Query'!$G:$G,'6 2024 BMI Query'!$E:$E,$B122,'6 2024 BMI Query'!$C:$C,11)</f>
        <v>-11085404.850000001</v>
      </c>
      <c r="J122" s="244">
        <f>+I122+SUMIFS('6 2024 BMI Query'!$G:$G,'6 2024 BMI Query'!$E:$E,$B122,'6 2024 BMI Query'!$C:$C,12)</f>
        <v>-11532963.370000001</v>
      </c>
      <c r="K122" s="244">
        <f>+SUMIFS('7 2025 BMI Query'!$G:$G,'7 2025 BMI Query'!$E:$E,$B122,'7 2025 BMI Query'!$A:$A,$B92,'7 2025 BMI Query'!$C:$C,0)+SUMIFS('7 2025 BMI Query'!$G:$G,'7 2025 BMI Query'!$E:$E,$B122,'7 2025 BMI Query'!$A:$A,$B92,'7 2025 BMI Query'!$C:$C,1)</f>
        <v>-11223289.68</v>
      </c>
      <c r="L122" s="244">
        <f>+K122+SUMIFS('7 2025 BMI Query'!$G:$G,'7 2025 BMI Query'!$E:$E,$B122,'7 2025 BMI Query'!$A:$A,$B92,'7 2025 BMI Query'!$C:$C,2)</f>
        <v>-11223289.68</v>
      </c>
      <c r="M122" s="244">
        <f>+L122+SUMIFS('7 2025 BMI Query'!$G:$G,'7 2025 BMI Query'!$E:$E,$B122,'7 2025 BMI Query'!$A:$A,$B92,'7 2025 BMI Query'!$C:$C,3)</f>
        <v>-11255593.619999999</v>
      </c>
      <c r="N122" s="244">
        <f>+M122+SUMIFS('7 2025 BMI Query'!$G:$G,'7 2025 BMI Query'!$E:$E,$B122,'7 2025 BMI Query'!$A:$A,$B92,'7 2025 BMI Query'!$C:$C,4)</f>
        <v>-11255593.619999999</v>
      </c>
      <c r="O122" s="244">
        <f>+N122+SUMIFS('7 2025 BMI Query'!$G:$G,'7 2025 BMI Query'!$E:$E,$B122,'7 2025 BMI Query'!$A:$A,$B92,'7 2025 BMI Query'!$C:$C,5)</f>
        <v>-11255593.619999999</v>
      </c>
      <c r="P122" s="244">
        <f>+O122+SUMIFS('7 2025 BMI Query'!$G:$G,'7 2025 BMI Query'!$E:$E,$B122,'7 2025 BMI Query'!$A:$A,$B92,'7 2025 BMI Query'!$C:$C,6)</f>
        <v>-11287897.559999999</v>
      </c>
      <c r="Q122" s="244">
        <f>+P122+SUMIFS('7 2025 BMI Query'!$G:$G,'7 2025 BMI Query'!$E:$E,$B122,'7 2025 BMI Query'!$A:$A,$B92,'7 2025 BMI Query'!$C:$C,7)</f>
        <v>-11287897.559999999</v>
      </c>
      <c r="R122" s="244">
        <f>+Q122+SUMIFS('7 2025 BMI Query'!$G:$G,'7 2025 BMI Query'!$E:$E,$B122,'7 2025 BMI Query'!$A:$A,$B92,'7 2025 BMI Query'!$C:$C,8)</f>
        <v>-11309433.509999998</v>
      </c>
      <c r="S122" s="244"/>
      <c r="T122" s="244"/>
      <c r="U122" s="244"/>
      <c r="V122" s="244"/>
      <c r="W122" s="244"/>
      <c r="X122" s="244"/>
    </row>
    <row r="123" spans="1:25" x14ac:dyDescent="0.25">
      <c r="A123" s="50" t="s">
        <v>123</v>
      </c>
      <c r="B123" s="238">
        <v>928351021</v>
      </c>
      <c r="C123" s="244">
        <f>+SUMIFS('6 2024 BMI Query'!$G:$G,'6 2024 BMI Query'!$E:$E,$B123,'6 2024 BMI Query'!$A:$A,$B92,'6 2024 BMI Query'!$C:$C,0)+SUMIFS('6 2024 BMI Query'!$G:$G,'6 2024 BMI Query'!$E:$E,$B123,'6 2024 BMI Query'!$A:$A,$B92,'6 2024 BMI Query'!$C:$C,1)+SUMIFS('6 2024 BMI Query'!$G:$G,'6 2024 BMI Query'!$E:$E,$B123,'6 2024 BMI Query'!$A:$A,$B92,'6 2024 BMI Query'!$C:$C,2)+SUMIFS('6 2024 BMI Query'!$G:$G,'6 2024 BMI Query'!$E:$E,$B123,'6 2024 BMI Query'!$A:$A,$B92,'6 2024 BMI Query'!$C:$C,3)</f>
        <v>-12730009.120000003</v>
      </c>
      <c r="D123" s="244">
        <f>+C123+SUMIFS('6 2024 BMI Query'!$G:$G,'6 2024 BMI Query'!$E:$E,$B123,'6 2024 BMI Query'!$A:$A,$B92,'6 2024 BMI Query'!$C:$C,4)+SUMIFS('6 2024 BMI Query'!$G:$G,'6 2024 BMI Query'!$E:$E,$B123,'6 2024 BMI Query'!$A:$A,$B92,'6 2024 BMI Query'!$C:$C,5)+SUMIFS('6 2024 BMI Query'!$G:$G,'6 2024 BMI Query'!$E:$E,$B123,'6 2024 BMI Query'!$A:$A,$B92,'6 2024 BMI Query'!$C:$C,6)</f>
        <v>-12645512.050000004</v>
      </c>
      <c r="E123" s="244">
        <f>+D123+SUMIFS('6 2024 BMI Query'!$G:$G,'6 2024 BMI Query'!$E:$E,$B123,'6 2024 BMI Query'!$A:$A,$B92,'6 2024 BMI Query'!$C:$C,7)</f>
        <v>-12617346.430000005</v>
      </c>
      <c r="F123" s="244">
        <f>+E123+SUMIFS('6 2024 BMI Query'!$G:$G,'6 2024 BMI Query'!$E:$E,$B123,'6 2024 BMI Query'!$A:$A,$B92,'6 2024 BMI Query'!$C:$C,8)</f>
        <v>-12589180.810000006</v>
      </c>
      <c r="G123" s="244">
        <f>+F123+SUMIFS('6 2024 BMI Query'!$G:$G,'6 2024 BMI Query'!$E:$E,$B123,'6 2024 BMI Query'!$A:$A,$B92,'6 2024 BMI Query'!$C:$C,9)</f>
        <v>-12561015.190000007</v>
      </c>
      <c r="H123" s="244">
        <f>+G123+SUMIFS('6 2024 BMI Query'!$G:$G,'6 2024 BMI Query'!$E:$E,$B123,'6 2024 BMI Query'!$C:$C,10)</f>
        <v>-11477744.160000008</v>
      </c>
      <c r="I123" s="244">
        <f>+H123+SUMIFS('6 2024 BMI Query'!$G:$G,'6 2024 BMI Query'!$E:$E,$B123,'6 2024 BMI Query'!$C:$C,11)</f>
        <v>-11978653.590000007</v>
      </c>
      <c r="J123" s="244">
        <f>+I123+SUMIFS('6 2024 BMI Query'!$G:$G,'6 2024 BMI Query'!$E:$E,$B123,'6 2024 BMI Query'!$C:$C,12)</f>
        <v>-11861753.310000008</v>
      </c>
      <c r="K123" s="244">
        <f>+SUMIFS('7 2025 BMI Query'!$G:$G,'7 2025 BMI Query'!$E:$E,$B123,'7 2025 BMI Query'!$A:$A,$B92,'7 2025 BMI Query'!$C:$C,0)+SUMIFS('7 2025 BMI Query'!$G:$G,'7 2025 BMI Query'!$E:$E,$B123,'7 2025 BMI Query'!$A:$A,$B92,'7 2025 BMI Query'!$C:$C,1)</f>
        <v>-12560480.390000001</v>
      </c>
      <c r="L123" s="244">
        <f>+K123+SUMIFS('7 2025 BMI Query'!$G:$G,'7 2025 BMI Query'!$E:$E,$B123,'7 2025 BMI Query'!$A:$A,$B92,'7 2025 BMI Query'!$C:$C,2)</f>
        <v>-12527562.890000001</v>
      </c>
      <c r="M123" s="244">
        <f>+L123+SUMIFS('7 2025 BMI Query'!$G:$G,'7 2025 BMI Query'!$E:$E,$B123,'7 2025 BMI Query'!$A:$A,$B92,'7 2025 BMI Query'!$C:$C,3)</f>
        <v>-12494645.390000001</v>
      </c>
      <c r="N123" s="244">
        <f>+M123+SUMIFS('7 2025 BMI Query'!$G:$G,'7 2025 BMI Query'!$E:$E,$B123,'7 2025 BMI Query'!$A:$A,$B92,'7 2025 BMI Query'!$C:$C,4)</f>
        <v>-12461727.890000001</v>
      </c>
      <c r="O123" s="244">
        <f>+N123+SUMIFS('7 2025 BMI Query'!$G:$G,'7 2025 BMI Query'!$E:$E,$B123,'7 2025 BMI Query'!$A:$A,$B92,'7 2025 BMI Query'!$C:$C,5)</f>
        <v>-12428810.390000001</v>
      </c>
      <c r="P123" s="244">
        <f>+O123+SUMIFS('7 2025 BMI Query'!$G:$G,'7 2025 BMI Query'!$E:$E,$B123,'7 2025 BMI Query'!$A:$A,$B92,'7 2025 BMI Query'!$C:$C,6)</f>
        <v>-12395892.890000001</v>
      </c>
      <c r="Q123" s="244">
        <f>+P123+SUMIFS('7 2025 BMI Query'!$G:$G,'7 2025 BMI Query'!$E:$E,$B123,'7 2025 BMI Query'!$A:$A,$B92,'7 2025 BMI Query'!$C:$C,7)</f>
        <v>-12362975.390000001</v>
      </c>
      <c r="R123" s="244">
        <f>+Q123+SUMIFS('7 2025 BMI Query'!$G:$G,'7 2025 BMI Query'!$E:$E,$B123,'7 2025 BMI Query'!$A:$A,$B92,'7 2025 BMI Query'!$C:$C,8)</f>
        <v>-12330057.890000001</v>
      </c>
      <c r="S123" s="244"/>
      <c r="T123" s="244"/>
      <c r="U123" s="244"/>
      <c r="V123" s="244"/>
      <c r="W123" s="244"/>
      <c r="X123" s="244"/>
    </row>
    <row r="124" spans="1:25" x14ac:dyDescent="0.25">
      <c r="A124" s="50" t="s">
        <v>112</v>
      </c>
      <c r="B124" s="238">
        <v>28311</v>
      </c>
      <c r="C124" s="244">
        <f t="shared" ref="C124:Q124" si="65">+C127-SUM(C117:C123)</f>
        <v>-4055425.5600000024</v>
      </c>
      <c r="D124" s="244">
        <f t="shared" si="65"/>
        <v>-4741336.0199999958</v>
      </c>
      <c r="E124" s="244">
        <f t="shared" si="65"/>
        <v>-4738257.099999994</v>
      </c>
      <c r="F124" s="244">
        <f t="shared" si="65"/>
        <v>-4875894.2699999958</v>
      </c>
      <c r="G124" s="244">
        <f t="shared" si="65"/>
        <v>-5078848.9699999988</v>
      </c>
      <c r="H124" s="244">
        <f t="shared" si="65"/>
        <v>-10214559.449999988</v>
      </c>
      <c r="I124" s="244">
        <f t="shared" si="65"/>
        <v>-19205519.700000003</v>
      </c>
      <c r="J124" s="244">
        <f t="shared" si="65"/>
        <v>-19385722.479999997</v>
      </c>
      <c r="K124" s="244">
        <f t="shared" si="65"/>
        <v>-6109768.0500000045</v>
      </c>
      <c r="L124" s="244">
        <f t="shared" si="65"/>
        <v>-8159810.1800000072</v>
      </c>
      <c r="M124" s="244">
        <f t="shared" si="65"/>
        <v>-9628365.8500000164</v>
      </c>
      <c r="N124" s="244">
        <f t="shared" si="65"/>
        <v>-7013434.1300000176</v>
      </c>
      <c r="O124" s="244">
        <f t="shared" si="65"/>
        <v>-6916559.7500000149</v>
      </c>
      <c r="P124" s="244">
        <f t="shared" si="65"/>
        <v>-7493313.4100000188</v>
      </c>
      <c r="Q124" s="244">
        <f t="shared" si="65"/>
        <v>-6333091.5000000149</v>
      </c>
      <c r="R124" s="244">
        <f>+R127-SUM(R117:R123)-R125</f>
        <v>-6321535.3500000108</v>
      </c>
      <c r="S124" s="244"/>
      <c r="T124" s="244"/>
      <c r="U124" s="244"/>
      <c r="V124" s="244"/>
      <c r="W124" s="244"/>
      <c r="X124" s="244"/>
    </row>
    <row r="125" spans="1:25" x14ac:dyDescent="0.25">
      <c r="A125" s="245" t="s">
        <v>499</v>
      </c>
      <c r="B125" s="238" t="s">
        <v>500</v>
      </c>
      <c r="C125" s="244"/>
      <c r="D125" s="244"/>
      <c r="E125" s="244"/>
      <c r="F125" s="244"/>
      <c r="G125" s="244"/>
      <c r="H125" s="244"/>
      <c r="I125" s="244"/>
      <c r="J125" s="244"/>
      <c r="K125" s="244"/>
      <c r="L125" s="244"/>
      <c r="M125" s="244"/>
      <c r="N125" s="244"/>
      <c r="O125" s="244"/>
      <c r="P125" s="244"/>
      <c r="Q125" s="244"/>
      <c r="R125" s="246">
        <f>-R45</f>
        <v>7562814.9000000004</v>
      </c>
      <c r="S125" s="244"/>
      <c r="T125" s="244"/>
      <c r="U125" s="244"/>
      <c r="V125" s="244"/>
      <c r="W125" s="244"/>
      <c r="X125" s="244"/>
    </row>
    <row r="126" spans="1:25" x14ac:dyDescent="0.25">
      <c r="A126" s="50" t="s">
        <v>501</v>
      </c>
      <c r="C126" s="247">
        <f t="shared" ref="C126:X126" si="66">SUM(C117:C125)</f>
        <v>-80721891.260000005</v>
      </c>
      <c r="D126" s="247">
        <f t="shared" si="66"/>
        <v>-80197562.299999997</v>
      </c>
      <c r="E126" s="247">
        <f t="shared" si="66"/>
        <v>-81154835.079999998</v>
      </c>
      <c r="F126" s="247">
        <f t="shared" si="66"/>
        <v>-83951264.340000004</v>
      </c>
      <c r="G126" s="247">
        <f t="shared" si="66"/>
        <v>-83205173.829999998</v>
      </c>
      <c r="H126" s="247">
        <f t="shared" si="66"/>
        <v>-67312053.549999997</v>
      </c>
      <c r="I126" s="247">
        <f t="shared" si="66"/>
        <v>-73035980.030000001</v>
      </c>
      <c r="J126" s="247">
        <f t="shared" si="66"/>
        <v>-69583482.870000005</v>
      </c>
      <c r="K126" s="247">
        <f t="shared" si="66"/>
        <v>-65740815.500000007</v>
      </c>
      <c r="L126" s="247">
        <f t="shared" si="66"/>
        <v>-65816679.660000011</v>
      </c>
      <c r="M126" s="247">
        <f t="shared" si="66"/>
        <v>-67309530.950000018</v>
      </c>
      <c r="N126" s="247">
        <f t="shared" si="66"/>
        <v>-64932214.520000018</v>
      </c>
      <c r="O126" s="247">
        <f t="shared" si="66"/>
        <v>-65706126.340000018</v>
      </c>
      <c r="P126" s="247">
        <f t="shared" si="66"/>
        <v>-66289918.990000017</v>
      </c>
      <c r="Q126" s="247">
        <f t="shared" si="66"/>
        <v>-67134331.750000015</v>
      </c>
      <c r="R126" s="247">
        <f t="shared" si="66"/>
        <v>-59365558.960000016</v>
      </c>
      <c r="S126" s="247">
        <f t="shared" si="66"/>
        <v>0</v>
      </c>
      <c r="T126" s="247">
        <f t="shared" si="66"/>
        <v>0</v>
      </c>
      <c r="U126" s="247">
        <f t="shared" si="66"/>
        <v>0</v>
      </c>
      <c r="V126" s="247">
        <f t="shared" si="66"/>
        <v>0</v>
      </c>
      <c r="W126" s="247">
        <f t="shared" si="66"/>
        <v>0</v>
      </c>
      <c r="X126" s="247">
        <f t="shared" si="66"/>
        <v>0</v>
      </c>
    </row>
    <row r="127" spans="1:25" x14ac:dyDescent="0.25">
      <c r="A127" s="245" t="s">
        <v>502</v>
      </c>
      <c r="B127" s="238">
        <v>28311</v>
      </c>
      <c r="C127" s="248">
        <f>SUMIFS('6 2024 BMI Query'!$G:$G,'6 2024 BMI Query'!$D:$D,$B127,'6 2024 BMI Query'!$A:$A,$B92,'6 2024 BMI Query'!$C:$C,0)+SUMIFS('6 2024 BMI Query'!$G:$G,'6 2024 BMI Query'!$D:$D,$B127,'6 2024 BMI Query'!$A:$A,$B92,'6 2024 BMI Query'!$C:$C,1)+SUMIFS('6 2024 BMI Query'!$G:$G,'6 2024 BMI Query'!$D:$D,$B127,'6 2024 BMI Query'!$A:$A,$B92,'6 2024 BMI Query'!$C:$C,2)+SUMIFS('6 2024 BMI Query'!$G:$G,'6 2024 BMI Query'!$D:$D,$B127,'6 2024 BMI Query'!$A:$A,$B92,'6 2024 BMI Query'!$C:$C,3)</f>
        <v>-80721891.260000005</v>
      </c>
      <c r="D127" s="248">
        <f>+C127+SUMIFS('6 2024 BMI Query'!$G:$G,'6 2024 BMI Query'!$D:$D,$B127,'6 2024 BMI Query'!$A:$A,$B92,'6 2024 BMI Query'!$C:$C,4)+SUMIFS('6 2024 BMI Query'!$G:$G,'6 2024 BMI Query'!$D:$D,$B127,'6 2024 BMI Query'!$A:$A,$B92,'6 2024 BMI Query'!$C:$C,5)+SUMIFS('6 2024 BMI Query'!$G:$G,'6 2024 BMI Query'!$D:$D,$B127,'6 2024 BMI Query'!$A:$A,$B92,'6 2024 BMI Query'!$C:$C,6)</f>
        <v>-80197562.299999997</v>
      </c>
      <c r="E127" s="248">
        <f>+D127+SUMIFS('6 2024 BMI Query'!$G:$G,'6 2024 BMI Query'!$D:$D,$B127,'6 2024 BMI Query'!$A:$A,$B92,'6 2024 BMI Query'!$C:$C,7)</f>
        <v>-81154835.079999998</v>
      </c>
      <c r="F127" s="248">
        <f>+E127+SUMIFS('6 2024 BMI Query'!$G:$G,'6 2024 BMI Query'!$D:$D,$B127,'6 2024 BMI Query'!$A:$A,$B92,'6 2024 BMI Query'!$C:$C,8)</f>
        <v>-83951264.340000004</v>
      </c>
      <c r="G127" s="248">
        <f>+F127+SUMIFS('6 2024 BMI Query'!$G:$G,'6 2024 BMI Query'!$D:$D,$B127,'6 2024 BMI Query'!$A:$A,$B92,'6 2024 BMI Query'!$C:$C,9)</f>
        <v>-83205173.829999998</v>
      </c>
      <c r="H127" s="248">
        <f>+G127+SUMIFS('6 2024 BMI Query'!$G:$G,'6 2024 BMI Query'!$D:$D,$B127,'6 2024 BMI Query'!$A:$A,$B92,'6 2024 BMI Query'!$C:$C,10)</f>
        <v>-67312053.549999997</v>
      </c>
      <c r="I127" s="248">
        <f>+H127+SUMIFS('6 2024 BMI Query'!$G:$G,'6 2024 BMI Query'!$D:$D,$B127,'6 2024 BMI Query'!$A:$A,$B92,'6 2024 BMI Query'!$C:$C,11)</f>
        <v>-73035980.030000001</v>
      </c>
      <c r="J127" s="248">
        <f>+I127+SUMIFS('6 2024 BMI Query'!$G:$G,'6 2024 BMI Query'!$D:$D,$B127,'6 2024 BMI Query'!$A:$A,$B92,'6 2024 BMI Query'!$C:$C,12)</f>
        <v>-69583482.870000005</v>
      </c>
      <c r="K127" s="248">
        <f>SUMIFS('7 2025 BMI Query'!$G:$G,'7 2025 BMI Query'!$D:$D,$B127,'7 2025 BMI Query'!$A:$A,$B92,'7 2025 BMI Query'!$C:$C,0)+SUMIFS('7 2025 BMI Query'!$G:$G,'7 2025 BMI Query'!$D:$D,$B127,'7 2025 BMI Query'!$A:$A,$B92,'7 2025 BMI Query'!$C:$C,1)</f>
        <v>-65740815.500000007</v>
      </c>
      <c r="L127" s="248">
        <f>+K127+SUMIFS('7 2025 BMI Query'!$G:$G,'7 2025 BMI Query'!$D:$D,$B127,'7 2025 BMI Query'!$A:$A,$B92,'7 2025 BMI Query'!$C:$C,2)</f>
        <v>-65816679.660000011</v>
      </c>
      <c r="M127" s="248">
        <f>+L127+SUMIFS('7 2025 BMI Query'!$G:$G,'7 2025 BMI Query'!$D:$D,$B127,'7 2025 BMI Query'!$A:$A,$B92,'7 2025 BMI Query'!$C:$C,3)</f>
        <v>-67309530.950000018</v>
      </c>
      <c r="N127" s="248">
        <f>+M127+SUMIFS('7 2025 BMI Query'!$G:$G,'7 2025 BMI Query'!$D:$D,$B127,'7 2025 BMI Query'!$A:$A,$B92,'7 2025 BMI Query'!$C:$C,4)</f>
        <v>-64932214.520000018</v>
      </c>
      <c r="O127" s="248">
        <f>+N127+SUMIFS('7 2025 BMI Query'!$G:$G,'7 2025 BMI Query'!$D:$D,$B127,'7 2025 BMI Query'!$A:$A,$B92,'7 2025 BMI Query'!$C:$C,5)</f>
        <v>-65706126.340000018</v>
      </c>
      <c r="P127" s="248">
        <f>+O127+SUMIFS('7 2025 BMI Query'!$G:$G,'7 2025 BMI Query'!$D:$D,$B127,'7 2025 BMI Query'!$A:$A,$B92,'7 2025 BMI Query'!$C:$C,6)</f>
        <v>-66289918.990000017</v>
      </c>
      <c r="Q127" s="248">
        <f>+P127+SUMIFS('7 2025 BMI Query'!$G:$G,'7 2025 BMI Query'!$D:$D,$B127,'7 2025 BMI Query'!$A:$A,$B92,'7 2025 BMI Query'!$C:$C,7)</f>
        <v>-67134331.750000015</v>
      </c>
      <c r="R127" s="248">
        <f>+Q127+SUMIFS('7 2025 BMI Query'!$G:$G,'7 2025 BMI Query'!$D:$D,$B127,'7 2025 BMI Query'!$A:$A,$B92,'7 2025 BMI Query'!$C:$C,8)+R125</f>
        <v>-59365558.960000016</v>
      </c>
      <c r="S127" s="244"/>
      <c r="T127" s="244"/>
      <c r="U127" s="244"/>
      <c r="V127" s="244"/>
      <c r="W127" s="244"/>
      <c r="X127" s="244"/>
    </row>
    <row r="128" spans="1:25" x14ac:dyDescent="0.25">
      <c r="A128" s="50"/>
    </row>
    <row r="129" spans="1:24" s="49" customFormat="1" ht="16.5" thickBot="1" x14ac:dyDescent="0.3">
      <c r="A129" s="251" t="s">
        <v>509</v>
      </c>
      <c r="B129" s="241"/>
      <c r="C129" s="252">
        <f>+C106+C113+C126</f>
        <v>-34079157.859999999</v>
      </c>
      <c r="D129" s="252">
        <f>+D106+D113+D126</f>
        <v>-45023629.139999986</v>
      </c>
      <c r="E129" s="252">
        <f t="shared" ref="E129:R129" si="67">+E106+E113+E126</f>
        <v>-50258351.039999977</v>
      </c>
      <c r="F129" s="252">
        <f t="shared" si="67"/>
        <v>-52614637.229999974</v>
      </c>
      <c r="G129" s="252">
        <f t="shared" si="67"/>
        <v>-56357250.579999983</v>
      </c>
      <c r="H129" s="252">
        <f t="shared" si="67"/>
        <v>-35982668.729999974</v>
      </c>
      <c r="I129" s="252">
        <f t="shared" si="67"/>
        <v>-41774879.399999991</v>
      </c>
      <c r="J129" s="252">
        <f t="shared" si="67"/>
        <v>-47900785.149999976</v>
      </c>
      <c r="K129" s="252">
        <f t="shared" si="67"/>
        <v>-45156098.830000021</v>
      </c>
      <c r="L129" s="252">
        <f t="shared" si="67"/>
        <v>-43877594.110000029</v>
      </c>
      <c r="M129" s="252">
        <f t="shared" si="67"/>
        <v>-43804357.00000003</v>
      </c>
      <c r="N129" s="252">
        <f t="shared" si="67"/>
        <v>-47359641.970000021</v>
      </c>
      <c r="O129" s="252">
        <f t="shared" si="67"/>
        <v>-51815284.12000002</v>
      </c>
      <c r="P129" s="252">
        <f t="shared" si="67"/>
        <v>-54722551.120000027</v>
      </c>
      <c r="Q129" s="252">
        <f t="shared" si="67"/>
        <v>-59541942.200000018</v>
      </c>
      <c r="R129" s="252">
        <f t="shared" si="67"/>
        <v>-55580948.470000021</v>
      </c>
      <c r="S129" s="252">
        <f t="shared" ref="S129:X129" si="68">+S106+S113+S126</f>
        <v>0</v>
      </c>
      <c r="T129" s="252">
        <f t="shared" si="68"/>
        <v>0</v>
      </c>
      <c r="U129" s="252">
        <f t="shared" si="68"/>
        <v>0</v>
      </c>
      <c r="V129" s="252">
        <f t="shared" si="68"/>
        <v>0</v>
      </c>
      <c r="W129" s="252">
        <f t="shared" si="68"/>
        <v>0</v>
      </c>
      <c r="X129" s="252">
        <f t="shared" si="68"/>
        <v>0</v>
      </c>
    </row>
    <row r="130" spans="1:24" ht="16.5" thickTop="1" x14ac:dyDescent="0.25">
      <c r="A130" s="50"/>
    </row>
    <row r="131" spans="1:24" ht="16.5" thickBot="1" x14ac:dyDescent="0.3">
      <c r="A131" s="251" t="s">
        <v>510</v>
      </c>
      <c r="C131" s="253">
        <f>+C51+C90+C129</f>
        <v>-65632397.440000057</v>
      </c>
      <c r="D131" s="253">
        <f>+D51+D90+D129</f>
        <v>-82733395.060000032</v>
      </c>
      <c r="E131" s="253">
        <f t="shared" ref="E131:R131" si="69">+E51+E90+E129</f>
        <v>-90091242.75000003</v>
      </c>
      <c r="F131" s="253">
        <f t="shared" si="69"/>
        <v>-89467891.64000003</v>
      </c>
      <c r="G131" s="253">
        <f t="shared" si="69"/>
        <v>-82661098.780000031</v>
      </c>
      <c r="H131" s="253">
        <f t="shared" si="69"/>
        <v>-70895891.320000008</v>
      </c>
      <c r="I131" s="253">
        <f t="shared" si="69"/>
        <v>-72307462.600000024</v>
      </c>
      <c r="J131" s="253">
        <f t="shared" si="69"/>
        <v>-78890593.040000007</v>
      </c>
      <c r="K131" s="253">
        <f t="shared" si="69"/>
        <v>-72155261.229999959</v>
      </c>
      <c r="L131" s="253">
        <f t="shared" si="69"/>
        <v>-73050072.449999973</v>
      </c>
      <c r="M131" s="253">
        <f t="shared" si="69"/>
        <v>-69722258.459999993</v>
      </c>
      <c r="N131" s="253">
        <f t="shared" si="69"/>
        <v>-79263995.929999992</v>
      </c>
      <c r="O131" s="253">
        <f t="shared" si="69"/>
        <v>-86503564.929999992</v>
      </c>
      <c r="P131" s="253">
        <f t="shared" si="69"/>
        <v>-93862610.179999962</v>
      </c>
      <c r="Q131" s="253">
        <f t="shared" si="69"/>
        <v>-99160841.139999941</v>
      </c>
      <c r="R131" s="253">
        <f t="shared" si="69"/>
        <v>-107314160.40999994</v>
      </c>
      <c r="S131" s="253">
        <f t="shared" ref="S131:X131" si="70">+S51+S90+S129</f>
        <v>0</v>
      </c>
      <c r="T131" s="253">
        <f t="shared" si="70"/>
        <v>0</v>
      </c>
      <c r="U131" s="253">
        <f t="shared" si="70"/>
        <v>0</v>
      </c>
      <c r="V131" s="253">
        <f t="shared" si="70"/>
        <v>0</v>
      </c>
      <c r="W131" s="253">
        <f t="shared" si="70"/>
        <v>0</v>
      </c>
      <c r="X131" s="253">
        <f t="shared" si="70"/>
        <v>0</v>
      </c>
    </row>
    <row r="132" spans="1:24" ht="16.5" thickTop="1" x14ac:dyDescent="0.25">
      <c r="A132" s="50"/>
    </row>
    <row r="133" spans="1:24" x14ac:dyDescent="0.25">
      <c r="A133" s="50" t="s">
        <v>511</v>
      </c>
      <c r="C133" s="43">
        <f t="shared" ref="C133:Q133" si="71">-C12-C13-C15-C16-C31-C36-C38-C39-C56-C57-C59-C60-C73-C78-C80-C81-C95-C96-C98-C99-C111-C117-C119-C120</f>
        <v>-229615173.97</v>
      </c>
      <c r="D133" s="43">
        <f t="shared" si="71"/>
        <v>-227476619.02999997</v>
      </c>
      <c r="E133" s="43">
        <f t="shared" si="71"/>
        <v>-226714279.88000005</v>
      </c>
      <c r="F133" s="43">
        <f t="shared" si="71"/>
        <v>-226009228.44999996</v>
      </c>
      <c r="G133" s="43">
        <f t="shared" si="71"/>
        <v>-225246992.25999999</v>
      </c>
      <c r="H133" s="43">
        <f t="shared" si="71"/>
        <v>-224484713.38999999</v>
      </c>
      <c r="I133" s="43">
        <f t="shared" si="71"/>
        <v>-223722736.06</v>
      </c>
      <c r="J133" s="43">
        <f t="shared" si="71"/>
        <v>-223184094.23000002</v>
      </c>
      <c r="K133" s="43">
        <f t="shared" si="71"/>
        <v>-222287143.02000001</v>
      </c>
      <c r="L133" s="43">
        <f t="shared" si="71"/>
        <v>-221331956.15999997</v>
      </c>
      <c r="M133" s="43">
        <f t="shared" si="71"/>
        <v>-220814357.07999998</v>
      </c>
      <c r="N133" s="43">
        <f t="shared" si="71"/>
        <v>-219929647.50999996</v>
      </c>
      <c r="O133" s="43">
        <f t="shared" si="71"/>
        <v>-219083498.15000001</v>
      </c>
      <c r="P133" s="43">
        <f t="shared" si="71"/>
        <v>-218168695.66999999</v>
      </c>
      <c r="Q133" s="43">
        <f t="shared" si="71"/>
        <v>-217232721.51999998</v>
      </c>
      <c r="R133" s="43">
        <f>-R12-R13-R15-R16-R31-R36-R38-R39-R56-R57-R59-R60-R73-R78-R80-R81-R95-R96-R98-R99-R111-R117-R119-R120</f>
        <v>-216311821.09999993</v>
      </c>
    </row>
    <row r="134" spans="1:24" x14ac:dyDescent="0.25">
      <c r="A134" s="50" t="s">
        <v>507</v>
      </c>
      <c r="C134" s="43">
        <f t="shared" ref="C134:Q134" si="72">-C30-C72-C110</f>
        <v>-1691.4899999999998</v>
      </c>
      <c r="D134" s="43">
        <f t="shared" si="72"/>
        <v>-2097.37</v>
      </c>
      <c r="E134" s="43">
        <f t="shared" si="72"/>
        <v>-2232.66</v>
      </c>
      <c r="F134" s="43">
        <f t="shared" si="72"/>
        <v>-2367.9499999999998</v>
      </c>
      <c r="G134" s="43">
        <f t="shared" si="72"/>
        <v>-2503.2399999999998</v>
      </c>
      <c r="H134" s="43">
        <f t="shared" si="72"/>
        <v>-1352.9299999999998</v>
      </c>
      <c r="I134" s="43">
        <f t="shared" si="72"/>
        <v>-1488.2199999999998</v>
      </c>
      <c r="J134" s="43">
        <f t="shared" si="72"/>
        <v>-1351681.71</v>
      </c>
      <c r="K134" s="43">
        <f t="shared" si="72"/>
        <v>-1340566.51</v>
      </c>
      <c r="L134" s="43">
        <f t="shared" si="72"/>
        <v>-1329451.32</v>
      </c>
      <c r="M134" s="43">
        <f t="shared" si="72"/>
        <v>-1318336.1299999999</v>
      </c>
      <c r="N134" s="43">
        <f t="shared" si="72"/>
        <v>-1307220.94</v>
      </c>
      <c r="O134" s="43">
        <f t="shared" si="72"/>
        <v>-1296105.74</v>
      </c>
      <c r="P134" s="43">
        <f t="shared" si="72"/>
        <v>-1284990.56</v>
      </c>
      <c r="Q134" s="43">
        <f t="shared" si="72"/>
        <v>-1273875.3600000001</v>
      </c>
      <c r="R134" s="43">
        <f>-R30-R72-R110</f>
        <v>-1262760.1700000002</v>
      </c>
    </row>
    <row r="135" spans="1:24" ht="16.5" thickBot="1" x14ac:dyDescent="0.3">
      <c r="A135" s="50" t="s">
        <v>512</v>
      </c>
      <c r="C135" s="58">
        <f t="shared" ref="C135:Q135" si="73">+C131+C133+C134</f>
        <v>-295249262.9000001</v>
      </c>
      <c r="D135" s="58">
        <f t="shared" si="73"/>
        <v>-310212111.46000004</v>
      </c>
      <c r="E135" s="58">
        <f t="shared" si="73"/>
        <v>-316807755.29000014</v>
      </c>
      <c r="F135" s="58">
        <f t="shared" si="73"/>
        <v>-315479488.03999996</v>
      </c>
      <c r="G135" s="58">
        <f t="shared" si="73"/>
        <v>-307910594.28000003</v>
      </c>
      <c r="H135" s="58">
        <f t="shared" si="73"/>
        <v>-295381957.63999999</v>
      </c>
      <c r="I135" s="58">
        <f t="shared" si="73"/>
        <v>-296031686.88000005</v>
      </c>
      <c r="J135" s="58">
        <f t="shared" si="73"/>
        <v>-303426368.98000002</v>
      </c>
      <c r="K135" s="58">
        <f t="shared" si="73"/>
        <v>-295782970.75999999</v>
      </c>
      <c r="L135" s="58">
        <f t="shared" si="73"/>
        <v>-295711479.92999995</v>
      </c>
      <c r="M135" s="58">
        <f t="shared" si="73"/>
        <v>-291854951.66999996</v>
      </c>
      <c r="N135" s="58">
        <f t="shared" si="73"/>
        <v>-300500864.37999994</v>
      </c>
      <c r="O135" s="58">
        <f t="shared" si="73"/>
        <v>-306883168.81999999</v>
      </c>
      <c r="P135" s="58">
        <f t="shared" si="73"/>
        <v>-313316296.40999997</v>
      </c>
      <c r="Q135" s="58">
        <f t="shared" si="73"/>
        <v>-317667438.01999992</v>
      </c>
      <c r="R135" s="58">
        <f>+R131+R133+R134</f>
        <v>-324888741.67999989</v>
      </c>
    </row>
    <row r="136" spans="1:24" ht="16.5" thickTop="1" x14ac:dyDescent="0.25">
      <c r="A136" s="50"/>
    </row>
    <row r="137" spans="1:24" x14ac:dyDescent="0.25">
      <c r="A137" s="50" t="s">
        <v>513</v>
      </c>
    </row>
    <row r="138" spans="1:24" x14ac:dyDescent="0.25">
      <c r="A138" s="50" t="s">
        <v>514</v>
      </c>
      <c r="C138" s="43">
        <f t="shared" ref="C138:Q138" si="74">+C131</f>
        <v>-65632397.440000057</v>
      </c>
      <c r="D138" s="43">
        <f t="shared" si="74"/>
        <v>-82733395.060000032</v>
      </c>
      <c r="E138" s="43">
        <f t="shared" si="74"/>
        <v>-90091242.75000003</v>
      </c>
      <c r="F138" s="43">
        <f t="shared" si="74"/>
        <v>-89467891.64000003</v>
      </c>
      <c r="G138" s="43">
        <f t="shared" si="74"/>
        <v>-82661098.780000031</v>
      </c>
      <c r="H138" s="43">
        <f t="shared" si="74"/>
        <v>-70895891.320000008</v>
      </c>
      <c r="I138" s="43">
        <f t="shared" si="74"/>
        <v>-72307462.600000024</v>
      </c>
      <c r="J138" s="43">
        <f t="shared" si="74"/>
        <v>-78890593.040000007</v>
      </c>
      <c r="K138" s="43">
        <f t="shared" si="74"/>
        <v>-72155261.229999959</v>
      </c>
      <c r="L138" s="43">
        <f t="shared" si="74"/>
        <v>-73050072.449999973</v>
      </c>
      <c r="M138" s="43">
        <f t="shared" si="74"/>
        <v>-69722258.459999993</v>
      </c>
      <c r="N138" s="43">
        <f t="shared" si="74"/>
        <v>-79263995.929999992</v>
      </c>
      <c r="O138" s="43">
        <f t="shared" si="74"/>
        <v>-86503564.929999992</v>
      </c>
      <c r="P138" s="43">
        <f t="shared" si="74"/>
        <v>-93862610.179999962</v>
      </c>
      <c r="Q138" s="43">
        <f t="shared" si="74"/>
        <v>-99160841.139999941</v>
      </c>
      <c r="R138" s="43">
        <f>+R131</f>
        <v>-107314160.40999994</v>
      </c>
    </row>
    <row r="139" spans="1:24" x14ac:dyDescent="0.25">
      <c r="A139" s="50" t="s">
        <v>515</v>
      </c>
      <c r="C139" s="254">
        <f>10652339.24+14415622.78+7585002.89</f>
        <v>32652964.91</v>
      </c>
      <c r="D139" s="254">
        <f>10195811.39+13598274.68+7044794.03</f>
        <v>30838880.100000001</v>
      </c>
      <c r="E139" s="254">
        <f>10043635.44+13325825.32+6864724.41</f>
        <v>30234185.169999998</v>
      </c>
      <c r="F139" s="254">
        <f>9891459.49+13053375.95+6684654.79</f>
        <v>29629490.229999997</v>
      </c>
      <c r="G139" s="254">
        <f>9739283.54+12780926.58+6504585.17</f>
        <v>29024795.289999999</v>
      </c>
      <c r="H139" s="254">
        <f>9587107.59+12508477.22+6324515.55</f>
        <v>28420100.360000003</v>
      </c>
      <c r="I139" s="254">
        <f>9434931.65+12236027.85+6144445.93</f>
        <v>27815405.43</v>
      </c>
      <c r="J139" s="254">
        <f>9282755.7+11963578.48+5964376.31</f>
        <v>27210710.489999998</v>
      </c>
      <c r="K139" s="254">
        <f>9130579.75+11691129.11+5784306.69</f>
        <v>26606015.550000001</v>
      </c>
      <c r="L139" s="254">
        <f>8978403.8+11418679.75+5604237.07</f>
        <v>26001320.620000001</v>
      </c>
      <c r="M139" s="254">
        <f>8826227.85+11146230.38+5424167.45</f>
        <v>25396625.68</v>
      </c>
      <c r="N139" s="254">
        <f>8674051.9+10873781.01+5244097.83</f>
        <v>24791930.740000002</v>
      </c>
      <c r="O139" s="254">
        <f>8521875.95+10601331.65+5064028.21</f>
        <v>24187235.810000002</v>
      </c>
      <c r="P139" s="254">
        <f>8369700+10328882.28+4883958.59</f>
        <v>23582540.870000001</v>
      </c>
      <c r="Q139" s="254">
        <f>8217524.05+10056432.91+4703888.97</f>
        <v>22977845.93</v>
      </c>
      <c r="R139" s="254">
        <v>22373151</v>
      </c>
    </row>
    <row r="140" spans="1:24" x14ac:dyDescent="0.25">
      <c r="A140" s="50" t="s">
        <v>516</v>
      </c>
      <c r="C140" s="254">
        <f>-81982508.92-76841922.96-60263991.19</f>
        <v>-219088423.06999999</v>
      </c>
      <c r="D140" s="254">
        <f>-81639126.06-76146733.05-59694974.85</f>
        <v>-217480833.96000001</v>
      </c>
      <c r="E140" s="254">
        <f>-81516603.09-75879372.69-59499507.64</f>
        <v>-216895483.42000002</v>
      </c>
      <c r="F140" s="254">
        <f>-81401315.01-75654952.45-59311153.14</f>
        <v>-216367420.60000002</v>
      </c>
      <c r="G140" s="254">
        <f>-81266212.3-75391965.18-59123995.53</f>
        <v>-215782173.01000002</v>
      </c>
      <c r="H140" s="254">
        <f>-81133545.7-75138720.37-58924616.68</f>
        <v>-215196882.75</v>
      </c>
      <c r="I140" s="254">
        <f>-80995543.32-74876702.31-58739648.42</f>
        <v>-214611894.05000001</v>
      </c>
      <c r="J140" s="254">
        <f>-80855118.86-74874969.19-58520152.77</f>
        <v>-214250240.82000002</v>
      </c>
      <c r="K140" s="254">
        <f>-80675757.17-74582932.83-58271588.21</f>
        <v>-213530278.21000001</v>
      </c>
      <c r="L140" s="254">
        <f>-80476597.33-74258908.03-58016574.61</f>
        <v>-212752079.97000003</v>
      </c>
      <c r="M140" s="254">
        <f>-80296511.84-74333984.1-57780973.55</f>
        <v>-212411469.49000001</v>
      </c>
      <c r="N140" s="254">
        <f>-80120306.04-74059138.72-57524303.76</f>
        <v>-211703748.51999998</v>
      </c>
      <c r="O140" s="254">
        <f>-79969736.51-73776321.1-57288530.17</f>
        <v>-211034587.78000003</v>
      </c>
      <c r="P140" s="254">
        <f>-79777190.38-73489101.58-57030481.95</f>
        <v>-210296773.90999997</v>
      </c>
      <c r="Q140" s="254">
        <f>-79572456.28-73215821.25-56749510.83</f>
        <v>-209537788.36000001</v>
      </c>
      <c r="R140" s="254">
        <v>-208793877</v>
      </c>
    </row>
    <row r="141" spans="1:24" x14ac:dyDescent="0.25">
      <c r="A141" s="50" t="s">
        <v>517</v>
      </c>
      <c r="C141" s="254">
        <f>-15219240.51-20623293.67-7337181.28</f>
        <v>-43179715.460000001</v>
      </c>
      <c r="D141" s="254">
        <f>-14566987.34-19456753.16-6810924.32</f>
        <v>-40834664.82</v>
      </c>
      <c r="E141" s="254">
        <f>-14349569.62-19067906.33-6635505.33</f>
        <v>-40052981.279999994</v>
      </c>
      <c r="F141" s="254">
        <f>-14132151.9-18679059.49-6460086.35</f>
        <v>-39271297.740000002</v>
      </c>
      <c r="G141" s="254">
        <f>-13914734.18-18290212.66-6284667.36</f>
        <v>-38489614.200000003</v>
      </c>
      <c r="H141" s="254">
        <f>-13697316.46-17901365.82-6109248.37</f>
        <v>-37707930.649999999</v>
      </c>
      <c r="I141" s="254">
        <f>-13479898.73-17512518.99-5933829.38</f>
        <v>-36926247.100000001</v>
      </c>
      <c r="J141" s="254">
        <f>-13262481.01-17123672.15-5758410.4</f>
        <v>-36144563.559999995</v>
      </c>
      <c r="K141" s="254">
        <f>-13045063.29-16734825.32-5582991.41</f>
        <v>-35362880.019999996</v>
      </c>
      <c r="L141" s="254">
        <f>-12827645.57-16345978.48-5407572.42</f>
        <v>-34581196.469999999</v>
      </c>
      <c r="M141" s="254">
        <f>-12610227.85-15957131.65-5232153.43</f>
        <v>-33799512.93</v>
      </c>
      <c r="N141" s="254">
        <f>-12392810.13-15568284.81-5056734.45</f>
        <v>-33017829.390000001</v>
      </c>
      <c r="O141" s="254">
        <f>-12175392.41-15179437.97-4881315.46</f>
        <v>-32236145.840000004</v>
      </c>
      <c r="P141" s="254">
        <f>-11957974.68-14790591-14-4705896.47</f>
        <v>-31454476.149999999</v>
      </c>
      <c r="Q141" s="254">
        <f>-11740556.96-14401744.3-4530477.49</f>
        <v>-30672778.75</v>
      </c>
      <c r="R141" s="254">
        <v>-29891095</v>
      </c>
    </row>
    <row r="142" spans="1:24" x14ac:dyDescent="0.25">
      <c r="A142" s="50" t="s">
        <v>518</v>
      </c>
      <c r="C142" s="255">
        <f t="shared" ref="C142:Q142" si="75">SUM(C138:C141)</f>
        <v>-295247571.06000006</v>
      </c>
      <c r="D142" s="255">
        <f t="shared" si="75"/>
        <v>-310210013.74000001</v>
      </c>
      <c r="E142" s="255">
        <f t="shared" si="75"/>
        <v>-316805522.28000003</v>
      </c>
      <c r="F142" s="255">
        <f t="shared" si="75"/>
        <v>-315477119.75000006</v>
      </c>
      <c r="G142" s="255">
        <f t="shared" si="75"/>
        <v>-307908090.70000005</v>
      </c>
      <c r="H142" s="255">
        <f t="shared" si="75"/>
        <v>-295380604.36000001</v>
      </c>
      <c r="I142" s="255">
        <f t="shared" si="75"/>
        <v>-296030198.32000005</v>
      </c>
      <c r="J142" s="255">
        <f t="shared" si="75"/>
        <v>-302074686.93000001</v>
      </c>
      <c r="K142" s="255">
        <f t="shared" si="75"/>
        <v>-294442403.90999997</v>
      </c>
      <c r="L142" s="255">
        <f t="shared" si="75"/>
        <v>-294382028.26999998</v>
      </c>
      <c r="M142" s="255">
        <f t="shared" si="75"/>
        <v>-290536615.19999999</v>
      </c>
      <c r="N142" s="255">
        <f t="shared" si="75"/>
        <v>-299193643.09999996</v>
      </c>
      <c r="O142" s="255">
        <f t="shared" si="75"/>
        <v>-305587062.74000001</v>
      </c>
      <c r="P142" s="255">
        <f t="shared" si="75"/>
        <v>-312031319.36999989</v>
      </c>
      <c r="Q142" s="255">
        <f t="shared" si="75"/>
        <v>-316393562.31999993</v>
      </c>
      <c r="R142" s="255">
        <f>SUM(R138:R141)</f>
        <v>-323625981.40999997</v>
      </c>
    </row>
    <row r="143" spans="1:24" x14ac:dyDescent="0.25">
      <c r="A143" s="50" t="s">
        <v>507</v>
      </c>
      <c r="C143" s="43">
        <f t="shared" ref="C143:Q143" si="76">-C30-C72-C110</f>
        <v>-1691.4899999999998</v>
      </c>
      <c r="D143" s="43">
        <f t="shared" si="76"/>
        <v>-2097.37</v>
      </c>
      <c r="E143" s="43">
        <f t="shared" si="76"/>
        <v>-2232.66</v>
      </c>
      <c r="F143" s="43">
        <f t="shared" si="76"/>
        <v>-2367.9499999999998</v>
      </c>
      <c r="G143" s="43">
        <f t="shared" si="76"/>
        <v>-2503.2399999999998</v>
      </c>
      <c r="H143" s="43">
        <f t="shared" si="76"/>
        <v>-1352.9299999999998</v>
      </c>
      <c r="I143" s="43">
        <f t="shared" si="76"/>
        <v>-1488.2199999999998</v>
      </c>
      <c r="J143" s="43">
        <f t="shared" si="76"/>
        <v>-1351681.71</v>
      </c>
      <c r="K143" s="43">
        <f t="shared" si="76"/>
        <v>-1340566.51</v>
      </c>
      <c r="L143" s="43">
        <f t="shared" si="76"/>
        <v>-1329451.32</v>
      </c>
      <c r="M143" s="43">
        <f t="shared" si="76"/>
        <v>-1318336.1299999999</v>
      </c>
      <c r="N143" s="43">
        <f t="shared" si="76"/>
        <v>-1307220.94</v>
      </c>
      <c r="O143" s="43">
        <f t="shared" si="76"/>
        <v>-1296105.74</v>
      </c>
      <c r="P143" s="43">
        <f t="shared" si="76"/>
        <v>-1284990.56</v>
      </c>
      <c r="Q143" s="43">
        <f t="shared" si="76"/>
        <v>-1273875.3600000001</v>
      </c>
      <c r="R143" s="43">
        <f>-R30-R72-R110</f>
        <v>-1262760.1700000002</v>
      </c>
    </row>
    <row r="144" spans="1:24" ht="16.5" thickBot="1" x14ac:dyDescent="0.3">
      <c r="A144" s="50" t="s">
        <v>512</v>
      </c>
      <c r="C144" s="58">
        <f t="shared" ref="C144:Q144" si="77">+C142+C143</f>
        <v>-295249262.55000007</v>
      </c>
      <c r="D144" s="58">
        <f t="shared" si="77"/>
        <v>-310212111.11000001</v>
      </c>
      <c r="E144" s="58">
        <f t="shared" si="77"/>
        <v>-316807754.94000006</v>
      </c>
      <c r="F144" s="58">
        <f t="shared" si="77"/>
        <v>-315479487.70000005</v>
      </c>
      <c r="G144" s="58">
        <f t="shared" si="77"/>
        <v>-307910593.94000006</v>
      </c>
      <c r="H144" s="58">
        <f t="shared" si="77"/>
        <v>-295381957.29000002</v>
      </c>
      <c r="I144" s="58">
        <f t="shared" si="77"/>
        <v>-296031686.54000008</v>
      </c>
      <c r="J144" s="58">
        <f t="shared" si="77"/>
        <v>-303426368.63999999</v>
      </c>
      <c r="K144" s="58">
        <f t="shared" si="77"/>
        <v>-295782970.41999996</v>
      </c>
      <c r="L144" s="58">
        <f t="shared" si="77"/>
        <v>-295711479.58999997</v>
      </c>
      <c r="M144" s="58">
        <f t="shared" si="77"/>
        <v>-291854951.32999998</v>
      </c>
      <c r="N144" s="58">
        <f t="shared" si="77"/>
        <v>-300500864.03999996</v>
      </c>
      <c r="O144" s="58">
        <f t="shared" si="77"/>
        <v>-306883168.48000002</v>
      </c>
      <c r="P144" s="58">
        <f t="shared" si="77"/>
        <v>-313316309.92999989</v>
      </c>
      <c r="Q144" s="58">
        <f t="shared" si="77"/>
        <v>-317667437.67999995</v>
      </c>
      <c r="R144" s="58">
        <f>+R142+R143</f>
        <v>-324888741.57999998</v>
      </c>
    </row>
    <row r="145" spans="1:20" ht="16.5" thickTop="1" x14ac:dyDescent="0.25">
      <c r="A145" s="43" t="s">
        <v>519</v>
      </c>
      <c r="C145" s="256">
        <f t="shared" ref="C145:Q145" si="78">+C135-C144</f>
        <v>-0.35000002384185791</v>
      </c>
      <c r="D145" s="256">
        <f t="shared" si="78"/>
        <v>-0.35000002384185791</v>
      </c>
      <c r="E145" s="256">
        <f t="shared" si="78"/>
        <v>-0.35000008344650269</v>
      </c>
      <c r="F145" s="256">
        <f t="shared" si="78"/>
        <v>-0.33999991416931152</v>
      </c>
      <c r="G145" s="256">
        <f t="shared" si="78"/>
        <v>-0.3399999737739563</v>
      </c>
      <c r="H145" s="256">
        <f t="shared" si="78"/>
        <v>-0.34999996423721313</v>
      </c>
      <c r="I145" s="256">
        <f t="shared" si="78"/>
        <v>-0.3399999737739563</v>
      </c>
      <c r="J145" s="256">
        <f t="shared" si="78"/>
        <v>-0.34000003337860107</v>
      </c>
      <c r="K145" s="256">
        <f t="shared" si="78"/>
        <v>-0.34000003337860107</v>
      </c>
      <c r="L145" s="256">
        <f t="shared" si="78"/>
        <v>-0.3399999737739563</v>
      </c>
      <c r="M145" s="256">
        <f t="shared" si="78"/>
        <v>-0.3399999737739563</v>
      </c>
      <c r="N145" s="256">
        <f t="shared" si="78"/>
        <v>-0.3399999737739563</v>
      </c>
      <c r="O145" s="256">
        <f t="shared" si="78"/>
        <v>-0.3399999737739563</v>
      </c>
      <c r="P145" s="256">
        <f t="shared" si="78"/>
        <v>13.519999921321869</v>
      </c>
      <c r="Q145" s="256">
        <f t="shared" si="78"/>
        <v>-0.3399999737739563</v>
      </c>
      <c r="R145" s="256">
        <f>+R135-R144</f>
        <v>-9.9999904632568359E-2</v>
      </c>
    </row>
    <row r="148" spans="1:20" x14ac:dyDescent="0.25">
      <c r="A148" s="43" t="s">
        <v>520</v>
      </c>
      <c r="R148" s="44" t="s">
        <v>521</v>
      </c>
      <c r="S148" s="44" t="s">
        <v>522</v>
      </c>
      <c r="T148" s="257" t="s">
        <v>523</v>
      </c>
    </row>
    <row r="149" spans="1:20" x14ac:dyDescent="0.25">
      <c r="R149" s="44"/>
      <c r="S149" s="44" t="s">
        <v>524</v>
      </c>
      <c r="T149" s="257"/>
    </row>
    <row r="150" spans="1:20" x14ac:dyDescent="0.25">
      <c r="A150" s="43">
        <v>190</v>
      </c>
      <c r="R150" s="43">
        <f>+'5 BS @ 8-31-25'!N88</f>
        <v>235793181</v>
      </c>
      <c r="S150" s="43">
        <f>+R23+R67+R106</f>
        <v>235793181.47000009</v>
      </c>
      <c r="T150" s="256">
        <f>+R150-S150</f>
        <v>-0.47000008821487427</v>
      </c>
    </row>
    <row r="151" spans="1:20" x14ac:dyDescent="0.25">
      <c r="A151" s="43">
        <v>282</v>
      </c>
      <c r="R151" s="43">
        <f>-'5 BS @ 8-31-25'!N172</f>
        <v>-154018929</v>
      </c>
      <c r="S151" s="43">
        <f>+R33+R75+R113</f>
        <v>-154018928.99000001</v>
      </c>
      <c r="T151" s="256">
        <f t="shared" ref="T151:T152" si="79">+R151-S151</f>
        <v>-9.9999904632568359E-3</v>
      </c>
    </row>
    <row r="152" spans="1:20" x14ac:dyDescent="0.25">
      <c r="A152" s="43">
        <v>283</v>
      </c>
      <c r="R152" s="43">
        <f>-'5 BS @ 8-31-25'!N174</f>
        <v>-189088413</v>
      </c>
      <c r="S152" s="43">
        <f>+R46+R87+R126</f>
        <v>-189088412.89000002</v>
      </c>
      <c r="T152" s="256">
        <f t="shared" si="79"/>
        <v>-0.10999998450279236</v>
      </c>
    </row>
    <row r="153" spans="1:20" ht="16.5" thickBot="1" x14ac:dyDescent="0.3">
      <c r="R153" s="58">
        <f>SUM(R150:R152)</f>
        <v>-107314161</v>
      </c>
      <c r="S153" s="58">
        <f t="shared" ref="S153:T153" si="80">SUM(S150:S152)</f>
        <v>-107314160.40999994</v>
      </c>
      <c r="T153" s="258">
        <f t="shared" si="80"/>
        <v>-0.59000006318092346</v>
      </c>
    </row>
    <row r="154" spans="1:20" ht="16.5" thickTop="1" x14ac:dyDescent="0.25"/>
  </sheetData>
  <pageMargins left="0.7" right="0.7" top="0.75" bottom="0.75" header="0.3" footer="0.3"/>
  <pageSetup orientation="portrait" r:id="rId1"/>
  <headerFooter>
    <oddFooter>&amp;L_x000D_&amp;1#&amp;"Calibri"&amp;14&amp;K000000 Confidential</oddFooter>
  </headerFooter>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CEDC3-84FB-40E5-8583-23F761788748}">
  <dimension ref="A1:S178"/>
  <sheetViews>
    <sheetView topLeftCell="A157" workbookViewId="0">
      <selection activeCell="I166" sqref="I166"/>
    </sheetView>
  </sheetViews>
  <sheetFormatPr defaultColWidth="9.140625" defaultRowHeight="15.75" x14ac:dyDescent="0.25"/>
  <cols>
    <col min="1" max="1" width="7.140625" style="260" bestFit="1" customWidth="1"/>
    <col min="2" max="2" width="0.85546875" style="260" customWidth="1"/>
    <col min="3" max="3" width="3.7109375" style="260" customWidth="1"/>
    <col min="4" max="6" width="4.5703125" style="260" customWidth="1"/>
    <col min="7" max="9" width="9.140625" style="260"/>
    <col min="10" max="10" width="15" style="260" customWidth="1"/>
    <col min="11" max="11" width="0.85546875" style="260" customWidth="1"/>
    <col min="12" max="12" width="14.140625" style="260" customWidth="1"/>
    <col min="13" max="13" width="1.85546875" style="260" customWidth="1"/>
    <col min="14" max="14" width="16.140625" style="260" bestFit="1" customWidth="1"/>
    <col min="15" max="15" width="2.5703125" style="260" customWidth="1"/>
    <col min="16" max="16" width="15" style="260" bestFit="1" customWidth="1"/>
    <col min="17" max="16384" width="9.140625" style="260"/>
  </cols>
  <sheetData>
    <row r="1" spans="1:14" x14ac:dyDescent="0.25">
      <c r="A1" s="370" t="s">
        <v>525</v>
      </c>
      <c r="B1" s="370"/>
      <c r="C1" s="370"/>
      <c r="D1" s="370"/>
      <c r="E1" s="370"/>
      <c r="F1" s="370"/>
      <c r="G1" s="370"/>
      <c r="H1" s="370"/>
      <c r="I1" s="370"/>
      <c r="J1" s="370"/>
      <c r="K1" s="370"/>
      <c r="L1" s="370"/>
    </row>
    <row r="2" spans="1:14" x14ac:dyDescent="0.25">
      <c r="A2" s="261"/>
      <c r="B2" s="261"/>
      <c r="C2" s="261"/>
      <c r="D2" s="261"/>
      <c r="E2" s="261"/>
      <c r="F2" s="261"/>
      <c r="G2" s="261"/>
      <c r="H2" s="261"/>
      <c r="I2" s="261"/>
      <c r="J2" s="261"/>
      <c r="K2" s="261"/>
    </row>
    <row r="3" spans="1:14" x14ac:dyDescent="0.25">
      <c r="A3" s="370" t="s">
        <v>526</v>
      </c>
      <c r="B3" s="370"/>
      <c r="C3" s="370"/>
      <c r="D3" s="370"/>
      <c r="E3" s="370"/>
      <c r="F3" s="370"/>
      <c r="G3" s="370"/>
      <c r="H3" s="370"/>
      <c r="I3" s="370"/>
      <c r="J3" s="370"/>
      <c r="K3" s="370"/>
      <c r="L3" s="370"/>
    </row>
    <row r="4" spans="1:14" x14ac:dyDescent="0.25">
      <c r="A4" s="371">
        <v>45900</v>
      </c>
      <c r="B4" s="371"/>
      <c r="C4" s="371"/>
      <c r="D4" s="371"/>
      <c r="E4" s="371"/>
      <c r="F4" s="371"/>
      <c r="G4" s="371"/>
      <c r="H4" s="371"/>
      <c r="I4" s="371"/>
      <c r="J4" s="371"/>
      <c r="K4" s="371"/>
      <c r="L4" s="371"/>
    </row>
    <row r="5" spans="1:14" x14ac:dyDescent="0.25">
      <c r="A5" s="372" t="s">
        <v>527</v>
      </c>
      <c r="B5" s="372"/>
      <c r="C5" s="372"/>
      <c r="D5" s="372"/>
      <c r="E5" s="372"/>
      <c r="F5" s="372"/>
      <c r="G5" s="372"/>
      <c r="H5" s="372"/>
      <c r="I5" s="372"/>
      <c r="J5" s="372"/>
      <c r="K5" s="372"/>
      <c r="L5" s="372"/>
    </row>
    <row r="6" spans="1:14" x14ac:dyDescent="0.25">
      <c r="A6" s="373" t="s">
        <v>528</v>
      </c>
      <c r="B6" s="373"/>
      <c r="C6" s="373"/>
      <c r="D6" s="373"/>
      <c r="E6" s="373"/>
      <c r="F6" s="373"/>
      <c r="G6" s="373"/>
      <c r="H6" s="373"/>
      <c r="I6" s="373"/>
      <c r="J6" s="373"/>
      <c r="K6" s="373"/>
      <c r="L6" s="373"/>
    </row>
    <row r="9" spans="1:14" s="261" customFormat="1" x14ac:dyDescent="0.25">
      <c r="A9" s="259" t="s">
        <v>529</v>
      </c>
    </row>
    <row r="10" spans="1:14" s="261" customFormat="1" x14ac:dyDescent="0.25">
      <c r="A10" s="262" t="s">
        <v>530</v>
      </c>
      <c r="C10" s="263" t="s">
        <v>531</v>
      </c>
      <c r="L10" s="262" t="s">
        <v>532</v>
      </c>
      <c r="N10" s="262" t="s">
        <v>532</v>
      </c>
    </row>
    <row r="11" spans="1:14" x14ac:dyDescent="0.25">
      <c r="A11" s="264"/>
    </row>
    <row r="12" spans="1:14" x14ac:dyDescent="0.25">
      <c r="A12" s="264"/>
      <c r="C12" s="260" t="s">
        <v>533</v>
      </c>
    </row>
    <row r="13" spans="1:14" x14ac:dyDescent="0.25">
      <c r="A13" s="264">
        <v>101</v>
      </c>
      <c r="D13" s="260" t="s">
        <v>534</v>
      </c>
      <c r="L13" s="265">
        <v>5307936</v>
      </c>
      <c r="N13" s="265">
        <v>5307935932</v>
      </c>
    </row>
    <row r="14" spans="1:14" x14ac:dyDescent="0.25">
      <c r="A14" s="264">
        <v>105</v>
      </c>
      <c r="D14" s="260" t="s">
        <v>535</v>
      </c>
      <c r="L14" s="266">
        <v>15577</v>
      </c>
      <c r="N14" s="266">
        <v>15577074</v>
      </c>
    </row>
    <row r="15" spans="1:14" x14ac:dyDescent="0.25">
      <c r="A15" s="264">
        <v>106</v>
      </c>
      <c r="D15" s="260" t="s">
        <v>536</v>
      </c>
      <c r="L15" s="266">
        <v>771388</v>
      </c>
      <c r="N15" s="266">
        <v>771388498</v>
      </c>
    </row>
    <row r="16" spans="1:14" x14ac:dyDescent="0.25">
      <c r="A16" s="264">
        <v>107</v>
      </c>
      <c r="D16" s="260" t="s">
        <v>537</v>
      </c>
      <c r="L16" s="266">
        <v>563147</v>
      </c>
      <c r="N16" s="266">
        <v>563147017</v>
      </c>
    </row>
    <row r="17" spans="1:16" x14ac:dyDescent="0.25">
      <c r="A17" s="264">
        <v>114</v>
      </c>
      <c r="D17" s="260" t="s">
        <v>538</v>
      </c>
      <c r="L17" s="267">
        <v>751164</v>
      </c>
      <c r="N17" s="267">
        <v>751163593</v>
      </c>
    </row>
    <row r="18" spans="1:16" x14ac:dyDescent="0.25">
      <c r="A18" s="264"/>
      <c r="F18" s="260" t="s">
        <v>539</v>
      </c>
      <c r="L18" s="266">
        <v>7409212</v>
      </c>
      <c r="N18" s="266">
        <v>7409212114</v>
      </c>
    </row>
    <row r="19" spans="1:16" x14ac:dyDescent="0.25">
      <c r="A19" s="264">
        <v>108</v>
      </c>
      <c r="D19" s="260" t="s">
        <v>540</v>
      </c>
      <c r="L19" s="266">
        <v>-1693910</v>
      </c>
      <c r="N19" s="266">
        <v>-1693909795</v>
      </c>
    </row>
    <row r="20" spans="1:16" x14ac:dyDescent="0.25">
      <c r="A20" s="264">
        <v>111</v>
      </c>
      <c r="D20" s="260" t="s">
        <v>541</v>
      </c>
      <c r="L20" s="266">
        <v>-26347</v>
      </c>
      <c r="N20" s="266">
        <v>-26347280</v>
      </c>
    </row>
    <row r="21" spans="1:16" x14ac:dyDescent="0.25">
      <c r="A21" s="264"/>
      <c r="F21" s="260" t="s">
        <v>542</v>
      </c>
      <c r="L21" s="268">
        <v>5688955</v>
      </c>
      <c r="N21" s="268">
        <v>5688955039</v>
      </c>
    </row>
    <row r="22" spans="1:16" x14ac:dyDescent="0.25">
      <c r="A22" s="264"/>
      <c r="L22" s="266"/>
      <c r="N22" s="266"/>
      <c r="P22" s="269"/>
    </row>
    <row r="23" spans="1:16" x14ac:dyDescent="0.25">
      <c r="A23" s="264"/>
      <c r="C23" s="260" t="s">
        <v>543</v>
      </c>
      <c r="L23" s="266"/>
      <c r="N23" s="266"/>
      <c r="P23" s="269"/>
    </row>
    <row r="24" spans="1:16" x14ac:dyDescent="0.25">
      <c r="A24" s="264">
        <v>121</v>
      </c>
      <c r="D24" s="260" t="s">
        <v>544</v>
      </c>
      <c r="L24" s="266">
        <v>5270</v>
      </c>
      <c r="N24" s="266">
        <v>5269831</v>
      </c>
      <c r="P24" s="269"/>
    </row>
    <row r="25" spans="1:16" x14ac:dyDescent="0.25">
      <c r="A25" s="264">
        <v>122</v>
      </c>
      <c r="D25" s="260" t="s">
        <v>545</v>
      </c>
      <c r="L25" s="267">
        <v>-119</v>
      </c>
      <c r="N25" s="267">
        <v>-119155</v>
      </c>
      <c r="P25" s="269"/>
    </row>
    <row r="26" spans="1:16" x14ac:dyDescent="0.25">
      <c r="A26" s="264"/>
      <c r="F26" s="260" t="s">
        <v>546</v>
      </c>
      <c r="L26" s="266">
        <v>5151</v>
      </c>
      <c r="N26" s="266">
        <v>5150676</v>
      </c>
      <c r="P26" s="269"/>
    </row>
    <row r="27" spans="1:16" x14ac:dyDescent="0.25">
      <c r="A27" s="264">
        <v>123</v>
      </c>
      <c r="D27" s="260" t="s">
        <v>547</v>
      </c>
      <c r="L27" s="266">
        <v>0</v>
      </c>
      <c r="N27" s="266">
        <v>0</v>
      </c>
      <c r="P27" s="269"/>
    </row>
    <row r="28" spans="1:16" x14ac:dyDescent="0.25">
      <c r="A28" s="264">
        <v>123.1</v>
      </c>
      <c r="D28" s="270" t="s">
        <v>548</v>
      </c>
      <c r="L28" s="266">
        <v>0</v>
      </c>
      <c r="N28" s="266">
        <v>0</v>
      </c>
      <c r="P28" s="269"/>
    </row>
    <row r="29" spans="1:16" x14ac:dyDescent="0.25">
      <c r="A29" s="264">
        <v>124</v>
      </c>
      <c r="D29" s="260" t="s">
        <v>549</v>
      </c>
      <c r="L29" s="266">
        <v>0</v>
      </c>
      <c r="N29" s="266">
        <v>0</v>
      </c>
      <c r="P29" s="269"/>
    </row>
    <row r="30" spans="1:16" x14ac:dyDescent="0.25">
      <c r="A30" s="264">
        <v>128</v>
      </c>
      <c r="D30" s="260" t="s">
        <v>550</v>
      </c>
      <c r="L30" s="266">
        <v>36576</v>
      </c>
      <c r="N30" s="266">
        <v>36575781</v>
      </c>
      <c r="P30" s="269"/>
    </row>
    <row r="31" spans="1:16" x14ac:dyDescent="0.25">
      <c r="A31" s="264">
        <v>129</v>
      </c>
      <c r="D31" s="260" t="s">
        <v>551</v>
      </c>
      <c r="L31" s="266">
        <v>0</v>
      </c>
      <c r="N31" s="266">
        <v>0</v>
      </c>
      <c r="P31" s="269"/>
    </row>
    <row r="32" spans="1:16" x14ac:dyDescent="0.25">
      <c r="A32" s="264">
        <v>175</v>
      </c>
      <c r="D32" s="260" t="s">
        <v>552</v>
      </c>
      <c r="L32" s="266">
        <v>1578</v>
      </c>
      <c r="N32" s="266">
        <v>1578056</v>
      </c>
      <c r="P32" s="269"/>
    </row>
    <row r="33" spans="1:16" x14ac:dyDescent="0.25">
      <c r="A33" s="264"/>
      <c r="F33" s="260" t="s">
        <v>553</v>
      </c>
      <c r="L33" s="268">
        <v>43305</v>
      </c>
      <c r="N33" s="268">
        <v>43304513</v>
      </c>
      <c r="P33" s="269"/>
    </row>
    <row r="34" spans="1:16" x14ac:dyDescent="0.25">
      <c r="A34" s="264"/>
      <c r="L34" s="266"/>
      <c r="N34" s="266"/>
    </row>
    <row r="35" spans="1:16" x14ac:dyDescent="0.25">
      <c r="A35" s="264"/>
      <c r="C35" s="260" t="s">
        <v>554</v>
      </c>
      <c r="L35" s="266"/>
      <c r="N35" s="266"/>
    </row>
    <row r="36" spans="1:16" x14ac:dyDescent="0.25">
      <c r="A36" s="264">
        <v>131</v>
      </c>
      <c r="D36" s="260" t="s">
        <v>555</v>
      </c>
      <c r="L36" s="266">
        <v>0</v>
      </c>
      <c r="N36" s="266">
        <v>250</v>
      </c>
    </row>
    <row r="37" spans="1:16" ht="14.45" customHeight="1" x14ac:dyDescent="0.25">
      <c r="A37" s="264">
        <v>132</v>
      </c>
      <c r="D37" s="260" t="s">
        <v>556</v>
      </c>
      <c r="L37" s="266">
        <v>0</v>
      </c>
      <c r="N37" s="266">
        <v>0</v>
      </c>
    </row>
    <row r="38" spans="1:16" x14ac:dyDescent="0.25">
      <c r="A38" s="264">
        <v>134</v>
      </c>
      <c r="D38" s="260" t="s">
        <v>557</v>
      </c>
      <c r="L38" s="266">
        <v>0</v>
      </c>
      <c r="N38" s="266">
        <v>0</v>
      </c>
    </row>
    <row r="39" spans="1:16" x14ac:dyDescent="0.25">
      <c r="A39" s="264">
        <v>135</v>
      </c>
      <c r="D39" s="260" t="s">
        <v>558</v>
      </c>
      <c r="L39" s="266">
        <v>0</v>
      </c>
      <c r="N39" s="266">
        <v>0</v>
      </c>
    </row>
    <row r="40" spans="1:16" x14ac:dyDescent="0.25">
      <c r="A40" s="264">
        <v>136</v>
      </c>
      <c r="D40" s="260" t="s">
        <v>559</v>
      </c>
      <c r="L40" s="266">
        <v>3</v>
      </c>
      <c r="N40" s="266">
        <v>3127</v>
      </c>
    </row>
    <row r="41" spans="1:16" x14ac:dyDescent="0.25">
      <c r="A41" s="264"/>
      <c r="D41" s="260" t="s">
        <v>560</v>
      </c>
      <c r="L41" s="266"/>
      <c r="N41" s="266"/>
    </row>
    <row r="42" spans="1:16" x14ac:dyDescent="0.25">
      <c r="A42" s="264">
        <v>141</v>
      </c>
      <c r="E42" s="260" t="s">
        <v>561</v>
      </c>
      <c r="L42" s="266">
        <v>0</v>
      </c>
      <c r="N42" s="266">
        <v>0</v>
      </c>
    </row>
    <row r="43" spans="1:16" x14ac:dyDescent="0.25">
      <c r="A43" s="264">
        <v>142</v>
      </c>
      <c r="E43" s="260" t="s">
        <v>562</v>
      </c>
      <c r="L43" s="266">
        <v>291223</v>
      </c>
      <c r="N43" s="266">
        <v>291223371</v>
      </c>
    </row>
    <row r="44" spans="1:16" x14ac:dyDescent="0.25">
      <c r="A44" s="264">
        <v>143</v>
      </c>
      <c r="E44" s="260" t="s">
        <v>563</v>
      </c>
      <c r="L44" s="266">
        <v>44739</v>
      </c>
      <c r="N44" s="266">
        <v>44738654</v>
      </c>
    </row>
    <row r="45" spans="1:16" x14ac:dyDescent="0.25">
      <c r="A45" s="264">
        <v>144</v>
      </c>
      <c r="E45" s="260" t="s">
        <v>564</v>
      </c>
      <c r="L45" s="266">
        <v>-77672</v>
      </c>
      <c r="N45" s="266">
        <v>-77672323</v>
      </c>
    </row>
    <row r="46" spans="1:16" x14ac:dyDescent="0.25">
      <c r="A46" s="264"/>
      <c r="F46" s="260" t="s">
        <v>565</v>
      </c>
      <c r="L46" s="271">
        <v>258290</v>
      </c>
      <c r="N46" s="271">
        <v>258289702</v>
      </c>
    </row>
    <row r="47" spans="1:16" x14ac:dyDescent="0.25">
      <c r="A47" s="264">
        <v>145</v>
      </c>
      <c r="D47" s="260" t="s">
        <v>566</v>
      </c>
      <c r="L47" s="266">
        <v>12500</v>
      </c>
      <c r="N47" s="266">
        <v>12499839</v>
      </c>
    </row>
    <row r="48" spans="1:16" x14ac:dyDescent="0.25">
      <c r="A48" s="264">
        <v>146</v>
      </c>
      <c r="D48" s="260" t="s">
        <v>567</v>
      </c>
      <c r="L48" s="266">
        <v>4839</v>
      </c>
      <c r="N48" s="266">
        <v>4838536</v>
      </c>
    </row>
    <row r="49" spans="1:14" x14ac:dyDescent="0.25">
      <c r="A49" s="264"/>
      <c r="D49" s="260" t="s">
        <v>568</v>
      </c>
      <c r="L49" s="266"/>
      <c r="N49" s="266"/>
    </row>
    <row r="50" spans="1:14" x14ac:dyDescent="0.25">
      <c r="A50" s="264">
        <v>154</v>
      </c>
      <c r="E50" s="260" t="s">
        <v>569</v>
      </c>
      <c r="L50" s="266">
        <v>42770</v>
      </c>
      <c r="N50" s="266">
        <v>42770268</v>
      </c>
    </row>
    <row r="51" spans="1:14" x14ac:dyDescent="0.25">
      <c r="A51" s="264">
        <v>158</v>
      </c>
      <c r="E51" s="270" t="s">
        <v>570</v>
      </c>
      <c r="L51" s="266">
        <v>8132</v>
      </c>
      <c r="N51" s="266">
        <v>8131835</v>
      </c>
    </row>
    <row r="52" spans="1:14" x14ac:dyDescent="0.25">
      <c r="A52" s="264">
        <v>163</v>
      </c>
      <c r="E52" s="260" t="s">
        <v>571</v>
      </c>
      <c r="L52" s="266">
        <v>3835</v>
      </c>
      <c r="N52" s="266">
        <v>3834991</v>
      </c>
    </row>
    <row r="53" spans="1:14" x14ac:dyDescent="0.25">
      <c r="A53" s="264">
        <v>164.1</v>
      </c>
      <c r="E53" s="260" t="s">
        <v>572</v>
      </c>
      <c r="L53" s="266">
        <v>9959</v>
      </c>
      <c r="N53" s="266">
        <v>9958523</v>
      </c>
    </row>
    <row r="54" spans="1:14" x14ac:dyDescent="0.25">
      <c r="A54" s="264">
        <v>164.2</v>
      </c>
      <c r="E54" s="260" t="s">
        <v>573</v>
      </c>
      <c r="L54" s="266">
        <v>6290</v>
      </c>
      <c r="N54" s="266">
        <v>6290106</v>
      </c>
    </row>
    <row r="55" spans="1:14" x14ac:dyDescent="0.25">
      <c r="A55" s="264"/>
      <c r="F55" s="260" t="s">
        <v>574</v>
      </c>
      <c r="L55" s="271">
        <v>70986</v>
      </c>
      <c r="N55" s="272">
        <v>70985723</v>
      </c>
    </row>
    <row r="56" spans="1:14" x14ac:dyDescent="0.25">
      <c r="A56" s="264"/>
      <c r="L56" s="265"/>
      <c r="N56" s="265"/>
    </row>
    <row r="57" spans="1:14" x14ac:dyDescent="0.25">
      <c r="A57" s="370" t="s">
        <v>525</v>
      </c>
      <c r="B57" s="370"/>
      <c r="C57" s="370"/>
      <c r="D57" s="370"/>
      <c r="E57" s="370"/>
      <c r="F57" s="370"/>
      <c r="G57" s="370"/>
      <c r="H57" s="370"/>
      <c r="I57" s="370"/>
      <c r="J57" s="370"/>
      <c r="K57" s="370"/>
      <c r="L57" s="370"/>
    </row>
    <row r="58" spans="1:14" x14ac:dyDescent="0.25">
      <c r="A58" s="261"/>
      <c r="B58" s="261"/>
      <c r="C58" s="261"/>
      <c r="D58" s="261"/>
      <c r="E58" s="261"/>
      <c r="F58" s="261"/>
      <c r="G58" s="261"/>
      <c r="H58" s="261"/>
      <c r="I58" s="261"/>
      <c r="J58" s="261"/>
      <c r="K58" s="261"/>
    </row>
    <row r="59" spans="1:14" x14ac:dyDescent="0.25">
      <c r="A59" s="370" t="s">
        <v>526</v>
      </c>
      <c r="B59" s="370"/>
      <c r="C59" s="370"/>
      <c r="D59" s="370"/>
      <c r="E59" s="370"/>
      <c r="F59" s="370"/>
      <c r="G59" s="370"/>
      <c r="H59" s="370"/>
      <c r="I59" s="370"/>
      <c r="J59" s="370"/>
      <c r="K59" s="370"/>
      <c r="L59" s="370"/>
    </row>
    <row r="60" spans="1:14" x14ac:dyDescent="0.25">
      <c r="A60" s="371">
        <v>45900</v>
      </c>
      <c r="B60" s="371"/>
      <c r="C60" s="371"/>
      <c r="D60" s="371"/>
      <c r="E60" s="371"/>
      <c r="F60" s="371"/>
      <c r="G60" s="371"/>
      <c r="H60" s="371"/>
      <c r="I60" s="371"/>
      <c r="J60" s="371"/>
      <c r="K60" s="371"/>
      <c r="L60" s="371"/>
    </row>
    <row r="61" spans="1:14" x14ac:dyDescent="0.25">
      <c r="A61" s="372" t="s">
        <v>527</v>
      </c>
      <c r="B61" s="372"/>
      <c r="C61" s="372"/>
      <c r="D61" s="372"/>
      <c r="E61" s="372"/>
      <c r="F61" s="372"/>
      <c r="G61" s="372"/>
      <c r="H61" s="372"/>
      <c r="I61" s="372"/>
      <c r="J61" s="372"/>
      <c r="K61" s="372"/>
      <c r="L61" s="372"/>
    </row>
    <row r="62" spans="1:14" x14ac:dyDescent="0.25">
      <c r="A62" s="373" t="s">
        <v>528</v>
      </c>
      <c r="B62" s="373"/>
      <c r="C62" s="373"/>
      <c r="D62" s="373"/>
      <c r="E62" s="373"/>
      <c r="F62" s="373"/>
      <c r="G62" s="373"/>
      <c r="H62" s="373"/>
      <c r="I62" s="373"/>
      <c r="J62" s="373"/>
      <c r="K62" s="373"/>
      <c r="L62" s="373"/>
    </row>
    <row r="65" spans="1:14" x14ac:dyDescent="0.25">
      <c r="A65" s="259" t="s">
        <v>529</v>
      </c>
      <c r="B65" s="261"/>
      <c r="C65" s="261"/>
      <c r="D65" s="261"/>
      <c r="E65" s="261"/>
      <c r="F65" s="261"/>
      <c r="G65" s="261"/>
      <c r="H65" s="261"/>
      <c r="I65" s="261"/>
      <c r="J65" s="261"/>
      <c r="K65" s="261"/>
    </row>
    <row r="66" spans="1:14" x14ac:dyDescent="0.25">
      <c r="A66" s="262" t="s">
        <v>530</v>
      </c>
      <c r="B66" s="261"/>
      <c r="C66" s="263" t="s">
        <v>531</v>
      </c>
      <c r="D66" s="261"/>
      <c r="E66" s="261"/>
      <c r="F66" s="261"/>
      <c r="G66" s="261"/>
      <c r="H66" s="261"/>
      <c r="I66" s="261"/>
      <c r="J66" s="261"/>
      <c r="K66" s="261"/>
      <c r="L66" s="262" t="s">
        <v>532</v>
      </c>
      <c r="N66" s="262" t="s">
        <v>532</v>
      </c>
    </row>
    <row r="67" spans="1:14" x14ac:dyDescent="0.25">
      <c r="A67" s="262"/>
      <c r="B67" s="261"/>
      <c r="C67" s="263"/>
      <c r="D67" s="261"/>
      <c r="E67" s="261"/>
      <c r="F67" s="261"/>
      <c r="G67" s="261"/>
      <c r="H67" s="261"/>
      <c r="I67" s="261"/>
      <c r="J67" s="261"/>
      <c r="K67" s="261"/>
    </row>
    <row r="68" spans="1:14" x14ac:dyDescent="0.25">
      <c r="A68" s="262"/>
      <c r="B68" s="261"/>
      <c r="C68" s="260" t="s">
        <v>575</v>
      </c>
      <c r="D68" s="261"/>
      <c r="E68" s="261"/>
      <c r="F68" s="261"/>
      <c r="G68" s="261"/>
      <c r="H68" s="261"/>
      <c r="I68" s="261"/>
      <c r="J68" s="261"/>
      <c r="K68" s="261"/>
    </row>
    <row r="69" spans="1:14" x14ac:dyDescent="0.25">
      <c r="A69" s="264">
        <v>165</v>
      </c>
      <c r="D69" s="260" t="s">
        <v>576</v>
      </c>
      <c r="L69" s="265">
        <v>8347</v>
      </c>
      <c r="N69" s="265">
        <v>8347532</v>
      </c>
    </row>
    <row r="70" spans="1:14" x14ac:dyDescent="0.25">
      <c r="A70" s="264"/>
      <c r="D70" s="260" t="s">
        <v>577</v>
      </c>
      <c r="L70" s="266"/>
      <c r="N70" s="266">
        <v>0</v>
      </c>
    </row>
    <row r="71" spans="1:14" x14ac:dyDescent="0.25">
      <c r="A71" s="264">
        <v>171</v>
      </c>
      <c r="E71" s="260" t="s">
        <v>578</v>
      </c>
      <c r="L71" s="266">
        <v>0</v>
      </c>
      <c r="N71" s="266">
        <v>11</v>
      </c>
    </row>
    <row r="72" spans="1:14" x14ac:dyDescent="0.25">
      <c r="A72" s="264">
        <v>172</v>
      </c>
      <c r="E72" s="260" t="s">
        <v>579</v>
      </c>
      <c r="L72" s="266">
        <v>1271</v>
      </c>
      <c r="N72" s="266">
        <v>1270593</v>
      </c>
    </row>
    <row r="73" spans="1:14" x14ac:dyDescent="0.25">
      <c r="A73" s="264">
        <v>173</v>
      </c>
      <c r="E73" s="260" t="s">
        <v>580</v>
      </c>
      <c r="L73" s="266">
        <v>93589</v>
      </c>
      <c r="N73" s="266">
        <v>93588777</v>
      </c>
    </row>
    <row r="74" spans="1:14" x14ac:dyDescent="0.25">
      <c r="A74" s="264">
        <v>174</v>
      </c>
      <c r="E74" s="260" t="s">
        <v>581</v>
      </c>
      <c r="L74" s="266">
        <v>1971</v>
      </c>
      <c r="N74" s="266">
        <v>1971143</v>
      </c>
    </row>
    <row r="75" spans="1:14" x14ac:dyDescent="0.25">
      <c r="A75" s="264">
        <v>175</v>
      </c>
      <c r="E75" s="260" t="s">
        <v>582</v>
      </c>
      <c r="L75" s="266">
        <v>2229</v>
      </c>
      <c r="N75" s="266">
        <v>2229386</v>
      </c>
    </row>
    <row r="76" spans="1:14" x14ac:dyDescent="0.25">
      <c r="A76" s="264">
        <v>190</v>
      </c>
      <c r="E76" s="260" t="s">
        <v>583</v>
      </c>
      <c r="L76" s="266">
        <v>0</v>
      </c>
      <c r="N76" s="266">
        <v>0</v>
      </c>
    </row>
    <row r="77" spans="1:14" x14ac:dyDescent="0.25">
      <c r="A77" s="264"/>
      <c r="F77" s="260" t="s">
        <v>584</v>
      </c>
      <c r="L77" s="268">
        <v>99060</v>
      </c>
      <c r="N77" s="268">
        <v>99059910</v>
      </c>
    </row>
    <row r="78" spans="1:14" x14ac:dyDescent="0.25">
      <c r="A78" s="264"/>
      <c r="G78" s="260" t="s">
        <v>585</v>
      </c>
      <c r="L78" s="268">
        <v>454025</v>
      </c>
      <c r="N78" s="268">
        <v>454024619</v>
      </c>
    </row>
    <row r="79" spans="1:14" x14ac:dyDescent="0.25">
      <c r="A79" s="264"/>
      <c r="L79" s="266"/>
      <c r="N79" s="266"/>
    </row>
    <row r="80" spans="1:14" x14ac:dyDescent="0.25">
      <c r="A80" s="264"/>
      <c r="C80" s="260" t="s">
        <v>586</v>
      </c>
      <c r="L80" s="266"/>
      <c r="N80" s="266"/>
    </row>
    <row r="81" spans="1:14" x14ac:dyDescent="0.25">
      <c r="A81" s="264">
        <v>181</v>
      </c>
      <c r="D81" s="260" t="s">
        <v>587</v>
      </c>
      <c r="L81" s="266">
        <v>8295</v>
      </c>
      <c r="N81" s="266">
        <v>8294511</v>
      </c>
    </row>
    <row r="82" spans="1:14" x14ac:dyDescent="0.25">
      <c r="A82" s="264">
        <v>182.3</v>
      </c>
      <c r="D82" s="260" t="s">
        <v>588</v>
      </c>
      <c r="L82" s="266">
        <v>608433</v>
      </c>
      <c r="N82" s="266">
        <v>608433506</v>
      </c>
    </row>
    <row r="83" spans="1:14" x14ac:dyDescent="0.25">
      <c r="A83" s="264">
        <v>183</v>
      </c>
      <c r="D83" s="260" t="s">
        <v>589</v>
      </c>
      <c r="L83" s="266">
        <v>365</v>
      </c>
      <c r="N83" s="266">
        <v>365265</v>
      </c>
    </row>
    <row r="84" spans="1:14" x14ac:dyDescent="0.25">
      <c r="A84" s="264">
        <v>184</v>
      </c>
      <c r="D84" s="260" t="s">
        <v>590</v>
      </c>
      <c r="L84" s="266">
        <v>7307</v>
      </c>
      <c r="N84" s="266">
        <v>7306879</v>
      </c>
    </row>
    <row r="85" spans="1:14" x14ac:dyDescent="0.25">
      <c r="A85" s="264">
        <v>185</v>
      </c>
      <c r="D85" s="260" t="s">
        <v>591</v>
      </c>
      <c r="L85" s="266">
        <v>218</v>
      </c>
      <c r="N85" s="266">
        <v>218247</v>
      </c>
    </row>
    <row r="86" spans="1:14" x14ac:dyDescent="0.25">
      <c r="A86" s="264">
        <v>186</v>
      </c>
      <c r="D86" s="260" t="s">
        <v>592</v>
      </c>
      <c r="L86" s="266">
        <v>0</v>
      </c>
      <c r="N86" s="266">
        <v>0</v>
      </c>
    </row>
    <row r="87" spans="1:14" x14ac:dyDescent="0.25">
      <c r="A87" s="264">
        <v>189</v>
      </c>
      <c r="D87" s="260" t="s">
        <v>593</v>
      </c>
      <c r="L87" s="266">
        <v>1765</v>
      </c>
      <c r="N87" s="266">
        <v>1765246</v>
      </c>
    </row>
    <row r="88" spans="1:14" x14ac:dyDescent="0.25">
      <c r="A88" s="273">
        <v>190</v>
      </c>
      <c r="B88" s="274"/>
      <c r="C88" s="274"/>
      <c r="D88" s="274" t="s">
        <v>594</v>
      </c>
      <c r="E88" s="274"/>
      <c r="F88" s="274"/>
      <c r="G88" s="274"/>
      <c r="H88" s="274"/>
      <c r="I88" s="274"/>
      <c r="J88" s="274"/>
      <c r="K88" s="274"/>
      <c r="L88" s="275">
        <v>235793</v>
      </c>
      <c r="M88" s="274"/>
      <c r="N88" s="275">
        <v>235793181</v>
      </c>
    </row>
    <row r="89" spans="1:14" x14ac:dyDescent="0.25">
      <c r="A89" s="264"/>
      <c r="D89" s="260" t="s">
        <v>595</v>
      </c>
      <c r="L89" s="268">
        <v>235793</v>
      </c>
      <c r="N89" s="268">
        <v>235793181</v>
      </c>
    </row>
    <row r="90" spans="1:14" x14ac:dyDescent="0.25">
      <c r="A90" s="264"/>
      <c r="E90" s="260" t="s">
        <v>596</v>
      </c>
      <c r="L90" s="268">
        <v>862176</v>
      </c>
      <c r="N90" s="268">
        <v>862176835</v>
      </c>
    </row>
    <row r="91" spans="1:14" x14ac:dyDescent="0.25">
      <c r="A91" s="264"/>
      <c r="L91" s="266"/>
      <c r="N91" s="266"/>
    </row>
    <row r="92" spans="1:14" ht="16.5" thickBot="1" x14ac:dyDescent="0.3">
      <c r="A92" s="264"/>
      <c r="C92" s="260" t="s">
        <v>597</v>
      </c>
      <c r="L92" s="276">
        <v>7048461</v>
      </c>
      <c r="N92" s="276">
        <v>7048461006</v>
      </c>
    </row>
    <row r="93" spans="1:14" ht="16.5" thickTop="1" x14ac:dyDescent="0.25">
      <c r="A93" s="264"/>
      <c r="L93" s="265"/>
      <c r="N93" s="265"/>
    </row>
    <row r="94" spans="1:14" x14ac:dyDescent="0.25">
      <c r="A94" s="264"/>
      <c r="L94" s="265"/>
      <c r="N94" s="265"/>
    </row>
    <row r="95" spans="1:14" x14ac:dyDescent="0.25">
      <c r="A95" s="370" t="s">
        <v>525</v>
      </c>
      <c r="B95" s="370"/>
      <c r="C95" s="370"/>
      <c r="D95" s="370"/>
      <c r="E95" s="370"/>
      <c r="F95" s="370"/>
      <c r="G95" s="370"/>
      <c r="H95" s="370"/>
      <c r="I95" s="370"/>
      <c r="J95" s="370"/>
      <c r="K95" s="370"/>
      <c r="L95" s="370"/>
    </row>
    <row r="96" spans="1:14" x14ac:dyDescent="0.25">
      <c r="A96" s="261"/>
      <c r="B96" s="261"/>
      <c r="C96" s="261"/>
      <c r="D96" s="261"/>
      <c r="E96" s="261"/>
      <c r="F96" s="261"/>
      <c r="G96" s="261"/>
      <c r="H96" s="261"/>
      <c r="I96" s="261"/>
      <c r="J96" s="261"/>
      <c r="K96" s="261"/>
    </row>
    <row r="97" spans="1:14" x14ac:dyDescent="0.25">
      <c r="A97" s="370" t="s">
        <v>526</v>
      </c>
      <c r="B97" s="370"/>
      <c r="C97" s="370"/>
      <c r="D97" s="370"/>
      <c r="E97" s="370"/>
      <c r="F97" s="370"/>
      <c r="G97" s="370"/>
      <c r="H97" s="370"/>
      <c r="I97" s="370"/>
      <c r="J97" s="370"/>
      <c r="K97" s="370"/>
      <c r="L97" s="370"/>
    </row>
    <row r="98" spans="1:14" x14ac:dyDescent="0.25">
      <c r="A98" s="371">
        <v>45900</v>
      </c>
      <c r="B98" s="371"/>
      <c r="C98" s="371"/>
      <c r="D98" s="371"/>
      <c r="E98" s="371"/>
      <c r="F98" s="371"/>
      <c r="G98" s="371"/>
      <c r="H98" s="371"/>
      <c r="I98" s="371"/>
      <c r="J98" s="371"/>
      <c r="K98" s="371"/>
      <c r="L98" s="371"/>
    </row>
    <row r="99" spans="1:14" x14ac:dyDescent="0.25">
      <c r="A99" s="372" t="s">
        <v>598</v>
      </c>
      <c r="B99" s="372"/>
      <c r="C99" s="372"/>
      <c r="D99" s="372"/>
      <c r="E99" s="372"/>
      <c r="F99" s="372"/>
      <c r="G99" s="372"/>
      <c r="H99" s="372"/>
      <c r="I99" s="372"/>
      <c r="J99" s="372"/>
      <c r="K99" s="372"/>
      <c r="L99" s="372"/>
    </row>
    <row r="100" spans="1:14" x14ac:dyDescent="0.25">
      <c r="A100" s="373" t="s">
        <v>528</v>
      </c>
      <c r="B100" s="373"/>
      <c r="C100" s="373"/>
      <c r="D100" s="373"/>
      <c r="E100" s="373"/>
      <c r="F100" s="373"/>
      <c r="G100" s="373"/>
      <c r="H100" s="373"/>
      <c r="I100" s="373"/>
      <c r="J100" s="373"/>
      <c r="K100" s="373"/>
      <c r="L100" s="373"/>
    </row>
    <row r="102" spans="1:14" x14ac:dyDescent="0.25">
      <c r="A102" s="259" t="s">
        <v>529</v>
      </c>
      <c r="B102" s="261"/>
      <c r="C102" s="261"/>
      <c r="D102" s="261"/>
      <c r="E102" s="261"/>
      <c r="F102" s="261"/>
      <c r="G102" s="261"/>
      <c r="H102" s="261"/>
      <c r="I102" s="261"/>
      <c r="J102" s="261"/>
      <c r="K102" s="261"/>
    </row>
    <row r="103" spans="1:14" x14ac:dyDescent="0.25">
      <c r="A103" s="262" t="s">
        <v>530</v>
      </c>
      <c r="B103" s="261"/>
      <c r="C103" s="263" t="s">
        <v>531</v>
      </c>
      <c r="D103" s="261"/>
      <c r="E103" s="261"/>
      <c r="F103" s="261"/>
      <c r="G103" s="261"/>
      <c r="H103" s="261"/>
      <c r="I103" s="261"/>
      <c r="J103" s="261"/>
      <c r="K103" s="261"/>
      <c r="L103" s="262" t="s">
        <v>532</v>
      </c>
      <c r="N103" s="262" t="s">
        <v>532</v>
      </c>
    </row>
    <row r="104" spans="1:14" x14ac:dyDescent="0.25">
      <c r="A104" s="262"/>
      <c r="B104" s="261"/>
      <c r="C104" s="263"/>
      <c r="D104" s="261"/>
      <c r="E104" s="261"/>
      <c r="F104" s="261"/>
      <c r="G104" s="261"/>
      <c r="H104" s="261"/>
      <c r="I104" s="261"/>
      <c r="J104" s="261"/>
      <c r="K104" s="261"/>
    </row>
    <row r="105" spans="1:14" x14ac:dyDescent="0.25">
      <c r="A105" s="264"/>
      <c r="C105" s="260" t="s">
        <v>599</v>
      </c>
      <c r="L105" s="266"/>
      <c r="N105" s="266"/>
    </row>
    <row r="106" spans="1:14" x14ac:dyDescent="0.25">
      <c r="A106" s="264">
        <v>201</v>
      </c>
      <c r="D106" s="260" t="s">
        <v>600</v>
      </c>
      <c r="L106" s="265">
        <v>56624</v>
      </c>
      <c r="N106" s="265">
        <v>56624350</v>
      </c>
    </row>
    <row r="107" spans="1:14" x14ac:dyDescent="0.25">
      <c r="A107" s="264">
        <v>204</v>
      </c>
      <c r="D107" s="260" t="s">
        <v>601</v>
      </c>
      <c r="L107" s="266">
        <v>0</v>
      </c>
      <c r="N107" s="266">
        <v>0</v>
      </c>
    </row>
    <row r="108" spans="1:14" x14ac:dyDescent="0.25">
      <c r="A108" s="264">
        <v>207</v>
      </c>
      <c r="D108" s="260" t="s">
        <v>602</v>
      </c>
      <c r="L108" s="266">
        <v>0</v>
      </c>
      <c r="N108" s="266">
        <v>0</v>
      </c>
    </row>
    <row r="109" spans="1:14" x14ac:dyDescent="0.25">
      <c r="A109" s="264">
        <v>211</v>
      </c>
      <c r="D109" s="260" t="s">
        <v>603</v>
      </c>
      <c r="L109" s="266">
        <v>1842827</v>
      </c>
      <c r="N109" s="266">
        <v>1842827209</v>
      </c>
    </row>
    <row r="110" spans="1:14" x14ac:dyDescent="0.25">
      <c r="A110" s="264">
        <v>214</v>
      </c>
      <c r="D110" s="260" t="s">
        <v>604</v>
      </c>
      <c r="L110" s="266">
        <v>0</v>
      </c>
      <c r="N110" s="266">
        <v>0</v>
      </c>
    </row>
    <row r="111" spans="1:14" x14ac:dyDescent="0.25">
      <c r="A111" s="264">
        <v>215.1</v>
      </c>
      <c r="D111" s="260" t="s">
        <v>605</v>
      </c>
      <c r="L111" s="266">
        <v>0</v>
      </c>
      <c r="N111" s="266">
        <v>0</v>
      </c>
    </row>
    <row r="112" spans="1:14" x14ac:dyDescent="0.25">
      <c r="A112" s="264">
        <v>216</v>
      </c>
      <c r="D112" s="260" t="s">
        <v>606</v>
      </c>
      <c r="L112" s="266">
        <v>1507866</v>
      </c>
      <c r="N112" s="266">
        <v>1507864785</v>
      </c>
    </row>
    <row r="113" spans="1:14" x14ac:dyDescent="0.25">
      <c r="A113" s="264">
        <v>216.1</v>
      </c>
      <c r="D113" s="260" t="s">
        <v>607</v>
      </c>
      <c r="L113" s="266">
        <v>0</v>
      </c>
      <c r="N113" s="266">
        <v>0</v>
      </c>
    </row>
    <row r="114" spans="1:14" x14ac:dyDescent="0.25">
      <c r="A114" s="264">
        <v>217</v>
      </c>
      <c r="D114" s="260" t="s">
        <v>608</v>
      </c>
      <c r="L114" s="266">
        <v>0</v>
      </c>
      <c r="N114" s="266">
        <v>0</v>
      </c>
    </row>
    <row r="115" spans="1:14" x14ac:dyDescent="0.25">
      <c r="A115" s="264">
        <v>219</v>
      </c>
      <c r="D115" s="260" t="s">
        <v>609</v>
      </c>
      <c r="L115" s="266">
        <v>-7</v>
      </c>
      <c r="N115" s="266">
        <v>-7293</v>
      </c>
    </row>
    <row r="116" spans="1:14" x14ac:dyDescent="0.25">
      <c r="A116" s="264"/>
      <c r="F116" s="260" t="s">
        <v>610</v>
      </c>
      <c r="L116" s="268">
        <v>3407310</v>
      </c>
      <c r="N116" s="268">
        <v>3407309051</v>
      </c>
    </row>
    <row r="117" spans="1:14" x14ac:dyDescent="0.25">
      <c r="A117" s="264"/>
      <c r="L117" s="266"/>
      <c r="N117" s="266"/>
    </row>
    <row r="118" spans="1:14" x14ac:dyDescent="0.25">
      <c r="A118" s="264"/>
      <c r="C118" s="260" t="s">
        <v>611</v>
      </c>
      <c r="L118" s="266"/>
      <c r="N118" s="266"/>
    </row>
    <row r="119" spans="1:14" x14ac:dyDescent="0.25">
      <c r="A119" s="264">
        <v>221</v>
      </c>
      <c r="D119" s="260" t="s">
        <v>612</v>
      </c>
      <c r="L119" s="266">
        <v>2000000</v>
      </c>
      <c r="N119" s="266">
        <v>2000000000</v>
      </c>
    </row>
    <row r="120" spans="1:14" x14ac:dyDescent="0.25">
      <c r="A120" s="264">
        <v>224</v>
      </c>
      <c r="D120" s="260" t="s">
        <v>613</v>
      </c>
      <c r="L120" s="266">
        <v>0</v>
      </c>
      <c r="N120" s="266">
        <v>0</v>
      </c>
    </row>
    <row r="121" spans="1:14" x14ac:dyDescent="0.25">
      <c r="A121" s="264">
        <v>225</v>
      </c>
      <c r="D121" s="260" t="s">
        <v>614</v>
      </c>
      <c r="L121" s="266">
        <v>0</v>
      </c>
      <c r="N121" s="266">
        <v>0</v>
      </c>
    </row>
    <row r="122" spans="1:14" x14ac:dyDescent="0.25">
      <c r="A122" s="264">
        <v>226</v>
      </c>
      <c r="D122" s="260" t="s">
        <v>615</v>
      </c>
      <c r="L122" s="267">
        <v>-344</v>
      </c>
      <c r="N122" s="267">
        <v>-343559</v>
      </c>
    </row>
    <row r="123" spans="1:14" x14ac:dyDescent="0.25">
      <c r="A123" s="264"/>
      <c r="L123" s="266">
        <v>1999656</v>
      </c>
      <c r="N123" s="266">
        <v>1999656441</v>
      </c>
    </row>
    <row r="124" spans="1:14" x14ac:dyDescent="0.25">
      <c r="A124" s="264"/>
      <c r="D124" s="260" t="s">
        <v>616</v>
      </c>
      <c r="L124" s="266"/>
      <c r="N124" s="266"/>
    </row>
    <row r="125" spans="1:14" x14ac:dyDescent="0.25">
      <c r="A125" s="264">
        <v>221</v>
      </c>
      <c r="E125" s="260" t="s">
        <v>612</v>
      </c>
      <c r="L125" s="266">
        <v>750</v>
      </c>
      <c r="N125" s="266">
        <v>750000</v>
      </c>
    </row>
    <row r="126" spans="1:14" x14ac:dyDescent="0.25">
      <c r="A126" s="264"/>
      <c r="F126" s="260" t="s">
        <v>617</v>
      </c>
      <c r="L126" s="268">
        <v>2000406</v>
      </c>
      <c r="N126" s="268">
        <v>2000406441</v>
      </c>
    </row>
    <row r="127" spans="1:14" x14ac:dyDescent="0.25">
      <c r="A127" s="264"/>
      <c r="L127" s="266"/>
      <c r="N127" s="266"/>
    </row>
    <row r="128" spans="1:14" x14ac:dyDescent="0.25">
      <c r="A128" s="264"/>
      <c r="C128" s="260" t="s">
        <v>618</v>
      </c>
      <c r="L128" s="266"/>
      <c r="N128" s="266"/>
    </row>
    <row r="129" spans="1:14" x14ac:dyDescent="0.25">
      <c r="A129" s="264">
        <v>227</v>
      </c>
      <c r="D129" s="260" t="s">
        <v>619</v>
      </c>
      <c r="L129" s="266">
        <v>17070</v>
      </c>
      <c r="N129" s="266">
        <v>17069523</v>
      </c>
    </row>
    <row r="130" spans="1:14" x14ac:dyDescent="0.25">
      <c r="A130" s="277">
        <v>228.2</v>
      </c>
      <c r="D130" s="260" t="s">
        <v>620</v>
      </c>
      <c r="L130" s="266">
        <v>1571</v>
      </c>
      <c r="N130" s="266">
        <v>1570740</v>
      </c>
    </row>
    <row r="131" spans="1:14" x14ac:dyDescent="0.25">
      <c r="A131" s="277">
        <v>228.3</v>
      </c>
      <c r="D131" s="260" t="s">
        <v>621</v>
      </c>
      <c r="L131" s="266">
        <v>6023</v>
      </c>
      <c r="N131" s="266">
        <v>6023049</v>
      </c>
    </row>
    <row r="132" spans="1:14" x14ac:dyDescent="0.25">
      <c r="A132" s="278">
        <v>244</v>
      </c>
      <c r="D132" s="260" t="s">
        <v>622</v>
      </c>
      <c r="L132" s="266">
        <v>5475</v>
      </c>
      <c r="N132" s="266">
        <v>5474852</v>
      </c>
    </row>
    <row r="133" spans="1:14" x14ac:dyDescent="0.25">
      <c r="A133" s="264">
        <v>230</v>
      </c>
      <c r="D133" s="260" t="s">
        <v>623</v>
      </c>
      <c r="L133" s="267">
        <v>8658</v>
      </c>
      <c r="N133" s="267">
        <v>8658372</v>
      </c>
    </row>
    <row r="134" spans="1:14" x14ac:dyDescent="0.25">
      <c r="A134" s="264"/>
      <c r="C134" s="260" t="s">
        <v>624</v>
      </c>
      <c r="L134" s="266">
        <v>38797</v>
      </c>
      <c r="N134" s="266">
        <v>38796536</v>
      </c>
    </row>
    <row r="135" spans="1:14" x14ac:dyDescent="0.25">
      <c r="A135" s="264"/>
      <c r="L135" s="266"/>
      <c r="N135" s="266"/>
    </row>
    <row r="136" spans="1:14" x14ac:dyDescent="0.25">
      <c r="A136" s="264"/>
      <c r="C136" s="260" t="s">
        <v>625</v>
      </c>
      <c r="L136" s="266"/>
      <c r="N136" s="266"/>
    </row>
    <row r="137" spans="1:14" x14ac:dyDescent="0.25">
      <c r="A137" s="264">
        <v>224</v>
      </c>
      <c r="D137" s="260" t="s">
        <v>626</v>
      </c>
      <c r="L137" s="266">
        <v>0</v>
      </c>
      <c r="N137" s="266">
        <v>0</v>
      </c>
    </row>
    <row r="138" spans="1:14" x14ac:dyDescent="0.25">
      <c r="A138" s="264">
        <v>231</v>
      </c>
      <c r="D138" s="260" t="s">
        <v>627</v>
      </c>
      <c r="L138" s="266">
        <v>145895</v>
      </c>
      <c r="N138" s="266">
        <v>145894938</v>
      </c>
    </row>
    <row r="139" spans="1:14" x14ac:dyDescent="0.25">
      <c r="A139" s="264">
        <v>232</v>
      </c>
      <c r="D139" s="260" t="s">
        <v>628</v>
      </c>
      <c r="L139" s="266">
        <v>211868</v>
      </c>
      <c r="N139" s="266">
        <v>211867913</v>
      </c>
    </row>
    <row r="140" spans="1:14" x14ac:dyDescent="0.25">
      <c r="A140" s="264">
        <v>233</v>
      </c>
      <c r="D140" s="260" t="s">
        <v>629</v>
      </c>
      <c r="L140" s="266">
        <v>3</v>
      </c>
      <c r="N140" s="266">
        <v>3193</v>
      </c>
    </row>
    <row r="141" spans="1:14" x14ac:dyDescent="0.25">
      <c r="A141" s="264">
        <v>234</v>
      </c>
      <c r="D141" s="260" t="s">
        <v>630</v>
      </c>
      <c r="L141" s="266">
        <v>23846</v>
      </c>
      <c r="N141" s="266">
        <v>23845894</v>
      </c>
    </row>
    <row r="142" spans="1:14" x14ac:dyDescent="0.25">
      <c r="A142" s="264">
        <v>235</v>
      </c>
      <c r="D142" s="260" t="s">
        <v>631</v>
      </c>
      <c r="L142" s="266">
        <v>10798</v>
      </c>
      <c r="N142" s="266">
        <v>10798220</v>
      </c>
    </row>
    <row r="143" spans="1:14" x14ac:dyDescent="0.25">
      <c r="A143" s="264">
        <v>236</v>
      </c>
      <c r="D143" s="260" t="s">
        <v>632</v>
      </c>
      <c r="L143" s="266">
        <v>60412</v>
      </c>
      <c r="N143" s="266">
        <v>60411522</v>
      </c>
    </row>
    <row r="144" spans="1:14" x14ac:dyDescent="0.25">
      <c r="A144" s="264">
        <v>237</v>
      </c>
      <c r="D144" s="260" t="s">
        <v>633</v>
      </c>
      <c r="L144" s="266">
        <v>28251</v>
      </c>
      <c r="N144" s="266">
        <v>28251275</v>
      </c>
    </row>
    <row r="145" spans="1:19" x14ac:dyDescent="0.25">
      <c r="A145" s="264">
        <v>238</v>
      </c>
      <c r="D145" s="260" t="s">
        <v>634</v>
      </c>
      <c r="L145" s="266">
        <v>0</v>
      </c>
      <c r="N145" s="266">
        <v>0</v>
      </c>
    </row>
    <row r="146" spans="1:19" x14ac:dyDescent="0.25">
      <c r="A146" s="264">
        <v>240</v>
      </c>
      <c r="D146" s="260" t="s">
        <v>635</v>
      </c>
      <c r="L146" s="266">
        <v>0</v>
      </c>
      <c r="N146" s="266">
        <v>0</v>
      </c>
    </row>
    <row r="147" spans="1:19" x14ac:dyDescent="0.25">
      <c r="A147" s="264">
        <v>241</v>
      </c>
      <c r="D147" s="260" t="s">
        <v>636</v>
      </c>
      <c r="L147" s="266">
        <v>93</v>
      </c>
      <c r="N147" s="266">
        <v>93419</v>
      </c>
    </row>
    <row r="148" spans="1:19" x14ac:dyDescent="0.25">
      <c r="A148" s="264">
        <v>242</v>
      </c>
      <c r="D148" s="260" t="s">
        <v>637</v>
      </c>
      <c r="L148" s="266">
        <v>83309</v>
      </c>
      <c r="N148" s="266">
        <v>83307979</v>
      </c>
    </row>
    <row r="149" spans="1:19" x14ac:dyDescent="0.25">
      <c r="A149" s="264">
        <v>243</v>
      </c>
      <c r="D149" s="260" t="s">
        <v>638</v>
      </c>
      <c r="L149" s="266">
        <v>3762</v>
      </c>
      <c r="N149" s="266">
        <v>3762244</v>
      </c>
    </row>
    <row r="150" spans="1:19" x14ac:dyDescent="0.25">
      <c r="A150" s="264">
        <v>244</v>
      </c>
      <c r="D150" s="260" t="s">
        <v>639</v>
      </c>
      <c r="L150" s="266">
        <v>7476</v>
      </c>
      <c r="N150" s="266">
        <v>7476410</v>
      </c>
    </row>
    <row r="151" spans="1:19" x14ac:dyDescent="0.25">
      <c r="A151" s="264">
        <v>283</v>
      </c>
      <c r="D151" s="260" t="s">
        <v>640</v>
      </c>
      <c r="L151" s="266">
        <v>0</v>
      </c>
      <c r="N151" s="266">
        <v>0</v>
      </c>
    </row>
    <row r="152" spans="1:19" x14ac:dyDescent="0.25">
      <c r="A152" s="264"/>
      <c r="C152" s="260" t="s">
        <v>641</v>
      </c>
      <c r="L152" s="271">
        <v>575713</v>
      </c>
      <c r="N152" s="272">
        <v>575713007</v>
      </c>
    </row>
    <row r="153" spans="1:19" x14ac:dyDescent="0.25">
      <c r="A153" s="264"/>
      <c r="L153" s="266"/>
      <c r="N153" s="266"/>
    </row>
    <row r="154" spans="1:19" x14ac:dyDescent="0.25">
      <c r="A154" s="370" t="s">
        <v>525</v>
      </c>
      <c r="B154" s="370"/>
      <c r="C154" s="370"/>
      <c r="D154" s="370"/>
      <c r="E154" s="370"/>
      <c r="F154" s="370"/>
      <c r="G154" s="370"/>
      <c r="H154" s="370"/>
      <c r="I154" s="370"/>
      <c r="J154" s="370"/>
      <c r="K154" s="370"/>
      <c r="L154" s="370"/>
    </row>
    <row r="155" spans="1:19" x14ac:dyDescent="0.25">
      <c r="A155" s="261"/>
      <c r="B155" s="261"/>
      <c r="C155" s="261"/>
      <c r="D155" s="261"/>
      <c r="E155" s="261"/>
      <c r="F155" s="261"/>
      <c r="G155" s="261"/>
      <c r="H155" s="261"/>
      <c r="I155" s="261"/>
      <c r="J155" s="261"/>
      <c r="K155" s="261"/>
    </row>
    <row r="156" spans="1:19" x14ac:dyDescent="0.25">
      <c r="A156" s="370" t="s">
        <v>526</v>
      </c>
      <c r="B156" s="370"/>
      <c r="C156" s="370"/>
      <c r="D156" s="370"/>
      <c r="E156" s="370"/>
      <c r="F156" s="370"/>
      <c r="G156" s="370"/>
      <c r="H156" s="370"/>
      <c r="I156" s="370"/>
      <c r="J156" s="370"/>
      <c r="K156" s="370"/>
      <c r="L156" s="370"/>
    </row>
    <row r="157" spans="1:19" x14ac:dyDescent="0.25">
      <c r="A157" s="371">
        <v>45900</v>
      </c>
      <c r="B157" s="371"/>
      <c r="C157" s="371"/>
      <c r="D157" s="371"/>
      <c r="E157" s="371"/>
      <c r="F157" s="371"/>
      <c r="G157" s="371"/>
      <c r="H157" s="371"/>
      <c r="I157" s="371"/>
      <c r="J157" s="371"/>
      <c r="K157" s="371"/>
      <c r="L157" s="371"/>
      <c r="P157" s="43"/>
      <c r="Q157" s="164"/>
      <c r="R157" s="110"/>
      <c r="S157" s="110" t="s">
        <v>20</v>
      </c>
    </row>
    <row r="158" spans="1:19" x14ac:dyDescent="0.25">
      <c r="A158" s="372" t="s">
        <v>598</v>
      </c>
      <c r="B158" s="372"/>
      <c r="C158" s="372"/>
      <c r="D158" s="372"/>
      <c r="E158" s="372"/>
      <c r="F158" s="372"/>
      <c r="G158" s="372"/>
      <c r="H158" s="372"/>
      <c r="I158" s="372"/>
      <c r="J158" s="372"/>
      <c r="K158" s="372"/>
      <c r="L158" s="372"/>
      <c r="P158" s="43"/>
      <c r="Q158" s="164"/>
      <c r="R158" s="110"/>
      <c r="S158" s="110" t="str">
        <f>+'ADIT 1 Electric'!$G$2</f>
        <v>d/b/a RHODE ISLAND ENERGY</v>
      </c>
    </row>
    <row r="159" spans="1:19" x14ac:dyDescent="0.25">
      <c r="A159" s="373" t="s">
        <v>528</v>
      </c>
      <c r="B159" s="373"/>
      <c r="C159" s="373"/>
      <c r="D159" s="373"/>
      <c r="E159" s="373"/>
      <c r="F159" s="373"/>
      <c r="G159" s="373"/>
      <c r="H159" s="373"/>
      <c r="I159" s="373"/>
      <c r="J159" s="373"/>
      <c r="K159" s="373"/>
      <c r="L159" s="373"/>
      <c r="P159" s="43"/>
      <c r="Q159" s="164"/>
      <c r="R159" s="110"/>
      <c r="S159" s="110" t="str">
        <f>+'ADIT 1 Electric'!$G$3</f>
        <v>RIPUC Docket No. 25-45-GE</v>
      </c>
    </row>
    <row r="160" spans="1:19" x14ac:dyDescent="0.25">
      <c r="P160" s="43"/>
      <c r="Q160" s="164"/>
      <c r="R160" s="110"/>
      <c r="S160" s="110" t="str">
        <f>+'ADIT 1 Electric'!$G$2</f>
        <v>d/b/a RHODE ISLAND ENERGY</v>
      </c>
    </row>
    <row r="161" spans="1:19" x14ac:dyDescent="0.25">
      <c r="P161" s="43"/>
      <c r="Q161" s="164"/>
      <c r="R161" s="196"/>
      <c r="S161" s="196" t="str">
        <f>+'ADIT 1 Electric'!$G$5</f>
        <v>Schedule NH-3-ELEC</v>
      </c>
    </row>
    <row r="162" spans="1:19" x14ac:dyDescent="0.25">
      <c r="A162" s="259" t="s">
        <v>529</v>
      </c>
      <c r="B162" s="261"/>
      <c r="C162" s="261"/>
      <c r="D162" s="261"/>
      <c r="E162" s="261"/>
      <c r="F162" s="261"/>
      <c r="G162" s="261"/>
      <c r="H162" s="261"/>
      <c r="I162" s="261"/>
      <c r="J162" s="261"/>
      <c r="K162" s="261"/>
    </row>
    <row r="163" spans="1:19" x14ac:dyDescent="0.25">
      <c r="A163" s="262" t="s">
        <v>530</v>
      </c>
      <c r="B163" s="261"/>
      <c r="C163" s="263" t="s">
        <v>531</v>
      </c>
      <c r="D163" s="261"/>
      <c r="E163" s="261"/>
      <c r="F163" s="261"/>
      <c r="G163" s="261"/>
      <c r="H163" s="261"/>
      <c r="I163" s="261"/>
      <c r="J163" s="261"/>
      <c r="K163" s="261"/>
      <c r="L163" s="262" t="s">
        <v>532</v>
      </c>
      <c r="N163" s="262" t="s">
        <v>532</v>
      </c>
    </row>
    <row r="164" spans="1:19" x14ac:dyDescent="0.25">
      <c r="A164" s="262"/>
      <c r="B164" s="261"/>
      <c r="C164" s="263"/>
      <c r="D164" s="261"/>
      <c r="E164" s="261"/>
      <c r="F164" s="261"/>
      <c r="G164" s="261"/>
      <c r="H164" s="261"/>
      <c r="I164" s="261"/>
      <c r="J164" s="261"/>
      <c r="K164" s="261"/>
      <c r="Q164" s="261"/>
    </row>
    <row r="165" spans="1:19" x14ac:dyDescent="0.25">
      <c r="A165" s="264"/>
      <c r="C165" s="260" t="s">
        <v>642</v>
      </c>
      <c r="L165" s="266"/>
      <c r="N165" s="266"/>
    </row>
    <row r="166" spans="1:19" x14ac:dyDescent="0.25">
      <c r="A166" s="264">
        <v>252</v>
      </c>
      <c r="D166" s="260" t="s">
        <v>643</v>
      </c>
      <c r="L166" s="279">
        <v>22793</v>
      </c>
      <c r="N166" s="280">
        <v>22792656</v>
      </c>
    </row>
    <row r="167" spans="1:19" x14ac:dyDescent="0.25">
      <c r="A167" s="264">
        <v>253</v>
      </c>
      <c r="D167" s="260" t="s">
        <v>644</v>
      </c>
      <c r="L167" s="266">
        <v>99410</v>
      </c>
      <c r="N167" s="266">
        <v>99410279</v>
      </c>
    </row>
    <row r="168" spans="1:19" x14ac:dyDescent="0.25">
      <c r="A168" s="264">
        <v>254</v>
      </c>
      <c r="D168" s="260" t="s">
        <v>645</v>
      </c>
      <c r="L168" s="266">
        <v>560925</v>
      </c>
      <c r="N168" s="266">
        <v>560925694</v>
      </c>
    </row>
    <row r="169" spans="1:19" x14ac:dyDescent="0.25">
      <c r="A169" s="264">
        <v>255</v>
      </c>
      <c r="D169" s="260" t="s">
        <v>646</v>
      </c>
      <c r="L169" s="266">
        <v>0</v>
      </c>
      <c r="N169" s="266">
        <v>0</v>
      </c>
    </row>
    <row r="170" spans="1:19" x14ac:dyDescent="0.25">
      <c r="A170" s="264">
        <v>281</v>
      </c>
      <c r="D170" s="260" t="s">
        <v>647</v>
      </c>
      <c r="L170" s="266"/>
      <c r="N170" s="266"/>
    </row>
    <row r="171" spans="1:19" x14ac:dyDescent="0.25">
      <c r="A171" s="264"/>
      <c r="E171" s="260" t="s">
        <v>648</v>
      </c>
      <c r="L171" s="266">
        <v>0</v>
      </c>
      <c r="N171" s="266">
        <v>0</v>
      </c>
    </row>
    <row r="172" spans="1:19" x14ac:dyDescent="0.25">
      <c r="A172" s="273">
        <v>282</v>
      </c>
      <c r="B172" s="274"/>
      <c r="C172" s="274"/>
      <c r="D172" s="274" t="s">
        <v>649</v>
      </c>
      <c r="E172" s="274"/>
      <c r="F172" s="274"/>
      <c r="G172" s="274"/>
      <c r="H172" s="274"/>
      <c r="I172" s="274"/>
      <c r="J172" s="274"/>
      <c r="K172" s="274"/>
      <c r="L172" s="275">
        <v>154019</v>
      </c>
      <c r="M172" s="274"/>
      <c r="N172" s="275">
        <v>154018929</v>
      </c>
    </row>
    <row r="173" spans="1:19" x14ac:dyDescent="0.25">
      <c r="A173" s="264"/>
      <c r="D173" s="260" t="s">
        <v>650</v>
      </c>
      <c r="L173" s="271">
        <v>154019</v>
      </c>
      <c r="N173" s="271">
        <v>154018929</v>
      </c>
    </row>
    <row r="174" spans="1:19" ht="12.6" customHeight="1" x14ac:dyDescent="0.25">
      <c r="A174" s="273">
        <v>283</v>
      </c>
      <c r="B174" s="274"/>
      <c r="C174" s="274"/>
      <c r="D174" s="274" t="s">
        <v>651</v>
      </c>
      <c r="E174" s="274"/>
      <c r="F174" s="274"/>
      <c r="G174" s="274"/>
      <c r="H174" s="274"/>
      <c r="I174" s="274"/>
      <c r="J174" s="274"/>
      <c r="K174" s="274"/>
      <c r="L174" s="275">
        <v>189088</v>
      </c>
      <c r="M174" s="274"/>
      <c r="N174" s="281">
        <v>189088413</v>
      </c>
    </row>
    <row r="175" spans="1:19" x14ac:dyDescent="0.25">
      <c r="A175" s="264"/>
      <c r="F175" s="260" t="s">
        <v>652</v>
      </c>
      <c r="L175" s="271">
        <v>1026235</v>
      </c>
      <c r="N175" s="271">
        <v>1026235971</v>
      </c>
    </row>
    <row r="176" spans="1:19" x14ac:dyDescent="0.25">
      <c r="A176" s="264"/>
      <c r="L176" s="282"/>
      <c r="N176" s="282"/>
    </row>
    <row r="177" spans="1:14" ht="16.5" thickBot="1" x14ac:dyDescent="0.3">
      <c r="A177" s="264"/>
      <c r="D177" s="260" t="s">
        <v>653</v>
      </c>
      <c r="L177" s="283">
        <v>7048461</v>
      </c>
      <c r="N177" s="283">
        <v>7048461006</v>
      </c>
    </row>
    <row r="178" spans="1:14" ht="16.5" thickTop="1" x14ac:dyDescent="0.25">
      <c r="L178" s="265"/>
      <c r="N178" s="265"/>
    </row>
  </sheetData>
  <mergeCells count="20">
    <mergeCell ref="A158:L158"/>
    <mergeCell ref="A159:L159"/>
    <mergeCell ref="A98:L98"/>
    <mergeCell ref="A99:L99"/>
    <mergeCell ref="A100:L100"/>
    <mergeCell ref="A154:L154"/>
    <mergeCell ref="A156:L156"/>
    <mergeCell ref="A157:L157"/>
    <mergeCell ref="A97:L97"/>
    <mergeCell ref="A1:L1"/>
    <mergeCell ref="A3:L3"/>
    <mergeCell ref="A4:L4"/>
    <mergeCell ref="A5:L5"/>
    <mergeCell ref="A6:L6"/>
    <mergeCell ref="A57:L57"/>
    <mergeCell ref="A59:L59"/>
    <mergeCell ref="A60:L60"/>
    <mergeCell ref="A61:L61"/>
    <mergeCell ref="A62:L62"/>
    <mergeCell ref="A95:L95"/>
  </mergeCells>
  <pageMargins left="0.7" right="0.7" top="0.75" bottom="0.75" header="0.3" footer="0.3"/>
  <pageSetup orientation="portrait" r:id="rId1"/>
  <headerFooter>
    <oddFooter>&amp;L_x000D_&amp;1#&amp;"Calibri"&amp;14&amp;K000000 Confidential</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8145D-DA9E-456E-96EF-EF8F0B67D8EE}">
  <dimension ref="A1:K1140"/>
  <sheetViews>
    <sheetView workbookViewId="0">
      <selection activeCell="J3" sqref="J3"/>
    </sheetView>
  </sheetViews>
  <sheetFormatPr defaultColWidth="9.140625" defaultRowHeight="15.75" x14ac:dyDescent="0.25"/>
  <cols>
    <col min="1" max="4" width="15.7109375" style="43" customWidth="1"/>
    <col min="5" max="5" width="31.5703125" style="43" bestFit="1" customWidth="1"/>
    <col min="6" max="6" width="15.7109375" style="289" customWidth="1"/>
    <col min="7" max="25" width="15.7109375" style="43" customWidth="1"/>
    <col min="26" max="16384" width="9.140625" style="43"/>
  </cols>
  <sheetData>
    <row r="1" spans="1:11" x14ac:dyDescent="0.25">
      <c r="A1" s="43" t="s">
        <v>654</v>
      </c>
      <c r="I1" s="164"/>
      <c r="J1" s="110"/>
      <c r="K1" s="110" t="s">
        <v>20</v>
      </c>
    </row>
    <row r="2" spans="1:11" x14ac:dyDescent="0.25">
      <c r="I2" s="164"/>
      <c r="J2" s="110"/>
      <c r="K2" s="110" t="str">
        <f>+'ADIT 1 Electric'!$G$2</f>
        <v>d/b/a RHODE ISLAND ENERGY</v>
      </c>
    </row>
    <row r="3" spans="1:11" x14ac:dyDescent="0.25">
      <c r="I3" s="164"/>
      <c r="J3" s="110"/>
      <c r="K3" s="110" t="str">
        <f>+'ADIT 1 Electric'!$G$3</f>
        <v>RIPUC Docket No. 25-45-GE</v>
      </c>
    </row>
    <row r="4" spans="1:11" x14ac:dyDescent="0.25">
      <c r="I4" s="164"/>
      <c r="J4" s="110"/>
      <c r="K4" s="110" t="str">
        <f>+'ADIT 1 Electric'!$G$2</f>
        <v>d/b/a RHODE ISLAND ENERGY</v>
      </c>
    </row>
    <row r="5" spans="1:11" x14ac:dyDescent="0.25">
      <c r="I5" s="164"/>
      <c r="J5" s="196"/>
      <c r="K5" s="196" t="str">
        <f>+'ADIT 1 Electric'!$G$5</f>
        <v>Schedule NH-3-ELEC</v>
      </c>
    </row>
    <row r="8" spans="1:11" ht="16.5" thickBot="1" x14ac:dyDescent="0.3"/>
    <row r="9" spans="1:11" ht="17.25" thickTop="1" thickBot="1" x14ac:dyDescent="0.3">
      <c r="A9" s="290" t="s">
        <v>655</v>
      </c>
      <c r="B9" s="290" t="s">
        <v>287</v>
      </c>
      <c r="C9" s="290" t="s">
        <v>656</v>
      </c>
      <c r="D9" s="290" t="s">
        <v>520</v>
      </c>
      <c r="E9" s="290" t="s">
        <v>657</v>
      </c>
      <c r="F9" s="290" t="s">
        <v>658</v>
      </c>
      <c r="G9" s="291" t="s">
        <v>659</v>
      </c>
    </row>
    <row r="10" spans="1:11" ht="16.5" thickTop="1" x14ac:dyDescent="0.25">
      <c r="A10" s="292" t="s">
        <v>660</v>
      </c>
      <c r="B10" s="293">
        <v>2024</v>
      </c>
      <c r="C10" s="293">
        <v>10</v>
      </c>
      <c r="D10" s="292" t="s">
        <v>661</v>
      </c>
      <c r="E10" s="292" t="s">
        <v>363</v>
      </c>
      <c r="F10" s="292" t="s">
        <v>662</v>
      </c>
      <c r="G10" s="289">
        <v>265588.68</v>
      </c>
    </row>
    <row r="11" spans="1:11" x14ac:dyDescent="0.25">
      <c r="A11" s="292" t="s">
        <v>660</v>
      </c>
      <c r="B11" s="293">
        <v>2024</v>
      </c>
      <c r="C11" s="293">
        <v>1</v>
      </c>
      <c r="D11" s="292" t="s">
        <v>661</v>
      </c>
      <c r="E11" s="292" t="s">
        <v>383</v>
      </c>
      <c r="F11" s="292" t="s">
        <v>663</v>
      </c>
      <c r="G11" s="289">
        <v>71817.05</v>
      </c>
    </row>
    <row r="12" spans="1:11" x14ac:dyDescent="0.25">
      <c r="A12" s="292" t="s">
        <v>660</v>
      </c>
      <c r="B12" s="293">
        <v>2024</v>
      </c>
      <c r="C12" s="293">
        <v>2</v>
      </c>
      <c r="D12" s="292" t="s">
        <v>661</v>
      </c>
      <c r="E12" s="292" t="s">
        <v>383</v>
      </c>
      <c r="F12" s="292" t="s">
        <v>663</v>
      </c>
      <c r="G12" s="289">
        <v>-493.77</v>
      </c>
    </row>
    <row r="13" spans="1:11" x14ac:dyDescent="0.25">
      <c r="A13" s="292" t="s">
        <v>660</v>
      </c>
      <c r="B13" s="293">
        <v>2024</v>
      </c>
      <c r="C13" s="293">
        <v>3</v>
      </c>
      <c r="D13" s="292" t="s">
        <v>661</v>
      </c>
      <c r="E13" s="292" t="s">
        <v>383</v>
      </c>
      <c r="F13" s="292" t="s">
        <v>663</v>
      </c>
      <c r="G13" s="289">
        <v>41376.36</v>
      </c>
    </row>
    <row r="14" spans="1:11" x14ac:dyDescent="0.25">
      <c r="A14" s="292" t="s">
        <v>660</v>
      </c>
      <c r="B14" s="293">
        <v>2024</v>
      </c>
      <c r="C14" s="293">
        <v>4</v>
      </c>
      <c r="D14" s="292" t="s">
        <v>661</v>
      </c>
      <c r="E14" s="292" t="s">
        <v>383</v>
      </c>
      <c r="F14" s="292" t="s">
        <v>663</v>
      </c>
      <c r="G14" s="289">
        <v>-295.72000000000003</v>
      </c>
    </row>
    <row r="15" spans="1:11" x14ac:dyDescent="0.25">
      <c r="A15" s="292" t="s">
        <v>660</v>
      </c>
      <c r="B15" s="293">
        <v>2024</v>
      </c>
      <c r="C15" s="293">
        <v>5</v>
      </c>
      <c r="D15" s="292" t="s">
        <v>661</v>
      </c>
      <c r="E15" s="292" t="s">
        <v>383</v>
      </c>
      <c r="F15" s="292" t="s">
        <v>663</v>
      </c>
      <c r="G15" s="289">
        <v>-112403.92</v>
      </c>
    </row>
    <row r="16" spans="1:11" x14ac:dyDescent="0.25">
      <c r="A16" s="292" t="s">
        <v>660</v>
      </c>
      <c r="B16" s="293">
        <v>2024</v>
      </c>
      <c r="C16" s="293">
        <v>0</v>
      </c>
      <c r="D16" s="292" t="s">
        <v>661</v>
      </c>
      <c r="E16" s="292" t="s">
        <v>386</v>
      </c>
      <c r="F16" s="292" t="s">
        <v>664</v>
      </c>
      <c r="G16" s="289">
        <v>-17031.84</v>
      </c>
    </row>
    <row r="17" spans="1:7" x14ac:dyDescent="0.25">
      <c r="A17" s="292" t="s">
        <v>660</v>
      </c>
      <c r="B17" s="293">
        <v>2024</v>
      </c>
      <c r="C17" s="293">
        <v>1</v>
      </c>
      <c r="D17" s="292" t="s">
        <v>665</v>
      </c>
      <c r="E17" s="292" t="s">
        <v>418</v>
      </c>
      <c r="F17" s="292" t="s">
        <v>666</v>
      </c>
      <c r="G17" s="289">
        <v>-73000.039999999994</v>
      </c>
    </row>
    <row r="18" spans="1:7" x14ac:dyDescent="0.25">
      <c r="A18" s="292" t="s">
        <v>660</v>
      </c>
      <c r="B18" s="293">
        <v>2024</v>
      </c>
      <c r="C18" s="293">
        <v>2</v>
      </c>
      <c r="D18" s="292" t="s">
        <v>665</v>
      </c>
      <c r="E18" s="292" t="s">
        <v>418</v>
      </c>
      <c r="F18" s="292" t="s">
        <v>666</v>
      </c>
      <c r="G18" s="289">
        <v>5568.91</v>
      </c>
    </row>
    <row r="19" spans="1:7" x14ac:dyDescent="0.25">
      <c r="A19" s="292" t="s">
        <v>660</v>
      </c>
      <c r="B19" s="293">
        <v>2024</v>
      </c>
      <c r="C19" s="293">
        <v>3</v>
      </c>
      <c r="D19" s="292" t="s">
        <v>665</v>
      </c>
      <c r="E19" s="292" t="s">
        <v>418</v>
      </c>
      <c r="F19" s="292" t="s">
        <v>666</v>
      </c>
      <c r="G19" s="289">
        <v>67431.13</v>
      </c>
    </row>
    <row r="20" spans="1:7" x14ac:dyDescent="0.25">
      <c r="A20" s="292" t="s">
        <v>660</v>
      </c>
      <c r="B20" s="293">
        <v>2024</v>
      </c>
      <c r="C20" s="293">
        <v>4</v>
      </c>
      <c r="D20" s="292" t="s">
        <v>665</v>
      </c>
      <c r="E20" s="292" t="s">
        <v>418</v>
      </c>
      <c r="F20" s="292" t="s">
        <v>666</v>
      </c>
      <c r="G20" s="289">
        <v>7087.72</v>
      </c>
    </row>
    <row r="21" spans="1:7" x14ac:dyDescent="0.25">
      <c r="A21" s="292" t="s">
        <v>660</v>
      </c>
      <c r="B21" s="293">
        <v>2024</v>
      </c>
      <c r="C21" s="293">
        <v>5</v>
      </c>
      <c r="D21" s="292" t="s">
        <v>665</v>
      </c>
      <c r="E21" s="292" t="s">
        <v>418</v>
      </c>
      <c r="F21" s="292" t="s">
        <v>666</v>
      </c>
      <c r="G21" s="289">
        <v>77876.33</v>
      </c>
    </row>
    <row r="22" spans="1:7" x14ac:dyDescent="0.25">
      <c r="A22" s="292" t="s">
        <v>660</v>
      </c>
      <c r="B22" s="293">
        <v>2024</v>
      </c>
      <c r="C22" s="293">
        <v>6</v>
      </c>
      <c r="D22" s="292" t="s">
        <v>665</v>
      </c>
      <c r="E22" s="292" t="s">
        <v>418</v>
      </c>
      <c r="F22" s="292" t="s">
        <v>666</v>
      </c>
      <c r="G22" s="289">
        <v>113844.49</v>
      </c>
    </row>
    <row r="23" spans="1:7" x14ac:dyDescent="0.25">
      <c r="A23" s="292" t="s">
        <v>660</v>
      </c>
      <c r="B23" s="293">
        <v>2024</v>
      </c>
      <c r="C23" s="293">
        <v>7</v>
      </c>
      <c r="D23" s="292" t="s">
        <v>665</v>
      </c>
      <c r="E23" s="292" t="s">
        <v>418</v>
      </c>
      <c r="F23" s="292" t="s">
        <v>666</v>
      </c>
      <c r="G23" s="289">
        <v>30585.87</v>
      </c>
    </row>
    <row r="24" spans="1:7" x14ac:dyDescent="0.25">
      <c r="A24" s="292" t="s">
        <v>660</v>
      </c>
      <c r="B24" s="293">
        <v>2024</v>
      </c>
      <c r="C24" s="293">
        <v>8</v>
      </c>
      <c r="D24" s="292" t="s">
        <v>665</v>
      </c>
      <c r="E24" s="292" t="s">
        <v>418</v>
      </c>
      <c r="F24" s="292" t="s">
        <v>666</v>
      </c>
      <c r="G24" s="289">
        <v>117200.12</v>
      </c>
    </row>
    <row r="25" spans="1:7" x14ac:dyDescent="0.25">
      <c r="A25" s="292" t="s">
        <v>660</v>
      </c>
      <c r="B25" s="293">
        <v>2024</v>
      </c>
      <c r="C25" s="293">
        <v>9</v>
      </c>
      <c r="D25" s="292" t="s">
        <v>665</v>
      </c>
      <c r="E25" s="292" t="s">
        <v>418</v>
      </c>
      <c r="F25" s="292" t="s">
        <v>666</v>
      </c>
      <c r="G25" s="289">
        <v>11324.52</v>
      </c>
    </row>
    <row r="26" spans="1:7" x14ac:dyDescent="0.25">
      <c r="A26" s="292" t="s">
        <v>660</v>
      </c>
      <c r="B26" s="293">
        <v>2024</v>
      </c>
      <c r="C26" s="293">
        <v>10</v>
      </c>
      <c r="D26" s="292" t="s">
        <v>665</v>
      </c>
      <c r="E26" s="292" t="s">
        <v>418</v>
      </c>
      <c r="F26" s="292" t="s">
        <v>666</v>
      </c>
      <c r="G26" s="289">
        <v>31481.99</v>
      </c>
    </row>
    <row r="27" spans="1:7" x14ac:dyDescent="0.25">
      <c r="A27" s="292" t="s">
        <v>660</v>
      </c>
      <c r="B27" s="293">
        <v>2024</v>
      </c>
      <c r="C27" s="293">
        <v>11</v>
      </c>
      <c r="D27" s="292" t="s">
        <v>665</v>
      </c>
      <c r="E27" s="292" t="s">
        <v>418</v>
      </c>
      <c r="F27" s="292" t="s">
        <v>666</v>
      </c>
      <c r="G27" s="289">
        <v>7090.24</v>
      </c>
    </row>
    <row r="28" spans="1:7" x14ac:dyDescent="0.25">
      <c r="A28" s="292" t="s">
        <v>660</v>
      </c>
      <c r="B28" s="293">
        <v>2024</v>
      </c>
      <c r="C28" s="293">
        <v>12</v>
      </c>
      <c r="D28" s="292" t="s">
        <v>665</v>
      </c>
      <c r="E28" s="292" t="s">
        <v>418</v>
      </c>
      <c r="F28" s="292" t="s">
        <v>666</v>
      </c>
      <c r="G28" s="289">
        <v>-396491.28</v>
      </c>
    </row>
    <row r="29" spans="1:7" x14ac:dyDescent="0.25">
      <c r="A29" s="292" t="s">
        <v>660</v>
      </c>
      <c r="B29" s="293">
        <v>2024</v>
      </c>
      <c r="C29" s="293">
        <v>0</v>
      </c>
      <c r="D29" s="292" t="s">
        <v>665</v>
      </c>
      <c r="E29" s="292" t="s">
        <v>424</v>
      </c>
      <c r="F29" s="292" t="s">
        <v>667</v>
      </c>
      <c r="G29" s="289">
        <v>-397774.07</v>
      </c>
    </row>
    <row r="30" spans="1:7" x14ac:dyDescent="0.25">
      <c r="A30" s="292" t="s">
        <v>660</v>
      </c>
      <c r="B30" s="293">
        <v>2024</v>
      </c>
      <c r="C30" s="293">
        <v>1</v>
      </c>
      <c r="D30" s="292" t="s">
        <v>665</v>
      </c>
      <c r="E30" s="292" t="s">
        <v>424</v>
      </c>
      <c r="F30" s="292" t="s">
        <v>667</v>
      </c>
      <c r="G30" s="289">
        <v>1378.07</v>
      </c>
    </row>
    <row r="31" spans="1:7" x14ac:dyDescent="0.25">
      <c r="A31" s="292" t="s">
        <v>660</v>
      </c>
      <c r="B31" s="293">
        <v>2024</v>
      </c>
      <c r="C31" s="293">
        <v>2</v>
      </c>
      <c r="D31" s="292" t="s">
        <v>665</v>
      </c>
      <c r="E31" s="292" t="s">
        <v>424</v>
      </c>
      <c r="F31" s="292" t="s">
        <v>667</v>
      </c>
      <c r="G31" s="289">
        <v>1289.1600000000001</v>
      </c>
    </row>
    <row r="32" spans="1:7" x14ac:dyDescent="0.25">
      <c r="A32" s="292" t="s">
        <v>660</v>
      </c>
      <c r="B32" s="293">
        <v>2024</v>
      </c>
      <c r="C32" s="293">
        <v>3</v>
      </c>
      <c r="D32" s="292" t="s">
        <v>665</v>
      </c>
      <c r="E32" s="292" t="s">
        <v>424</v>
      </c>
      <c r="F32" s="292" t="s">
        <v>667</v>
      </c>
      <c r="G32" s="289">
        <v>1378.08</v>
      </c>
    </row>
    <row r="33" spans="1:7" x14ac:dyDescent="0.25">
      <c r="A33" s="292" t="s">
        <v>660</v>
      </c>
      <c r="B33" s="293">
        <v>2024</v>
      </c>
      <c r="C33" s="293">
        <v>4</v>
      </c>
      <c r="D33" s="292" t="s">
        <v>665</v>
      </c>
      <c r="E33" s="292" t="s">
        <v>424</v>
      </c>
      <c r="F33" s="292" t="s">
        <v>667</v>
      </c>
      <c r="G33" s="289">
        <v>1333.61</v>
      </c>
    </row>
    <row r="34" spans="1:7" x14ac:dyDescent="0.25">
      <c r="A34" s="292" t="s">
        <v>660</v>
      </c>
      <c r="B34" s="293">
        <v>2024</v>
      </c>
      <c r="C34" s="293">
        <v>5</v>
      </c>
      <c r="D34" s="292" t="s">
        <v>665</v>
      </c>
      <c r="E34" s="292" t="s">
        <v>424</v>
      </c>
      <c r="F34" s="292" t="s">
        <v>667</v>
      </c>
      <c r="G34" s="289">
        <v>1378.08</v>
      </c>
    </row>
    <row r="35" spans="1:7" x14ac:dyDescent="0.25">
      <c r="A35" s="292" t="s">
        <v>660</v>
      </c>
      <c r="B35" s="293">
        <v>2024</v>
      </c>
      <c r="C35" s="293">
        <v>6</v>
      </c>
      <c r="D35" s="292" t="s">
        <v>665</v>
      </c>
      <c r="E35" s="292" t="s">
        <v>424</v>
      </c>
      <c r="F35" s="292" t="s">
        <v>667</v>
      </c>
      <c r="G35" s="289">
        <v>1333.62</v>
      </c>
    </row>
    <row r="36" spans="1:7" x14ac:dyDescent="0.25">
      <c r="A36" s="292" t="s">
        <v>660</v>
      </c>
      <c r="B36" s="293">
        <v>2024</v>
      </c>
      <c r="C36" s="293">
        <v>7</v>
      </c>
      <c r="D36" s="292" t="s">
        <v>665</v>
      </c>
      <c r="E36" s="292" t="s">
        <v>424</v>
      </c>
      <c r="F36" s="292" t="s">
        <v>667</v>
      </c>
      <c r="G36" s="289">
        <v>1378.07</v>
      </c>
    </row>
    <row r="37" spans="1:7" x14ac:dyDescent="0.25">
      <c r="A37" s="292" t="s">
        <v>660</v>
      </c>
      <c r="B37" s="293">
        <v>2024</v>
      </c>
      <c r="C37" s="293">
        <v>8</v>
      </c>
      <c r="D37" s="292" t="s">
        <v>665</v>
      </c>
      <c r="E37" s="292" t="s">
        <v>424</v>
      </c>
      <c r="F37" s="292" t="s">
        <v>667</v>
      </c>
      <c r="G37" s="289">
        <v>1378.07</v>
      </c>
    </row>
    <row r="38" spans="1:7" x14ac:dyDescent="0.25">
      <c r="A38" s="292" t="s">
        <v>660</v>
      </c>
      <c r="B38" s="293">
        <v>2024</v>
      </c>
      <c r="C38" s="293">
        <v>9</v>
      </c>
      <c r="D38" s="292" t="s">
        <v>665</v>
      </c>
      <c r="E38" s="292" t="s">
        <v>424</v>
      </c>
      <c r="F38" s="292" t="s">
        <v>667</v>
      </c>
      <c r="G38" s="289">
        <v>1333.62</v>
      </c>
    </row>
    <row r="39" spans="1:7" x14ac:dyDescent="0.25">
      <c r="A39" s="292" t="s">
        <v>660</v>
      </c>
      <c r="B39" s="293">
        <v>2024</v>
      </c>
      <c r="C39" s="293">
        <v>10</v>
      </c>
      <c r="D39" s="292" t="s">
        <v>665</v>
      </c>
      <c r="E39" s="292" t="s">
        <v>424</v>
      </c>
      <c r="F39" s="292" t="s">
        <v>667</v>
      </c>
      <c r="G39" s="289">
        <v>1378.03</v>
      </c>
    </row>
    <row r="40" spans="1:7" x14ac:dyDescent="0.25">
      <c r="A40" s="292" t="s">
        <v>660</v>
      </c>
      <c r="B40" s="293">
        <v>2024</v>
      </c>
      <c r="C40" s="293">
        <v>11</v>
      </c>
      <c r="D40" s="292" t="s">
        <v>665</v>
      </c>
      <c r="E40" s="292" t="s">
        <v>424</v>
      </c>
      <c r="F40" s="292" t="s">
        <v>667</v>
      </c>
      <c r="G40" s="289">
        <v>1333.62</v>
      </c>
    </row>
    <row r="41" spans="1:7" x14ac:dyDescent="0.25">
      <c r="A41" s="292" t="s">
        <v>660</v>
      </c>
      <c r="B41" s="293">
        <v>2024</v>
      </c>
      <c r="C41" s="293">
        <v>12</v>
      </c>
      <c r="D41" s="292" t="s">
        <v>665</v>
      </c>
      <c r="E41" s="292" t="s">
        <v>424</v>
      </c>
      <c r="F41" s="292" t="s">
        <v>667</v>
      </c>
      <c r="G41" s="289">
        <v>1378.07</v>
      </c>
    </row>
    <row r="42" spans="1:7" x14ac:dyDescent="0.25">
      <c r="A42" s="292" t="s">
        <v>668</v>
      </c>
      <c r="B42" s="293">
        <v>2024</v>
      </c>
      <c r="C42" s="293">
        <v>0</v>
      </c>
      <c r="D42" s="292" t="s">
        <v>661</v>
      </c>
      <c r="E42" s="292" t="s">
        <v>669</v>
      </c>
      <c r="F42" s="292" t="s">
        <v>670</v>
      </c>
      <c r="G42" s="289">
        <v>0.21</v>
      </c>
    </row>
    <row r="43" spans="1:7" x14ac:dyDescent="0.25">
      <c r="A43" s="292" t="s">
        <v>668</v>
      </c>
      <c r="B43" s="293">
        <v>2024</v>
      </c>
      <c r="C43" s="293">
        <v>8</v>
      </c>
      <c r="D43" s="292" t="s">
        <v>661</v>
      </c>
      <c r="E43" s="292" t="s">
        <v>669</v>
      </c>
      <c r="F43" s="292" t="s">
        <v>670</v>
      </c>
      <c r="G43" s="289">
        <v>-0.21</v>
      </c>
    </row>
    <row r="44" spans="1:7" x14ac:dyDescent="0.25">
      <c r="A44" s="292" t="s">
        <v>668</v>
      </c>
      <c r="B44" s="293">
        <v>2024</v>
      </c>
      <c r="C44" s="293">
        <v>0</v>
      </c>
      <c r="D44" s="292" t="s">
        <v>671</v>
      </c>
      <c r="E44" s="292" t="s">
        <v>398</v>
      </c>
      <c r="F44" s="292" t="s">
        <v>672</v>
      </c>
      <c r="G44" s="289">
        <v>1403419.71</v>
      </c>
    </row>
    <row r="45" spans="1:7" x14ac:dyDescent="0.25">
      <c r="A45" s="292" t="s">
        <v>668</v>
      </c>
      <c r="B45" s="293">
        <v>2024</v>
      </c>
      <c r="C45" s="293">
        <v>10</v>
      </c>
      <c r="D45" s="292" t="s">
        <v>671</v>
      </c>
      <c r="E45" s="292" t="s">
        <v>398</v>
      </c>
      <c r="F45" s="292" t="s">
        <v>672</v>
      </c>
      <c r="G45" s="289">
        <v>10027.709999999999</v>
      </c>
    </row>
    <row r="46" spans="1:7" x14ac:dyDescent="0.25">
      <c r="A46" s="292" t="s">
        <v>668</v>
      </c>
      <c r="B46" s="293">
        <v>2024</v>
      </c>
      <c r="C46" s="293">
        <v>12</v>
      </c>
      <c r="D46" s="292" t="s">
        <v>671</v>
      </c>
      <c r="E46" s="292" t="s">
        <v>398</v>
      </c>
      <c r="F46" s="292" t="s">
        <v>672</v>
      </c>
      <c r="G46" s="289">
        <v>-1413447.42</v>
      </c>
    </row>
    <row r="47" spans="1:7" x14ac:dyDescent="0.25">
      <c r="A47" s="292" t="s">
        <v>673</v>
      </c>
      <c r="B47" s="293">
        <v>2024</v>
      </c>
      <c r="C47" s="293">
        <v>0</v>
      </c>
      <c r="D47" s="292" t="s">
        <v>661</v>
      </c>
      <c r="E47" s="292" t="s">
        <v>347</v>
      </c>
      <c r="F47" s="292" t="s">
        <v>674</v>
      </c>
      <c r="G47" s="289">
        <v>-12594400</v>
      </c>
    </row>
    <row r="48" spans="1:7" x14ac:dyDescent="0.25">
      <c r="A48" s="292" t="s">
        <v>673</v>
      </c>
      <c r="B48" s="293">
        <v>2024</v>
      </c>
      <c r="C48" s="293">
        <v>1</v>
      </c>
      <c r="D48" s="292" t="s">
        <v>661</v>
      </c>
      <c r="E48" s="292" t="s">
        <v>347</v>
      </c>
      <c r="F48" s="292" t="s">
        <v>674</v>
      </c>
      <c r="G48" s="289">
        <v>8506</v>
      </c>
    </row>
    <row r="49" spans="1:7" x14ac:dyDescent="0.25">
      <c r="A49" s="292" t="s">
        <v>673</v>
      </c>
      <c r="B49" s="293">
        <v>2024</v>
      </c>
      <c r="C49" s="293">
        <v>2</v>
      </c>
      <c r="D49" s="292" t="s">
        <v>661</v>
      </c>
      <c r="E49" s="292" t="s">
        <v>347</v>
      </c>
      <c r="F49" s="292" t="s">
        <v>674</v>
      </c>
      <c r="G49" s="289">
        <v>8506</v>
      </c>
    </row>
    <row r="50" spans="1:7" x14ac:dyDescent="0.25">
      <c r="A50" s="292" t="s">
        <v>673</v>
      </c>
      <c r="B50" s="293">
        <v>2024</v>
      </c>
      <c r="C50" s="293">
        <v>3</v>
      </c>
      <c r="D50" s="292" t="s">
        <v>661</v>
      </c>
      <c r="E50" s="292" t="s">
        <v>347</v>
      </c>
      <c r="F50" s="292" t="s">
        <v>674</v>
      </c>
      <c r="G50" s="289">
        <v>8506</v>
      </c>
    </row>
    <row r="51" spans="1:7" x14ac:dyDescent="0.25">
      <c r="A51" s="292" t="s">
        <v>673</v>
      </c>
      <c r="B51" s="293">
        <v>2024</v>
      </c>
      <c r="C51" s="293">
        <v>4</v>
      </c>
      <c r="D51" s="292" t="s">
        <v>661</v>
      </c>
      <c r="E51" s="292" t="s">
        <v>347</v>
      </c>
      <c r="F51" s="292" t="s">
        <v>674</v>
      </c>
      <c r="G51" s="289">
        <v>8506</v>
      </c>
    </row>
    <row r="52" spans="1:7" x14ac:dyDescent="0.25">
      <c r="A52" s="292" t="s">
        <v>673</v>
      </c>
      <c r="B52" s="293">
        <v>2024</v>
      </c>
      <c r="C52" s="293">
        <v>5</v>
      </c>
      <c r="D52" s="292" t="s">
        <v>661</v>
      </c>
      <c r="E52" s="292" t="s">
        <v>347</v>
      </c>
      <c r="F52" s="292" t="s">
        <v>674</v>
      </c>
      <c r="G52" s="289">
        <v>8506</v>
      </c>
    </row>
    <row r="53" spans="1:7" x14ac:dyDescent="0.25">
      <c r="A53" s="292" t="s">
        <v>673</v>
      </c>
      <c r="B53" s="293">
        <v>2024</v>
      </c>
      <c r="C53" s="293">
        <v>6</v>
      </c>
      <c r="D53" s="292" t="s">
        <v>661</v>
      </c>
      <c r="E53" s="292" t="s">
        <v>347</v>
      </c>
      <c r="F53" s="292" t="s">
        <v>674</v>
      </c>
      <c r="G53" s="289">
        <v>8506</v>
      </c>
    </row>
    <row r="54" spans="1:7" x14ac:dyDescent="0.25">
      <c r="A54" s="292" t="s">
        <v>673</v>
      </c>
      <c r="B54" s="293">
        <v>2024</v>
      </c>
      <c r="C54" s="293">
        <v>7</v>
      </c>
      <c r="D54" s="292" t="s">
        <v>661</v>
      </c>
      <c r="E54" s="292" t="s">
        <v>347</v>
      </c>
      <c r="F54" s="292" t="s">
        <v>674</v>
      </c>
      <c r="G54" s="289">
        <v>8506</v>
      </c>
    </row>
    <row r="55" spans="1:7" x14ac:dyDescent="0.25">
      <c r="A55" s="292" t="s">
        <v>673</v>
      </c>
      <c r="B55" s="293">
        <v>2024</v>
      </c>
      <c r="C55" s="293">
        <v>8</v>
      </c>
      <c r="D55" s="292" t="s">
        <v>661</v>
      </c>
      <c r="E55" s="292" t="s">
        <v>347</v>
      </c>
      <c r="F55" s="292" t="s">
        <v>674</v>
      </c>
      <c r="G55" s="289">
        <v>8506</v>
      </c>
    </row>
    <row r="56" spans="1:7" x14ac:dyDescent="0.25">
      <c r="A56" s="292" t="s">
        <v>673</v>
      </c>
      <c r="B56" s="293">
        <v>2024</v>
      </c>
      <c r="C56" s="293">
        <v>9</v>
      </c>
      <c r="D56" s="292" t="s">
        <v>661</v>
      </c>
      <c r="E56" s="292" t="s">
        <v>347</v>
      </c>
      <c r="F56" s="292" t="s">
        <v>674</v>
      </c>
      <c r="G56" s="289">
        <v>8506</v>
      </c>
    </row>
    <row r="57" spans="1:7" x14ac:dyDescent="0.25">
      <c r="A57" s="292" t="s">
        <v>673</v>
      </c>
      <c r="B57" s="293">
        <v>2024</v>
      </c>
      <c r="C57" s="293">
        <v>10</v>
      </c>
      <c r="D57" s="292" t="s">
        <v>661</v>
      </c>
      <c r="E57" s="292" t="s">
        <v>347</v>
      </c>
      <c r="F57" s="292" t="s">
        <v>674</v>
      </c>
      <c r="G57" s="289">
        <v>8505.99</v>
      </c>
    </row>
    <row r="58" spans="1:7" x14ac:dyDescent="0.25">
      <c r="A58" s="292" t="s">
        <v>673</v>
      </c>
      <c r="B58" s="293">
        <v>2024</v>
      </c>
      <c r="C58" s="293">
        <v>11</v>
      </c>
      <c r="D58" s="292" t="s">
        <v>661</v>
      </c>
      <c r="E58" s="292" t="s">
        <v>347</v>
      </c>
      <c r="F58" s="292" t="s">
        <v>674</v>
      </c>
      <c r="G58" s="289">
        <v>8506.01</v>
      </c>
    </row>
    <row r="59" spans="1:7" x14ac:dyDescent="0.25">
      <c r="A59" s="292" t="s">
        <v>673</v>
      </c>
      <c r="B59" s="293">
        <v>2024</v>
      </c>
      <c r="C59" s="293">
        <v>12</v>
      </c>
      <c r="D59" s="292" t="s">
        <v>661</v>
      </c>
      <c r="E59" s="292" t="s">
        <v>347</v>
      </c>
      <c r="F59" s="292" t="s">
        <v>674</v>
      </c>
      <c r="G59" s="289">
        <v>8506</v>
      </c>
    </row>
    <row r="60" spans="1:7" x14ac:dyDescent="0.25">
      <c r="A60" s="292" t="s">
        <v>673</v>
      </c>
      <c r="B60" s="293">
        <v>2024</v>
      </c>
      <c r="C60" s="293">
        <v>0</v>
      </c>
      <c r="D60" s="292" t="s">
        <v>661</v>
      </c>
      <c r="E60" s="292" t="s">
        <v>348</v>
      </c>
      <c r="F60" s="292" t="s">
        <v>675</v>
      </c>
      <c r="G60" s="289">
        <v>17265313.25</v>
      </c>
    </row>
    <row r="61" spans="1:7" x14ac:dyDescent="0.25">
      <c r="A61" s="292" t="s">
        <v>673</v>
      </c>
      <c r="B61" s="293">
        <v>2024</v>
      </c>
      <c r="C61" s="293">
        <v>1</v>
      </c>
      <c r="D61" s="292" t="s">
        <v>661</v>
      </c>
      <c r="E61" s="292" t="s">
        <v>348</v>
      </c>
      <c r="F61" s="292" t="s">
        <v>675</v>
      </c>
      <c r="G61" s="289">
        <v>-30185.91</v>
      </c>
    </row>
    <row r="62" spans="1:7" x14ac:dyDescent="0.25">
      <c r="A62" s="292" t="s">
        <v>673</v>
      </c>
      <c r="B62" s="293">
        <v>2024</v>
      </c>
      <c r="C62" s="293">
        <v>2</v>
      </c>
      <c r="D62" s="292" t="s">
        <v>661</v>
      </c>
      <c r="E62" s="292" t="s">
        <v>348</v>
      </c>
      <c r="F62" s="292" t="s">
        <v>675</v>
      </c>
      <c r="G62" s="289">
        <v>-27073.119999999999</v>
      </c>
    </row>
    <row r="63" spans="1:7" x14ac:dyDescent="0.25">
      <c r="A63" s="292" t="s">
        <v>673</v>
      </c>
      <c r="B63" s="293">
        <v>2024</v>
      </c>
      <c r="C63" s="293">
        <v>3</v>
      </c>
      <c r="D63" s="292" t="s">
        <v>661</v>
      </c>
      <c r="E63" s="292" t="s">
        <v>348</v>
      </c>
      <c r="F63" s="292" t="s">
        <v>675</v>
      </c>
      <c r="G63" s="289">
        <v>8272.64</v>
      </c>
    </row>
    <row r="64" spans="1:7" x14ac:dyDescent="0.25">
      <c r="A64" s="292" t="s">
        <v>673</v>
      </c>
      <c r="B64" s="293">
        <v>2024</v>
      </c>
      <c r="C64" s="293">
        <v>4</v>
      </c>
      <c r="D64" s="292" t="s">
        <v>661</v>
      </c>
      <c r="E64" s="292" t="s">
        <v>348</v>
      </c>
      <c r="F64" s="292" t="s">
        <v>675</v>
      </c>
      <c r="G64" s="289">
        <v>-23481.75</v>
      </c>
    </row>
    <row r="65" spans="1:7" x14ac:dyDescent="0.25">
      <c r="A65" s="292" t="s">
        <v>673</v>
      </c>
      <c r="B65" s="293">
        <v>2024</v>
      </c>
      <c r="C65" s="293">
        <v>5</v>
      </c>
      <c r="D65" s="292" t="s">
        <v>661</v>
      </c>
      <c r="E65" s="292" t="s">
        <v>348</v>
      </c>
      <c r="F65" s="292" t="s">
        <v>675</v>
      </c>
      <c r="G65" s="289">
        <v>-22960.799999999999</v>
      </c>
    </row>
    <row r="66" spans="1:7" x14ac:dyDescent="0.25">
      <c r="A66" s="292" t="s">
        <v>673</v>
      </c>
      <c r="B66" s="293">
        <v>2024</v>
      </c>
      <c r="C66" s="293">
        <v>6</v>
      </c>
      <c r="D66" s="292" t="s">
        <v>661</v>
      </c>
      <c r="E66" s="292" t="s">
        <v>348</v>
      </c>
      <c r="F66" s="292" t="s">
        <v>675</v>
      </c>
      <c r="G66" s="289">
        <v>-25667.84</v>
      </c>
    </row>
    <row r="67" spans="1:7" x14ac:dyDescent="0.25">
      <c r="A67" s="292" t="s">
        <v>673</v>
      </c>
      <c r="B67" s="293">
        <v>2024</v>
      </c>
      <c r="C67" s="293">
        <v>7</v>
      </c>
      <c r="D67" s="292" t="s">
        <v>661</v>
      </c>
      <c r="E67" s="292" t="s">
        <v>348</v>
      </c>
      <c r="F67" s="292" t="s">
        <v>675</v>
      </c>
      <c r="G67" s="289">
        <v>-25729.83</v>
      </c>
    </row>
    <row r="68" spans="1:7" x14ac:dyDescent="0.25">
      <c r="A68" s="292" t="s">
        <v>673</v>
      </c>
      <c r="B68" s="293">
        <v>2024</v>
      </c>
      <c r="C68" s="293">
        <v>8</v>
      </c>
      <c r="D68" s="292" t="s">
        <v>661</v>
      </c>
      <c r="E68" s="292" t="s">
        <v>348</v>
      </c>
      <c r="F68" s="292" t="s">
        <v>675</v>
      </c>
      <c r="G68" s="289">
        <v>-24210.51</v>
      </c>
    </row>
    <row r="69" spans="1:7" x14ac:dyDescent="0.25">
      <c r="A69" s="292" t="s">
        <v>673</v>
      </c>
      <c r="B69" s="293">
        <v>2024</v>
      </c>
      <c r="C69" s="293">
        <v>9</v>
      </c>
      <c r="D69" s="292" t="s">
        <v>661</v>
      </c>
      <c r="E69" s="292" t="s">
        <v>348</v>
      </c>
      <c r="F69" s="292" t="s">
        <v>675</v>
      </c>
      <c r="G69" s="289">
        <v>-28371.54</v>
      </c>
    </row>
    <row r="70" spans="1:7" x14ac:dyDescent="0.25">
      <c r="A70" s="292" t="s">
        <v>673</v>
      </c>
      <c r="B70" s="293">
        <v>2024</v>
      </c>
      <c r="C70" s="293">
        <v>10</v>
      </c>
      <c r="D70" s="292" t="s">
        <v>661</v>
      </c>
      <c r="E70" s="292" t="s">
        <v>348</v>
      </c>
      <c r="F70" s="292" t="s">
        <v>675</v>
      </c>
      <c r="G70" s="289">
        <v>-27860</v>
      </c>
    </row>
    <row r="71" spans="1:7" x14ac:dyDescent="0.25">
      <c r="A71" s="292" t="s">
        <v>673</v>
      </c>
      <c r="B71" s="293">
        <v>2024</v>
      </c>
      <c r="C71" s="293">
        <v>11</v>
      </c>
      <c r="D71" s="292" t="s">
        <v>661</v>
      </c>
      <c r="E71" s="292" t="s">
        <v>348</v>
      </c>
      <c r="F71" s="292" t="s">
        <v>675</v>
      </c>
      <c r="G71" s="289">
        <v>-28980.5</v>
      </c>
    </row>
    <row r="72" spans="1:7" x14ac:dyDescent="0.25">
      <c r="A72" s="292" t="s">
        <v>673</v>
      </c>
      <c r="B72" s="293">
        <v>2024</v>
      </c>
      <c r="C72" s="293">
        <v>12</v>
      </c>
      <c r="D72" s="292" t="s">
        <v>661</v>
      </c>
      <c r="E72" s="292" t="s">
        <v>348</v>
      </c>
      <c r="F72" s="292" t="s">
        <v>675</v>
      </c>
      <c r="G72" s="289">
        <v>-29489.13</v>
      </c>
    </row>
    <row r="73" spans="1:7" x14ac:dyDescent="0.25">
      <c r="A73" s="292" t="s">
        <v>673</v>
      </c>
      <c r="B73" s="293">
        <v>2024</v>
      </c>
      <c r="C73" s="293">
        <v>0</v>
      </c>
      <c r="D73" s="292" t="s">
        <v>661</v>
      </c>
      <c r="E73" s="292" t="s">
        <v>349</v>
      </c>
      <c r="F73" s="292" t="s">
        <v>676</v>
      </c>
      <c r="G73" s="289">
        <v>-8776005</v>
      </c>
    </row>
    <row r="74" spans="1:7" x14ac:dyDescent="0.25">
      <c r="A74" s="292" t="s">
        <v>673</v>
      </c>
      <c r="B74" s="293">
        <v>2024</v>
      </c>
      <c r="C74" s="293">
        <v>1</v>
      </c>
      <c r="D74" s="292" t="s">
        <v>661</v>
      </c>
      <c r="E74" s="292" t="s">
        <v>349</v>
      </c>
      <c r="F74" s="292" t="s">
        <v>676</v>
      </c>
      <c r="G74" s="289">
        <v>120219</v>
      </c>
    </row>
    <row r="75" spans="1:7" x14ac:dyDescent="0.25">
      <c r="A75" s="292" t="s">
        <v>673</v>
      </c>
      <c r="B75" s="293">
        <v>2024</v>
      </c>
      <c r="C75" s="293">
        <v>2</v>
      </c>
      <c r="D75" s="292" t="s">
        <v>661</v>
      </c>
      <c r="E75" s="292" t="s">
        <v>349</v>
      </c>
      <c r="F75" s="292" t="s">
        <v>676</v>
      </c>
      <c r="G75" s="289">
        <v>120219</v>
      </c>
    </row>
    <row r="76" spans="1:7" x14ac:dyDescent="0.25">
      <c r="A76" s="292" t="s">
        <v>673</v>
      </c>
      <c r="B76" s="293">
        <v>2024</v>
      </c>
      <c r="C76" s="293">
        <v>3</v>
      </c>
      <c r="D76" s="292" t="s">
        <v>661</v>
      </c>
      <c r="E76" s="292" t="s">
        <v>349</v>
      </c>
      <c r="F76" s="292" t="s">
        <v>676</v>
      </c>
      <c r="G76" s="289">
        <v>120219</v>
      </c>
    </row>
    <row r="77" spans="1:7" x14ac:dyDescent="0.25">
      <c r="A77" s="292" t="s">
        <v>673</v>
      </c>
      <c r="B77" s="293">
        <v>2024</v>
      </c>
      <c r="C77" s="293">
        <v>4</v>
      </c>
      <c r="D77" s="292" t="s">
        <v>661</v>
      </c>
      <c r="E77" s="292" t="s">
        <v>349</v>
      </c>
      <c r="F77" s="292" t="s">
        <v>676</v>
      </c>
      <c r="G77" s="289">
        <v>120219</v>
      </c>
    </row>
    <row r="78" spans="1:7" x14ac:dyDescent="0.25">
      <c r="A78" s="292" t="s">
        <v>673</v>
      </c>
      <c r="B78" s="293">
        <v>2024</v>
      </c>
      <c r="C78" s="293">
        <v>5</v>
      </c>
      <c r="D78" s="292" t="s">
        <v>661</v>
      </c>
      <c r="E78" s="292" t="s">
        <v>349</v>
      </c>
      <c r="F78" s="292" t="s">
        <v>676</v>
      </c>
      <c r="G78" s="289">
        <v>120219</v>
      </c>
    </row>
    <row r="79" spans="1:7" x14ac:dyDescent="0.25">
      <c r="A79" s="292" t="s">
        <v>673</v>
      </c>
      <c r="B79" s="293">
        <v>2024</v>
      </c>
      <c r="C79" s="293">
        <v>6</v>
      </c>
      <c r="D79" s="292" t="s">
        <v>661</v>
      </c>
      <c r="E79" s="292" t="s">
        <v>349</v>
      </c>
      <c r="F79" s="292" t="s">
        <v>676</v>
      </c>
      <c r="G79" s="289">
        <v>120219</v>
      </c>
    </row>
    <row r="80" spans="1:7" x14ac:dyDescent="0.25">
      <c r="A80" s="292" t="s">
        <v>673</v>
      </c>
      <c r="B80" s="293">
        <v>2024</v>
      </c>
      <c r="C80" s="293">
        <v>7</v>
      </c>
      <c r="D80" s="292" t="s">
        <v>661</v>
      </c>
      <c r="E80" s="292" t="s">
        <v>349</v>
      </c>
      <c r="F80" s="292" t="s">
        <v>676</v>
      </c>
      <c r="G80" s="289">
        <v>120219</v>
      </c>
    </row>
    <row r="81" spans="1:7" x14ac:dyDescent="0.25">
      <c r="A81" s="292" t="s">
        <v>673</v>
      </c>
      <c r="B81" s="293">
        <v>2024</v>
      </c>
      <c r="C81" s="293">
        <v>8</v>
      </c>
      <c r="D81" s="292" t="s">
        <v>661</v>
      </c>
      <c r="E81" s="292" t="s">
        <v>349</v>
      </c>
      <c r="F81" s="292" t="s">
        <v>676</v>
      </c>
      <c r="G81" s="289">
        <v>120219</v>
      </c>
    </row>
    <row r="82" spans="1:7" x14ac:dyDescent="0.25">
      <c r="A82" s="292" t="s">
        <v>673</v>
      </c>
      <c r="B82" s="293">
        <v>2024</v>
      </c>
      <c r="C82" s="293">
        <v>9</v>
      </c>
      <c r="D82" s="292" t="s">
        <v>661</v>
      </c>
      <c r="E82" s="292" t="s">
        <v>349</v>
      </c>
      <c r="F82" s="292" t="s">
        <v>676</v>
      </c>
      <c r="G82" s="289">
        <v>120219</v>
      </c>
    </row>
    <row r="83" spans="1:7" x14ac:dyDescent="0.25">
      <c r="A83" s="292" t="s">
        <v>673</v>
      </c>
      <c r="B83" s="293">
        <v>2024</v>
      </c>
      <c r="C83" s="293">
        <v>10</v>
      </c>
      <c r="D83" s="292" t="s">
        <v>661</v>
      </c>
      <c r="E83" s="292" t="s">
        <v>349</v>
      </c>
      <c r="F83" s="292" t="s">
        <v>676</v>
      </c>
      <c r="G83" s="289">
        <v>120219</v>
      </c>
    </row>
    <row r="84" spans="1:7" x14ac:dyDescent="0.25">
      <c r="A84" s="292" t="s">
        <v>673</v>
      </c>
      <c r="B84" s="293">
        <v>2024</v>
      </c>
      <c r="C84" s="293">
        <v>11</v>
      </c>
      <c r="D84" s="292" t="s">
        <v>661</v>
      </c>
      <c r="E84" s="292" t="s">
        <v>349</v>
      </c>
      <c r="F84" s="292" t="s">
        <v>676</v>
      </c>
      <c r="G84" s="289">
        <v>120219</v>
      </c>
    </row>
    <row r="85" spans="1:7" x14ac:dyDescent="0.25">
      <c r="A85" s="292" t="s">
        <v>673</v>
      </c>
      <c r="B85" s="293">
        <v>2024</v>
      </c>
      <c r="C85" s="293">
        <v>12</v>
      </c>
      <c r="D85" s="292" t="s">
        <v>661</v>
      </c>
      <c r="E85" s="292" t="s">
        <v>349</v>
      </c>
      <c r="F85" s="292" t="s">
        <v>676</v>
      </c>
      <c r="G85" s="289">
        <v>120219</v>
      </c>
    </row>
    <row r="86" spans="1:7" x14ac:dyDescent="0.25">
      <c r="A86" s="292" t="s">
        <v>673</v>
      </c>
      <c r="B86" s="293">
        <v>2024</v>
      </c>
      <c r="C86" s="293">
        <v>0</v>
      </c>
      <c r="D86" s="292" t="s">
        <v>661</v>
      </c>
      <c r="E86" s="292" t="s">
        <v>350</v>
      </c>
      <c r="F86" s="292" t="s">
        <v>677</v>
      </c>
      <c r="G86" s="289">
        <v>3333013.67</v>
      </c>
    </row>
    <row r="87" spans="1:7" x14ac:dyDescent="0.25">
      <c r="A87" s="292" t="s">
        <v>673</v>
      </c>
      <c r="B87" s="293">
        <v>2024</v>
      </c>
      <c r="C87" s="293">
        <v>1</v>
      </c>
      <c r="D87" s="292" t="s">
        <v>661</v>
      </c>
      <c r="E87" s="292" t="s">
        <v>350</v>
      </c>
      <c r="F87" s="292" t="s">
        <v>677</v>
      </c>
      <c r="G87" s="289">
        <v>-45657.72</v>
      </c>
    </row>
    <row r="88" spans="1:7" x14ac:dyDescent="0.25">
      <c r="A88" s="292" t="s">
        <v>673</v>
      </c>
      <c r="B88" s="293">
        <v>2024</v>
      </c>
      <c r="C88" s="293">
        <v>2</v>
      </c>
      <c r="D88" s="292" t="s">
        <v>661</v>
      </c>
      <c r="E88" s="292" t="s">
        <v>350</v>
      </c>
      <c r="F88" s="292" t="s">
        <v>677</v>
      </c>
      <c r="G88" s="289">
        <v>-45657.72</v>
      </c>
    </row>
    <row r="89" spans="1:7" x14ac:dyDescent="0.25">
      <c r="A89" s="292" t="s">
        <v>673</v>
      </c>
      <c r="B89" s="293">
        <v>2024</v>
      </c>
      <c r="C89" s="293">
        <v>3</v>
      </c>
      <c r="D89" s="292" t="s">
        <v>661</v>
      </c>
      <c r="E89" s="292" t="s">
        <v>350</v>
      </c>
      <c r="F89" s="292" t="s">
        <v>677</v>
      </c>
      <c r="G89" s="289">
        <v>-45657.72</v>
      </c>
    </row>
    <row r="90" spans="1:7" x14ac:dyDescent="0.25">
      <c r="A90" s="292" t="s">
        <v>673</v>
      </c>
      <c r="B90" s="293">
        <v>2024</v>
      </c>
      <c r="C90" s="293">
        <v>4</v>
      </c>
      <c r="D90" s="292" t="s">
        <v>661</v>
      </c>
      <c r="E90" s="292" t="s">
        <v>350</v>
      </c>
      <c r="F90" s="292" t="s">
        <v>677</v>
      </c>
      <c r="G90" s="289">
        <v>-45657.73</v>
      </c>
    </row>
    <row r="91" spans="1:7" x14ac:dyDescent="0.25">
      <c r="A91" s="292" t="s">
        <v>673</v>
      </c>
      <c r="B91" s="293">
        <v>2024</v>
      </c>
      <c r="C91" s="293">
        <v>5</v>
      </c>
      <c r="D91" s="292" t="s">
        <v>661</v>
      </c>
      <c r="E91" s="292" t="s">
        <v>350</v>
      </c>
      <c r="F91" s="292" t="s">
        <v>677</v>
      </c>
      <c r="G91" s="289">
        <v>-45657.72</v>
      </c>
    </row>
    <row r="92" spans="1:7" x14ac:dyDescent="0.25">
      <c r="A92" s="292" t="s">
        <v>673</v>
      </c>
      <c r="B92" s="293">
        <v>2024</v>
      </c>
      <c r="C92" s="293">
        <v>6</v>
      </c>
      <c r="D92" s="292" t="s">
        <v>661</v>
      </c>
      <c r="E92" s="292" t="s">
        <v>350</v>
      </c>
      <c r="F92" s="292" t="s">
        <v>677</v>
      </c>
      <c r="G92" s="289">
        <v>-45657.72</v>
      </c>
    </row>
    <row r="93" spans="1:7" x14ac:dyDescent="0.25">
      <c r="A93" s="292" t="s">
        <v>673</v>
      </c>
      <c r="B93" s="293">
        <v>2024</v>
      </c>
      <c r="C93" s="293">
        <v>7</v>
      </c>
      <c r="D93" s="292" t="s">
        <v>661</v>
      </c>
      <c r="E93" s="292" t="s">
        <v>350</v>
      </c>
      <c r="F93" s="292" t="s">
        <v>677</v>
      </c>
      <c r="G93" s="289">
        <v>-45657.72</v>
      </c>
    </row>
    <row r="94" spans="1:7" x14ac:dyDescent="0.25">
      <c r="A94" s="292" t="s">
        <v>673</v>
      </c>
      <c r="B94" s="293">
        <v>2024</v>
      </c>
      <c r="C94" s="293">
        <v>8</v>
      </c>
      <c r="D94" s="292" t="s">
        <v>661</v>
      </c>
      <c r="E94" s="292" t="s">
        <v>350</v>
      </c>
      <c r="F94" s="292" t="s">
        <v>677</v>
      </c>
      <c r="G94" s="289">
        <v>-45657.72</v>
      </c>
    </row>
    <row r="95" spans="1:7" x14ac:dyDescent="0.25">
      <c r="A95" s="292" t="s">
        <v>673</v>
      </c>
      <c r="B95" s="293">
        <v>2024</v>
      </c>
      <c r="C95" s="293">
        <v>9</v>
      </c>
      <c r="D95" s="292" t="s">
        <v>661</v>
      </c>
      <c r="E95" s="292" t="s">
        <v>350</v>
      </c>
      <c r="F95" s="292" t="s">
        <v>677</v>
      </c>
      <c r="G95" s="289">
        <v>-45657.72</v>
      </c>
    </row>
    <row r="96" spans="1:7" x14ac:dyDescent="0.25">
      <c r="A96" s="292" t="s">
        <v>673</v>
      </c>
      <c r="B96" s="293">
        <v>2024</v>
      </c>
      <c r="C96" s="293">
        <v>10</v>
      </c>
      <c r="D96" s="292" t="s">
        <v>661</v>
      </c>
      <c r="E96" s="292" t="s">
        <v>350</v>
      </c>
      <c r="F96" s="292" t="s">
        <v>677</v>
      </c>
      <c r="G96" s="289">
        <v>-45657.72</v>
      </c>
    </row>
    <row r="97" spans="1:7" x14ac:dyDescent="0.25">
      <c r="A97" s="292" t="s">
        <v>673</v>
      </c>
      <c r="B97" s="293">
        <v>2024</v>
      </c>
      <c r="C97" s="293">
        <v>11</v>
      </c>
      <c r="D97" s="292" t="s">
        <v>661</v>
      </c>
      <c r="E97" s="292" t="s">
        <v>350</v>
      </c>
      <c r="F97" s="292" t="s">
        <v>677</v>
      </c>
      <c r="G97" s="289">
        <v>-45657.73</v>
      </c>
    </row>
    <row r="98" spans="1:7" x14ac:dyDescent="0.25">
      <c r="A98" s="292" t="s">
        <v>673</v>
      </c>
      <c r="B98" s="293">
        <v>2024</v>
      </c>
      <c r="C98" s="293">
        <v>12</v>
      </c>
      <c r="D98" s="292" t="s">
        <v>661</v>
      </c>
      <c r="E98" s="292" t="s">
        <v>350</v>
      </c>
      <c r="F98" s="292" t="s">
        <v>677</v>
      </c>
      <c r="G98" s="289">
        <v>-45657.72</v>
      </c>
    </row>
    <row r="99" spans="1:7" x14ac:dyDescent="0.25">
      <c r="A99" s="292" t="s">
        <v>673</v>
      </c>
      <c r="B99" s="293">
        <v>2024</v>
      </c>
      <c r="C99" s="293">
        <v>0</v>
      </c>
      <c r="D99" s="292" t="s">
        <v>661</v>
      </c>
      <c r="E99" s="292" t="s">
        <v>351</v>
      </c>
      <c r="F99" s="292" t="s">
        <v>678</v>
      </c>
      <c r="G99" s="289">
        <v>8776005</v>
      </c>
    </row>
    <row r="100" spans="1:7" x14ac:dyDescent="0.25">
      <c r="A100" s="292" t="s">
        <v>673</v>
      </c>
      <c r="B100" s="293">
        <v>2024</v>
      </c>
      <c r="C100" s="293">
        <v>1</v>
      </c>
      <c r="D100" s="292" t="s">
        <v>661</v>
      </c>
      <c r="E100" s="292" t="s">
        <v>351</v>
      </c>
      <c r="F100" s="292" t="s">
        <v>678</v>
      </c>
      <c r="G100" s="289">
        <v>-120219</v>
      </c>
    </row>
    <row r="101" spans="1:7" x14ac:dyDescent="0.25">
      <c r="A101" s="292" t="s">
        <v>673</v>
      </c>
      <c r="B101" s="293">
        <v>2024</v>
      </c>
      <c r="C101" s="293">
        <v>2</v>
      </c>
      <c r="D101" s="292" t="s">
        <v>661</v>
      </c>
      <c r="E101" s="292" t="s">
        <v>351</v>
      </c>
      <c r="F101" s="292" t="s">
        <v>678</v>
      </c>
      <c r="G101" s="289">
        <v>-120219</v>
      </c>
    </row>
    <row r="102" spans="1:7" x14ac:dyDescent="0.25">
      <c r="A102" s="292" t="s">
        <v>673</v>
      </c>
      <c r="B102" s="293">
        <v>2024</v>
      </c>
      <c r="C102" s="293">
        <v>3</v>
      </c>
      <c r="D102" s="292" t="s">
        <v>661</v>
      </c>
      <c r="E102" s="292" t="s">
        <v>351</v>
      </c>
      <c r="F102" s="292" t="s">
        <v>678</v>
      </c>
      <c r="G102" s="289">
        <v>-120219</v>
      </c>
    </row>
    <row r="103" spans="1:7" x14ac:dyDescent="0.25">
      <c r="A103" s="292" t="s">
        <v>673</v>
      </c>
      <c r="B103" s="293">
        <v>2024</v>
      </c>
      <c r="C103" s="293">
        <v>4</v>
      </c>
      <c r="D103" s="292" t="s">
        <v>661</v>
      </c>
      <c r="E103" s="292" t="s">
        <v>351</v>
      </c>
      <c r="F103" s="292" t="s">
        <v>678</v>
      </c>
      <c r="G103" s="289">
        <v>-120219</v>
      </c>
    </row>
    <row r="104" spans="1:7" x14ac:dyDescent="0.25">
      <c r="A104" s="292" t="s">
        <v>673</v>
      </c>
      <c r="B104" s="293">
        <v>2024</v>
      </c>
      <c r="C104" s="293">
        <v>5</v>
      </c>
      <c r="D104" s="292" t="s">
        <v>661</v>
      </c>
      <c r="E104" s="292" t="s">
        <v>351</v>
      </c>
      <c r="F104" s="292" t="s">
        <v>678</v>
      </c>
      <c r="G104" s="289">
        <v>-120219</v>
      </c>
    </row>
    <row r="105" spans="1:7" x14ac:dyDescent="0.25">
      <c r="A105" s="292" t="s">
        <v>673</v>
      </c>
      <c r="B105" s="293">
        <v>2024</v>
      </c>
      <c r="C105" s="293">
        <v>6</v>
      </c>
      <c r="D105" s="292" t="s">
        <v>661</v>
      </c>
      <c r="E105" s="292" t="s">
        <v>351</v>
      </c>
      <c r="F105" s="292" t="s">
        <v>678</v>
      </c>
      <c r="G105" s="289">
        <v>-120219</v>
      </c>
    </row>
    <row r="106" spans="1:7" x14ac:dyDescent="0.25">
      <c r="A106" s="292" t="s">
        <v>673</v>
      </c>
      <c r="B106" s="293">
        <v>2024</v>
      </c>
      <c r="C106" s="293">
        <v>7</v>
      </c>
      <c r="D106" s="292" t="s">
        <v>661</v>
      </c>
      <c r="E106" s="292" t="s">
        <v>351</v>
      </c>
      <c r="F106" s="292" t="s">
        <v>678</v>
      </c>
      <c r="G106" s="289">
        <v>-120219</v>
      </c>
    </row>
    <row r="107" spans="1:7" x14ac:dyDescent="0.25">
      <c r="A107" s="292" t="s">
        <v>673</v>
      </c>
      <c r="B107" s="293">
        <v>2024</v>
      </c>
      <c r="C107" s="293">
        <v>8</v>
      </c>
      <c r="D107" s="292" t="s">
        <v>661</v>
      </c>
      <c r="E107" s="292" t="s">
        <v>351</v>
      </c>
      <c r="F107" s="292" t="s">
        <v>678</v>
      </c>
      <c r="G107" s="289">
        <v>-120219</v>
      </c>
    </row>
    <row r="108" spans="1:7" x14ac:dyDescent="0.25">
      <c r="A108" s="292" t="s">
        <v>673</v>
      </c>
      <c r="B108" s="293">
        <v>2024</v>
      </c>
      <c r="C108" s="293">
        <v>9</v>
      </c>
      <c r="D108" s="292" t="s">
        <v>661</v>
      </c>
      <c r="E108" s="292" t="s">
        <v>351</v>
      </c>
      <c r="F108" s="292" t="s">
        <v>678</v>
      </c>
      <c r="G108" s="289">
        <v>-120219</v>
      </c>
    </row>
    <row r="109" spans="1:7" x14ac:dyDescent="0.25">
      <c r="A109" s="292" t="s">
        <v>673</v>
      </c>
      <c r="B109" s="293">
        <v>2024</v>
      </c>
      <c r="C109" s="293">
        <v>10</v>
      </c>
      <c r="D109" s="292" t="s">
        <v>661</v>
      </c>
      <c r="E109" s="292" t="s">
        <v>351</v>
      </c>
      <c r="F109" s="292" t="s">
        <v>678</v>
      </c>
      <c r="G109" s="289">
        <v>-120219</v>
      </c>
    </row>
    <row r="110" spans="1:7" x14ac:dyDescent="0.25">
      <c r="A110" s="292" t="s">
        <v>673</v>
      </c>
      <c r="B110" s="293">
        <v>2024</v>
      </c>
      <c r="C110" s="293">
        <v>11</v>
      </c>
      <c r="D110" s="292" t="s">
        <v>661</v>
      </c>
      <c r="E110" s="292" t="s">
        <v>351</v>
      </c>
      <c r="F110" s="292" t="s">
        <v>678</v>
      </c>
      <c r="G110" s="289">
        <v>-120219</v>
      </c>
    </row>
    <row r="111" spans="1:7" x14ac:dyDescent="0.25">
      <c r="A111" s="292" t="s">
        <v>673</v>
      </c>
      <c r="B111" s="293">
        <v>2024</v>
      </c>
      <c r="C111" s="293">
        <v>12</v>
      </c>
      <c r="D111" s="292" t="s">
        <v>661</v>
      </c>
      <c r="E111" s="292" t="s">
        <v>351</v>
      </c>
      <c r="F111" s="292" t="s">
        <v>678</v>
      </c>
      <c r="G111" s="289">
        <v>-120219</v>
      </c>
    </row>
    <row r="112" spans="1:7" x14ac:dyDescent="0.25">
      <c r="A112" s="292" t="s">
        <v>673</v>
      </c>
      <c r="B112" s="293">
        <v>2024</v>
      </c>
      <c r="C112" s="293">
        <v>0</v>
      </c>
      <c r="D112" s="292" t="s">
        <v>661</v>
      </c>
      <c r="E112" s="292" t="s">
        <v>352</v>
      </c>
      <c r="F112" s="292" t="s">
        <v>679</v>
      </c>
      <c r="G112" s="289">
        <v>12594400</v>
      </c>
    </row>
    <row r="113" spans="1:7" x14ac:dyDescent="0.25">
      <c r="A113" s="292" t="s">
        <v>673</v>
      </c>
      <c r="B113" s="293">
        <v>2024</v>
      </c>
      <c r="C113" s="293">
        <v>1</v>
      </c>
      <c r="D113" s="292" t="s">
        <v>661</v>
      </c>
      <c r="E113" s="292" t="s">
        <v>352</v>
      </c>
      <c r="F113" s="292" t="s">
        <v>679</v>
      </c>
      <c r="G113" s="289">
        <v>-8506</v>
      </c>
    </row>
    <row r="114" spans="1:7" x14ac:dyDescent="0.25">
      <c r="A114" s="292" t="s">
        <v>673</v>
      </c>
      <c r="B114" s="293">
        <v>2024</v>
      </c>
      <c r="C114" s="293">
        <v>2</v>
      </c>
      <c r="D114" s="292" t="s">
        <v>661</v>
      </c>
      <c r="E114" s="292" t="s">
        <v>352</v>
      </c>
      <c r="F114" s="292" t="s">
        <v>679</v>
      </c>
      <c r="G114" s="289">
        <v>-8506</v>
      </c>
    </row>
    <row r="115" spans="1:7" x14ac:dyDescent="0.25">
      <c r="A115" s="292" t="s">
        <v>673</v>
      </c>
      <c r="B115" s="293">
        <v>2024</v>
      </c>
      <c r="C115" s="293">
        <v>3</v>
      </c>
      <c r="D115" s="292" t="s">
        <v>661</v>
      </c>
      <c r="E115" s="292" t="s">
        <v>352</v>
      </c>
      <c r="F115" s="292" t="s">
        <v>679</v>
      </c>
      <c r="G115" s="289">
        <v>-8506</v>
      </c>
    </row>
    <row r="116" spans="1:7" x14ac:dyDescent="0.25">
      <c r="A116" s="292" t="s">
        <v>673</v>
      </c>
      <c r="B116" s="293">
        <v>2024</v>
      </c>
      <c r="C116" s="293">
        <v>4</v>
      </c>
      <c r="D116" s="292" t="s">
        <v>661</v>
      </c>
      <c r="E116" s="292" t="s">
        <v>352</v>
      </c>
      <c r="F116" s="292" t="s">
        <v>679</v>
      </c>
      <c r="G116" s="289">
        <v>-8506</v>
      </c>
    </row>
    <row r="117" spans="1:7" x14ac:dyDescent="0.25">
      <c r="A117" s="292" t="s">
        <v>673</v>
      </c>
      <c r="B117" s="293">
        <v>2024</v>
      </c>
      <c r="C117" s="293">
        <v>5</v>
      </c>
      <c r="D117" s="292" t="s">
        <v>661</v>
      </c>
      <c r="E117" s="292" t="s">
        <v>352</v>
      </c>
      <c r="F117" s="292" t="s">
        <v>679</v>
      </c>
      <c r="G117" s="289">
        <v>-8506</v>
      </c>
    </row>
    <row r="118" spans="1:7" x14ac:dyDescent="0.25">
      <c r="A118" s="292" t="s">
        <v>673</v>
      </c>
      <c r="B118" s="293">
        <v>2024</v>
      </c>
      <c r="C118" s="293">
        <v>6</v>
      </c>
      <c r="D118" s="292" t="s">
        <v>661</v>
      </c>
      <c r="E118" s="292" t="s">
        <v>352</v>
      </c>
      <c r="F118" s="292" t="s">
        <v>679</v>
      </c>
      <c r="G118" s="289">
        <v>-8506</v>
      </c>
    </row>
    <row r="119" spans="1:7" x14ac:dyDescent="0.25">
      <c r="A119" s="292" t="s">
        <v>673</v>
      </c>
      <c r="B119" s="293">
        <v>2024</v>
      </c>
      <c r="C119" s="293">
        <v>7</v>
      </c>
      <c r="D119" s="292" t="s">
        <v>661</v>
      </c>
      <c r="E119" s="292" t="s">
        <v>352</v>
      </c>
      <c r="F119" s="292" t="s">
        <v>679</v>
      </c>
      <c r="G119" s="289">
        <v>-8506</v>
      </c>
    </row>
    <row r="120" spans="1:7" x14ac:dyDescent="0.25">
      <c r="A120" s="292" t="s">
        <v>673</v>
      </c>
      <c r="B120" s="293">
        <v>2024</v>
      </c>
      <c r="C120" s="293">
        <v>8</v>
      </c>
      <c r="D120" s="292" t="s">
        <v>661</v>
      </c>
      <c r="E120" s="292" t="s">
        <v>352</v>
      </c>
      <c r="F120" s="292" t="s">
        <v>679</v>
      </c>
      <c r="G120" s="289">
        <v>-8506</v>
      </c>
    </row>
    <row r="121" spans="1:7" x14ac:dyDescent="0.25">
      <c r="A121" s="292" t="s">
        <v>673</v>
      </c>
      <c r="B121" s="293">
        <v>2024</v>
      </c>
      <c r="C121" s="293">
        <v>9</v>
      </c>
      <c r="D121" s="292" t="s">
        <v>661</v>
      </c>
      <c r="E121" s="292" t="s">
        <v>352</v>
      </c>
      <c r="F121" s="292" t="s">
        <v>679</v>
      </c>
      <c r="G121" s="289">
        <v>-8506</v>
      </c>
    </row>
    <row r="122" spans="1:7" x14ac:dyDescent="0.25">
      <c r="A122" s="292" t="s">
        <v>673</v>
      </c>
      <c r="B122" s="293">
        <v>2024</v>
      </c>
      <c r="C122" s="293">
        <v>10</v>
      </c>
      <c r="D122" s="292" t="s">
        <v>661</v>
      </c>
      <c r="E122" s="292" t="s">
        <v>352</v>
      </c>
      <c r="F122" s="292" t="s">
        <v>679</v>
      </c>
      <c r="G122" s="289">
        <v>-8506</v>
      </c>
    </row>
    <row r="123" spans="1:7" x14ac:dyDescent="0.25">
      <c r="A123" s="292" t="s">
        <v>673</v>
      </c>
      <c r="B123" s="293">
        <v>2024</v>
      </c>
      <c r="C123" s="293">
        <v>11</v>
      </c>
      <c r="D123" s="292" t="s">
        <v>661</v>
      </c>
      <c r="E123" s="292" t="s">
        <v>352</v>
      </c>
      <c r="F123" s="292" t="s">
        <v>679</v>
      </c>
      <c r="G123" s="289">
        <v>-8506</v>
      </c>
    </row>
    <row r="124" spans="1:7" x14ac:dyDescent="0.25">
      <c r="A124" s="292" t="s">
        <v>673</v>
      </c>
      <c r="B124" s="293">
        <v>2024</v>
      </c>
      <c r="C124" s="293">
        <v>12</v>
      </c>
      <c r="D124" s="292" t="s">
        <v>661</v>
      </c>
      <c r="E124" s="292" t="s">
        <v>352</v>
      </c>
      <c r="F124" s="292" t="s">
        <v>679</v>
      </c>
      <c r="G124" s="289">
        <v>-8506</v>
      </c>
    </row>
    <row r="125" spans="1:7" x14ac:dyDescent="0.25">
      <c r="A125" s="292" t="s">
        <v>673</v>
      </c>
      <c r="B125" s="293">
        <v>2024</v>
      </c>
      <c r="C125" s="293">
        <v>0</v>
      </c>
      <c r="D125" s="292" t="s">
        <v>661</v>
      </c>
      <c r="E125" s="292" t="s">
        <v>359</v>
      </c>
      <c r="F125" s="292" t="s">
        <v>680</v>
      </c>
      <c r="G125" s="289">
        <v>-0.05</v>
      </c>
    </row>
    <row r="126" spans="1:7" x14ac:dyDescent="0.25">
      <c r="A126" s="292" t="s">
        <v>673</v>
      </c>
      <c r="B126" s="293">
        <v>2024</v>
      </c>
      <c r="C126" s="293">
        <v>9</v>
      </c>
      <c r="D126" s="292" t="s">
        <v>661</v>
      </c>
      <c r="E126" s="292" t="s">
        <v>359</v>
      </c>
      <c r="F126" s="292" t="s">
        <v>680</v>
      </c>
      <c r="G126" s="289">
        <v>8852.7900000000009</v>
      </c>
    </row>
    <row r="127" spans="1:7" x14ac:dyDescent="0.25">
      <c r="A127" s="292" t="s">
        <v>673</v>
      </c>
      <c r="B127" s="293">
        <v>2024</v>
      </c>
      <c r="C127" s="293">
        <v>10</v>
      </c>
      <c r="D127" s="292" t="s">
        <v>661</v>
      </c>
      <c r="E127" s="292" t="s">
        <v>359</v>
      </c>
      <c r="F127" s="292" t="s">
        <v>680</v>
      </c>
      <c r="G127" s="289">
        <v>-5045.3999999999996</v>
      </c>
    </row>
    <row r="128" spans="1:7" x14ac:dyDescent="0.25">
      <c r="A128" s="292" t="s">
        <v>673</v>
      </c>
      <c r="B128" s="293">
        <v>2024</v>
      </c>
      <c r="C128" s="293">
        <v>0</v>
      </c>
      <c r="D128" s="292" t="s">
        <v>661</v>
      </c>
      <c r="E128" s="292" t="s">
        <v>360</v>
      </c>
      <c r="F128" s="292" t="s">
        <v>681</v>
      </c>
      <c r="G128" s="289">
        <v>285600.49</v>
      </c>
    </row>
    <row r="129" spans="1:7" x14ac:dyDescent="0.25">
      <c r="A129" s="292" t="s">
        <v>673</v>
      </c>
      <c r="B129" s="293">
        <v>2024</v>
      </c>
      <c r="C129" s="293">
        <v>1</v>
      </c>
      <c r="D129" s="292" t="s">
        <v>661</v>
      </c>
      <c r="E129" s="292" t="s">
        <v>360</v>
      </c>
      <c r="F129" s="292" t="s">
        <v>681</v>
      </c>
      <c r="G129" s="289">
        <v>-37191.42</v>
      </c>
    </row>
    <row r="130" spans="1:7" x14ac:dyDescent="0.25">
      <c r="A130" s="292" t="s">
        <v>673</v>
      </c>
      <c r="B130" s="293">
        <v>2024</v>
      </c>
      <c r="C130" s="293">
        <v>3</v>
      </c>
      <c r="D130" s="292" t="s">
        <v>661</v>
      </c>
      <c r="E130" s="292" t="s">
        <v>360</v>
      </c>
      <c r="F130" s="292" t="s">
        <v>681</v>
      </c>
      <c r="G130" s="289">
        <v>-77847.42</v>
      </c>
    </row>
    <row r="131" spans="1:7" x14ac:dyDescent="0.25">
      <c r="A131" s="292" t="s">
        <v>673</v>
      </c>
      <c r="B131" s="293">
        <v>2024</v>
      </c>
      <c r="C131" s="293">
        <v>6</v>
      </c>
      <c r="D131" s="292" t="s">
        <v>661</v>
      </c>
      <c r="E131" s="292" t="s">
        <v>360</v>
      </c>
      <c r="F131" s="292" t="s">
        <v>681</v>
      </c>
      <c r="G131" s="289">
        <v>70357.98</v>
      </c>
    </row>
    <row r="132" spans="1:7" x14ac:dyDescent="0.25">
      <c r="A132" s="292" t="s">
        <v>673</v>
      </c>
      <c r="B132" s="293">
        <v>2024</v>
      </c>
      <c r="C132" s="293">
        <v>9</v>
      </c>
      <c r="D132" s="292" t="s">
        <v>661</v>
      </c>
      <c r="E132" s="292" t="s">
        <v>360</v>
      </c>
      <c r="F132" s="292" t="s">
        <v>681</v>
      </c>
      <c r="G132" s="289">
        <v>94841.67</v>
      </c>
    </row>
    <row r="133" spans="1:7" x14ac:dyDescent="0.25">
      <c r="A133" s="292" t="s">
        <v>673</v>
      </c>
      <c r="B133" s="293">
        <v>2024</v>
      </c>
      <c r="C133" s="293">
        <v>10</v>
      </c>
      <c r="D133" s="292" t="s">
        <v>661</v>
      </c>
      <c r="E133" s="292" t="s">
        <v>360</v>
      </c>
      <c r="F133" s="292" t="s">
        <v>681</v>
      </c>
      <c r="G133" s="289">
        <v>8051.4</v>
      </c>
    </row>
    <row r="134" spans="1:7" x14ac:dyDescent="0.25">
      <c r="A134" s="292" t="s">
        <v>673</v>
      </c>
      <c r="B134" s="293">
        <v>2024</v>
      </c>
      <c r="C134" s="293">
        <v>12</v>
      </c>
      <c r="D134" s="292" t="s">
        <v>661</v>
      </c>
      <c r="E134" s="292" t="s">
        <v>360</v>
      </c>
      <c r="F134" s="292" t="s">
        <v>681</v>
      </c>
      <c r="G134" s="289">
        <v>-12909.12</v>
      </c>
    </row>
    <row r="135" spans="1:7" x14ac:dyDescent="0.25">
      <c r="A135" s="292" t="s">
        <v>673</v>
      </c>
      <c r="B135" s="293">
        <v>2024</v>
      </c>
      <c r="C135" s="293">
        <v>0</v>
      </c>
      <c r="D135" s="292" t="s">
        <v>661</v>
      </c>
      <c r="E135" s="292" t="s">
        <v>363</v>
      </c>
      <c r="F135" s="292" t="s">
        <v>662</v>
      </c>
      <c r="G135" s="289">
        <v>-102095.03999999999</v>
      </c>
    </row>
    <row r="136" spans="1:7" x14ac:dyDescent="0.25">
      <c r="A136" s="292" t="s">
        <v>673</v>
      </c>
      <c r="B136" s="293">
        <v>2024</v>
      </c>
      <c r="C136" s="293">
        <v>7</v>
      </c>
      <c r="D136" s="292" t="s">
        <v>661</v>
      </c>
      <c r="E136" s="292" t="s">
        <v>363</v>
      </c>
      <c r="F136" s="292" t="s">
        <v>662</v>
      </c>
      <c r="G136" s="289">
        <v>-201296.76</v>
      </c>
    </row>
    <row r="137" spans="1:7" x14ac:dyDescent="0.25">
      <c r="A137" s="292" t="s">
        <v>673</v>
      </c>
      <c r="B137" s="293">
        <v>2024</v>
      </c>
      <c r="C137" s="293">
        <v>8</v>
      </c>
      <c r="D137" s="292" t="s">
        <v>661</v>
      </c>
      <c r="E137" s="292" t="s">
        <v>363</v>
      </c>
      <c r="F137" s="292" t="s">
        <v>662</v>
      </c>
      <c r="G137" s="289">
        <v>6112.26</v>
      </c>
    </row>
    <row r="138" spans="1:7" x14ac:dyDescent="0.25">
      <c r="A138" s="292" t="s">
        <v>673</v>
      </c>
      <c r="B138" s="293">
        <v>2024</v>
      </c>
      <c r="C138" s="293">
        <v>9</v>
      </c>
      <c r="D138" s="292" t="s">
        <v>661</v>
      </c>
      <c r="E138" s="292" t="s">
        <v>363</v>
      </c>
      <c r="F138" s="292" t="s">
        <v>662</v>
      </c>
      <c r="G138" s="289">
        <v>5665.17</v>
      </c>
    </row>
    <row r="139" spans="1:7" x14ac:dyDescent="0.25">
      <c r="A139" s="292" t="s">
        <v>673</v>
      </c>
      <c r="B139" s="293">
        <v>2024</v>
      </c>
      <c r="C139" s="293">
        <v>10</v>
      </c>
      <c r="D139" s="292" t="s">
        <v>661</v>
      </c>
      <c r="E139" s="292" t="s">
        <v>363</v>
      </c>
      <c r="F139" s="292" t="s">
        <v>662</v>
      </c>
      <c r="G139" s="289">
        <v>157608.22</v>
      </c>
    </row>
    <row r="140" spans="1:7" x14ac:dyDescent="0.25">
      <c r="A140" s="292" t="s">
        <v>673</v>
      </c>
      <c r="B140" s="293">
        <v>2024</v>
      </c>
      <c r="C140" s="293">
        <v>11</v>
      </c>
      <c r="D140" s="292" t="s">
        <v>661</v>
      </c>
      <c r="E140" s="292" t="s">
        <v>363</v>
      </c>
      <c r="F140" s="292" t="s">
        <v>662</v>
      </c>
      <c r="G140" s="289">
        <v>-113317.89</v>
      </c>
    </row>
    <row r="141" spans="1:7" x14ac:dyDescent="0.25">
      <c r="A141" s="292" t="s">
        <v>673</v>
      </c>
      <c r="B141" s="293">
        <v>2024</v>
      </c>
      <c r="C141" s="293">
        <v>12</v>
      </c>
      <c r="D141" s="292" t="s">
        <v>661</v>
      </c>
      <c r="E141" s="292" t="s">
        <v>363</v>
      </c>
      <c r="F141" s="292" t="s">
        <v>662</v>
      </c>
      <c r="G141" s="289">
        <v>9883.65</v>
      </c>
    </row>
    <row r="142" spans="1:7" x14ac:dyDescent="0.25">
      <c r="A142" s="292" t="s">
        <v>673</v>
      </c>
      <c r="B142" s="293">
        <v>2024</v>
      </c>
      <c r="C142" s="293">
        <v>10</v>
      </c>
      <c r="D142" s="292" t="s">
        <v>661</v>
      </c>
      <c r="E142" s="292" t="s">
        <v>669</v>
      </c>
      <c r="F142" s="292" t="s">
        <v>670</v>
      </c>
      <c r="G142" s="289">
        <v>0</v>
      </c>
    </row>
    <row r="143" spans="1:7" x14ac:dyDescent="0.25">
      <c r="A143" s="292" t="s">
        <v>673</v>
      </c>
      <c r="B143" s="293">
        <v>2024</v>
      </c>
      <c r="C143" s="293">
        <v>0</v>
      </c>
      <c r="D143" s="292" t="s">
        <v>661</v>
      </c>
      <c r="E143" s="292" t="s">
        <v>367</v>
      </c>
      <c r="F143" s="292" t="s">
        <v>366</v>
      </c>
      <c r="G143" s="289">
        <v>0.05</v>
      </c>
    </row>
    <row r="144" spans="1:7" x14ac:dyDescent="0.25">
      <c r="A144" s="292" t="s">
        <v>673</v>
      </c>
      <c r="B144" s="293">
        <v>2024</v>
      </c>
      <c r="C144" s="293">
        <v>8</v>
      </c>
      <c r="D144" s="292" t="s">
        <v>661</v>
      </c>
      <c r="E144" s="292" t="s">
        <v>367</v>
      </c>
      <c r="F144" s="292" t="s">
        <v>366</v>
      </c>
      <c r="G144" s="289">
        <v>-0.05</v>
      </c>
    </row>
    <row r="145" spans="1:7" x14ac:dyDescent="0.25">
      <c r="A145" s="292" t="s">
        <v>673</v>
      </c>
      <c r="B145" s="293">
        <v>2024</v>
      </c>
      <c r="C145" s="293">
        <v>10</v>
      </c>
      <c r="D145" s="292" t="s">
        <v>661</v>
      </c>
      <c r="E145" s="292" t="s">
        <v>367</v>
      </c>
      <c r="F145" s="292" t="s">
        <v>366</v>
      </c>
      <c r="G145" s="289">
        <v>0.06</v>
      </c>
    </row>
    <row r="146" spans="1:7" x14ac:dyDescent="0.25">
      <c r="A146" s="292" t="s">
        <v>673</v>
      </c>
      <c r="B146" s="293">
        <v>2024</v>
      </c>
      <c r="C146" s="293">
        <v>0</v>
      </c>
      <c r="D146" s="292" t="s">
        <v>661</v>
      </c>
      <c r="E146" s="292" t="s">
        <v>368</v>
      </c>
      <c r="F146" s="292" t="s">
        <v>682</v>
      </c>
      <c r="G146" s="289">
        <v>2322.4</v>
      </c>
    </row>
    <row r="147" spans="1:7" x14ac:dyDescent="0.25">
      <c r="A147" s="292" t="s">
        <v>673</v>
      </c>
      <c r="B147" s="293">
        <v>2024</v>
      </c>
      <c r="C147" s="293">
        <v>0</v>
      </c>
      <c r="D147" s="292" t="s">
        <v>661</v>
      </c>
      <c r="E147" s="292" t="s">
        <v>370</v>
      </c>
      <c r="F147" s="292" t="s">
        <v>683</v>
      </c>
      <c r="G147" s="289">
        <v>8385695.2199999997</v>
      </c>
    </row>
    <row r="148" spans="1:7" x14ac:dyDescent="0.25">
      <c r="A148" s="292" t="s">
        <v>673</v>
      </c>
      <c r="B148" s="293">
        <v>2024</v>
      </c>
      <c r="C148" s="293">
        <v>1</v>
      </c>
      <c r="D148" s="292" t="s">
        <v>661</v>
      </c>
      <c r="E148" s="292" t="s">
        <v>370</v>
      </c>
      <c r="F148" s="292" t="s">
        <v>683</v>
      </c>
      <c r="G148" s="289">
        <v>-81150.09</v>
      </c>
    </row>
    <row r="149" spans="1:7" x14ac:dyDescent="0.25">
      <c r="A149" s="292" t="s">
        <v>673</v>
      </c>
      <c r="B149" s="293">
        <v>2024</v>
      </c>
      <c r="C149" s="293">
        <v>8</v>
      </c>
      <c r="D149" s="292" t="s">
        <v>661</v>
      </c>
      <c r="E149" s="292" t="s">
        <v>370</v>
      </c>
      <c r="F149" s="292" t="s">
        <v>683</v>
      </c>
      <c r="G149" s="289">
        <v>-159492.71</v>
      </c>
    </row>
    <row r="150" spans="1:7" x14ac:dyDescent="0.25">
      <c r="A150" s="292" t="s">
        <v>673</v>
      </c>
      <c r="B150" s="293">
        <v>2024</v>
      </c>
      <c r="C150" s="293">
        <v>9</v>
      </c>
      <c r="D150" s="292" t="s">
        <v>661</v>
      </c>
      <c r="E150" s="292" t="s">
        <v>370</v>
      </c>
      <c r="F150" s="292" t="s">
        <v>683</v>
      </c>
      <c r="G150" s="289">
        <v>155019.95000000001</v>
      </c>
    </row>
    <row r="151" spans="1:7" x14ac:dyDescent="0.25">
      <c r="A151" s="292" t="s">
        <v>673</v>
      </c>
      <c r="B151" s="293">
        <v>2024</v>
      </c>
      <c r="C151" s="293">
        <v>10</v>
      </c>
      <c r="D151" s="292" t="s">
        <v>661</v>
      </c>
      <c r="E151" s="292" t="s">
        <v>370</v>
      </c>
      <c r="F151" s="292" t="s">
        <v>683</v>
      </c>
      <c r="G151" s="289">
        <v>-8007100.6100000003</v>
      </c>
    </row>
    <row r="152" spans="1:7" x14ac:dyDescent="0.25">
      <c r="A152" s="292" t="s">
        <v>673</v>
      </c>
      <c r="B152" s="293">
        <v>2024</v>
      </c>
      <c r="C152" s="293">
        <v>11</v>
      </c>
      <c r="D152" s="292" t="s">
        <v>661</v>
      </c>
      <c r="E152" s="292" t="s">
        <v>370</v>
      </c>
      <c r="F152" s="292" t="s">
        <v>683</v>
      </c>
      <c r="G152" s="289">
        <v>-496.98</v>
      </c>
    </row>
    <row r="153" spans="1:7" x14ac:dyDescent="0.25">
      <c r="A153" s="292" t="s">
        <v>673</v>
      </c>
      <c r="B153" s="293">
        <v>2024</v>
      </c>
      <c r="C153" s="293">
        <v>12</v>
      </c>
      <c r="D153" s="292" t="s">
        <v>661</v>
      </c>
      <c r="E153" s="292" t="s">
        <v>370</v>
      </c>
      <c r="F153" s="292" t="s">
        <v>683</v>
      </c>
      <c r="G153" s="289">
        <v>3573.52</v>
      </c>
    </row>
    <row r="154" spans="1:7" x14ac:dyDescent="0.25">
      <c r="A154" s="292" t="s">
        <v>673</v>
      </c>
      <c r="B154" s="293">
        <v>2024</v>
      </c>
      <c r="C154" s="293">
        <v>6</v>
      </c>
      <c r="D154" s="292" t="s">
        <v>661</v>
      </c>
      <c r="E154" s="292" t="s">
        <v>372</v>
      </c>
      <c r="F154" s="292" t="s">
        <v>684</v>
      </c>
      <c r="G154" s="289">
        <v>2603082.5299999998</v>
      </c>
    </row>
    <row r="155" spans="1:7" x14ac:dyDescent="0.25">
      <c r="A155" s="292" t="s">
        <v>673</v>
      </c>
      <c r="B155" s="293">
        <v>2024</v>
      </c>
      <c r="C155" s="293">
        <v>7</v>
      </c>
      <c r="D155" s="292" t="s">
        <v>661</v>
      </c>
      <c r="E155" s="292" t="s">
        <v>372</v>
      </c>
      <c r="F155" s="292" t="s">
        <v>684</v>
      </c>
      <c r="G155" s="289">
        <v>-2429766.36</v>
      </c>
    </row>
    <row r="156" spans="1:7" x14ac:dyDescent="0.25">
      <c r="A156" s="292" t="s">
        <v>673</v>
      </c>
      <c r="B156" s="293">
        <v>2024</v>
      </c>
      <c r="C156" s="293">
        <v>9</v>
      </c>
      <c r="D156" s="292" t="s">
        <v>661</v>
      </c>
      <c r="E156" s="292" t="s">
        <v>372</v>
      </c>
      <c r="F156" s="292" t="s">
        <v>684</v>
      </c>
      <c r="G156" s="289">
        <v>1997365.77</v>
      </c>
    </row>
    <row r="157" spans="1:7" x14ac:dyDescent="0.25">
      <c r="A157" s="292" t="s">
        <v>673</v>
      </c>
      <c r="B157" s="293">
        <v>2024</v>
      </c>
      <c r="C157" s="293">
        <v>10</v>
      </c>
      <c r="D157" s="292" t="s">
        <v>661</v>
      </c>
      <c r="E157" s="292" t="s">
        <v>372</v>
      </c>
      <c r="F157" s="292" t="s">
        <v>684</v>
      </c>
      <c r="G157" s="289">
        <v>-2170681.92</v>
      </c>
    </row>
    <row r="158" spans="1:7" x14ac:dyDescent="0.25">
      <c r="A158" s="292" t="s">
        <v>673</v>
      </c>
      <c r="B158" s="293">
        <v>2024</v>
      </c>
      <c r="C158" s="293">
        <v>11</v>
      </c>
      <c r="D158" s="292" t="s">
        <v>661</v>
      </c>
      <c r="E158" s="292" t="s">
        <v>372</v>
      </c>
      <c r="F158" s="292" t="s">
        <v>684</v>
      </c>
      <c r="G158" s="289">
        <v>696985.5</v>
      </c>
    </row>
    <row r="159" spans="1:7" x14ac:dyDescent="0.25">
      <c r="A159" s="292" t="s">
        <v>673</v>
      </c>
      <c r="B159" s="293">
        <v>2024</v>
      </c>
      <c r="C159" s="293">
        <v>12</v>
      </c>
      <c r="D159" s="292" t="s">
        <v>661</v>
      </c>
      <c r="E159" s="292" t="s">
        <v>372</v>
      </c>
      <c r="F159" s="292" t="s">
        <v>684</v>
      </c>
      <c r="G159" s="289">
        <v>2835872.3</v>
      </c>
    </row>
    <row r="160" spans="1:7" x14ac:dyDescent="0.25">
      <c r="A160" s="292" t="s">
        <v>673</v>
      </c>
      <c r="B160" s="293">
        <v>2024</v>
      </c>
      <c r="C160" s="293">
        <v>0</v>
      </c>
      <c r="D160" s="292" t="s">
        <v>661</v>
      </c>
      <c r="E160" s="292" t="s">
        <v>375</v>
      </c>
      <c r="F160" s="292" t="s">
        <v>685</v>
      </c>
      <c r="G160" s="289">
        <v>1497528.47</v>
      </c>
    </row>
    <row r="161" spans="1:7" x14ac:dyDescent="0.25">
      <c r="A161" s="292" t="s">
        <v>673</v>
      </c>
      <c r="B161" s="293">
        <v>2024</v>
      </c>
      <c r="C161" s="293">
        <v>1</v>
      </c>
      <c r="D161" s="292" t="s">
        <v>661</v>
      </c>
      <c r="E161" s="292" t="s">
        <v>375</v>
      </c>
      <c r="F161" s="292" t="s">
        <v>685</v>
      </c>
      <c r="G161" s="289">
        <v>39311.730000000003</v>
      </c>
    </row>
    <row r="162" spans="1:7" x14ac:dyDescent="0.25">
      <c r="A162" s="292" t="s">
        <v>673</v>
      </c>
      <c r="B162" s="293">
        <v>2024</v>
      </c>
      <c r="C162" s="293">
        <v>2</v>
      </c>
      <c r="D162" s="292" t="s">
        <v>661</v>
      </c>
      <c r="E162" s="292" t="s">
        <v>375</v>
      </c>
      <c r="F162" s="292" t="s">
        <v>685</v>
      </c>
      <c r="G162" s="289">
        <v>4114.59</v>
      </c>
    </row>
    <row r="163" spans="1:7" x14ac:dyDescent="0.25">
      <c r="A163" s="292" t="s">
        <v>673</v>
      </c>
      <c r="B163" s="293">
        <v>2024</v>
      </c>
      <c r="C163" s="293">
        <v>3</v>
      </c>
      <c r="D163" s="292" t="s">
        <v>661</v>
      </c>
      <c r="E163" s="292" t="s">
        <v>375</v>
      </c>
      <c r="F163" s="292" t="s">
        <v>685</v>
      </c>
      <c r="G163" s="289">
        <v>4356.62</v>
      </c>
    </row>
    <row r="164" spans="1:7" x14ac:dyDescent="0.25">
      <c r="A164" s="292" t="s">
        <v>673</v>
      </c>
      <c r="B164" s="293">
        <v>2024</v>
      </c>
      <c r="C164" s="293">
        <v>5</v>
      </c>
      <c r="D164" s="292" t="s">
        <v>661</v>
      </c>
      <c r="E164" s="292" t="s">
        <v>375</v>
      </c>
      <c r="F164" s="292" t="s">
        <v>685</v>
      </c>
      <c r="G164" s="289">
        <v>-102985.64</v>
      </c>
    </row>
    <row r="165" spans="1:7" x14ac:dyDescent="0.25">
      <c r="A165" s="292" t="s">
        <v>673</v>
      </c>
      <c r="B165" s="293">
        <v>2024</v>
      </c>
      <c r="C165" s="293">
        <v>6</v>
      </c>
      <c r="D165" s="292" t="s">
        <v>661</v>
      </c>
      <c r="E165" s="292" t="s">
        <v>375</v>
      </c>
      <c r="F165" s="292" t="s">
        <v>685</v>
      </c>
      <c r="G165" s="289">
        <v>-51492.82</v>
      </c>
    </row>
    <row r="166" spans="1:7" x14ac:dyDescent="0.25">
      <c r="A166" s="292" t="s">
        <v>673</v>
      </c>
      <c r="B166" s="293">
        <v>2024</v>
      </c>
      <c r="C166" s="293">
        <v>7</v>
      </c>
      <c r="D166" s="292" t="s">
        <v>661</v>
      </c>
      <c r="E166" s="292" t="s">
        <v>375</v>
      </c>
      <c r="F166" s="292" t="s">
        <v>685</v>
      </c>
      <c r="G166" s="289">
        <v>-51492.81</v>
      </c>
    </row>
    <row r="167" spans="1:7" x14ac:dyDescent="0.25">
      <c r="A167" s="292" t="s">
        <v>673</v>
      </c>
      <c r="B167" s="293">
        <v>2024</v>
      </c>
      <c r="C167" s="293">
        <v>8</v>
      </c>
      <c r="D167" s="292" t="s">
        <v>661</v>
      </c>
      <c r="E167" s="292" t="s">
        <v>375</v>
      </c>
      <c r="F167" s="292" t="s">
        <v>685</v>
      </c>
      <c r="G167" s="289">
        <v>-51492.82</v>
      </c>
    </row>
    <row r="168" spans="1:7" x14ac:dyDescent="0.25">
      <c r="A168" s="292" t="s">
        <v>673</v>
      </c>
      <c r="B168" s="293">
        <v>2024</v>
      </c>
      <c r="C168" s="293">
        <v>9</v>
      </c>
      <c r="D168" s="292" t="s">
        <v>661</v>
      </c>
      <c r="E168" s="292" t="s">
        <v>375</v>
      </c>
      <c r="F168" s="292" t="s">
        <v>685</v>
      </c>
      <c r="G168" s="289">
        <v>191037.71</v>
      </c>
    </row>
    <row r="169" spans="1:7" x14ac:dyDescent="0.25">
      <c r="A169" s="292" t="s">
        <v>673</v>
      </c>
      <c r="B169" s="293">
        <v>2024</v>
      </c>
      <c r="C169" s="293">
        <v>10</v>
      </c>
      <c r="D169" s="292" t="s">
        <v>661</v>
      </c>
      <c r="E169" s="292" t="s">
        <v>375</v>
      </c>
      <c r="F169" s="292" t="s">
        <v>685</v>
      </c>
      <c r="G169" s="289">
        <v>-978890.4</v>
      </c>
    </row>
    <row r="170" spans="1:7" x14ac:dyDescent="0.25">
      <c r="A170" s="292" t="s">
        <v>673</v>
      </c>
      <c r="B170" s="293">
        <v>2024</v>
      </c>
      <c r="C170" s="293">
        <v>11</v>
      </c>
      <c r="D170" s="292" t="s">
        <v>661</v>
      </c>
      <c r="E170" s="292" t="s">
        <v>375</v>
      </c>
      <c r="F170" s="292" t="s">
        <v>685</v>
      </c>
      <c r="G170" s="289">
        <v>-51492.82</v>
      </c>
    </row>
    <row r="171" spans="1:7" x14ac:dyDescent="0.25">
      <c r="A171" s="292" t="s">
        <v>673</v>
      </c>
      <c r="B171" s="293">
        <v>2024</v>
      </c>
      <c r="C171" s="293">
        <v>12</v>
      </c>
      <c r="D171" s="292" t="s">
        <v>661</v>
      </c>
      <c r="E171" s="292" t="s">
        <v>375</v>
      </c>
      <c r="F171" s="292" t="s">
        <v>685</v>
      </c>
      <c r="G171" s="289">
        <v>-864154.23</v>
      </c>
    </row>
    <row r="172" spans="1:7" x14ac:dyDescent="0.25">
      <c r="A172" s="292" t="s">
        <v>673</v>
      </c>
      <c r="B172" s="293">
        <v>2024</v>
      </c>
      <c r="C172" s="293">
        <v>0</v>
      </c>
      <c r="D172" s="292" t="s">
        <v>661</v>
      </c>
      <c r="E172" s="292" t="s">
        <v>385</v>
      </c>
      <c r="F172" s="292" t="s">
        <v>686</v>
      </c>
      <c r="G172" s="289">
        <v>3364.45</v>
      </c>
    </row>
    <row r="173" spans="1:7" x14ac:dyDescent="0.25">
      <c r="A173" s="292" t="s">
        <v>673</v>
      </c>
      <c r="B173" s="293">
        <v>2024</v>
      </c>
      <c r="C173" s="293">
        <v>1</v>
      </c>
      <c r="D173" s="292" t="s">
        <v>661</v>
      </c>
      <c r="E173" s="292" t="s">
        <v>385</v>
      </c>
      <c r="F173" s="292" t="s">
        <v>686</v>
      </c>
      <c r="G173" s="289">
        <v>89.46</v>
      </c>
    </row>
    <row r="174" spans="1:7" x14ac:dyDescent="0.25">
      <c r="A174" s="292" t="s">
        <v>673</v>
      </c>
      <c r="B174" s="293">
        <v>2024</v>
      </c>
      <c r="C174" s="293">
        <v>2</v>
      </c>
      <c r="D174" s="292" t="s">
        <v>661</v>
      </c>
      <c r="E174" s="292" t="s">
        <v>385</v>
      </c>
      <c r="F174" s="292" t="s">
        <v>686</v>
      </c>
      <c r="G174" s="289">
        <v>89.85</v>
      </c>
    </row>
    <row r="175" spans="1:7" x14ac:dyDescent="0.25">
      <c r="A175" s="292" t="s">
        <v>673</v>
      </c>
      <c r="B175" s="293">
        <v>2024</v>
      </c>
      <c r="C175" s="293">
        <v>3</v>
      </c>
      <c r="D175" s="292" t="s">
        <v>661</v>
      </c>
      <c r="E175" s="292" t="s">
        <v>385</v>
      </c>
      <c r="F175" s="292" t="s">
        <v>686</v>
      </c>
      <c r="G175" s="289">
        <v>90.12</v>
      </c>
    </row>
    <row r="176" spans="1:7" x14ac:dyDescent="0.25">
      <c r="A176" s="292" t="s">
        <v>673</v>
      </c>
      <c r="B176" s="293">
        <v>2024</v>
      </c>
      <c r="C176" s="293">
        <v>4</v>
      </c>
      <c r="D176" s="292" t="s">
        <v>661</v>
      </c>
      <c r="E176" s="292" t="s">
        <v>385</v>
      </c>
      <c r="F176" s="292" t="s">
        <v>686</v>
      </c>
      <c r="G176" s="289">
        <v>90.48</v>
      </c>
    </row>
    <row r="177" spans="1:7" x14ac:dyDescent="0.25">
      <c r="A177" s="292" t="s">
        <v>673</v>
      </c>
      <c r="B177" s="293">
        <v>2024</v>
      </c>
      <c r="C177" s="293">
        <v>5</v>
      </c>
      <c r="D177" s="292" t="s">
        <v>661</v>
      </c>
      <c r="E177" s="292" t="s">
        <v>385</v>
      </c>
      <c r="F177" s="292" t="s">
        <v>686</v>
      </c>
      <c r="G177" s="289">
        <v>90.79</v>
      </c>
    </row>
    <row r="178" spans="1:7" x14ac:dyDescent="0.25">
      <c r="A178" s="292" t="s">
        <v>673</v>
      </c>
      <c r="B178" s="293">
        <v>2024</v>
      </c>
      <c r="C178" s="293">
        <v>6</v>
      </c>
      <c r="D178" s="292" t="s">
        <v>661</v>
      </c>
      <c r="E178" s="292" t="s">
        <v>385</v>
      </c>
      <c r="F178" s="292" t="s">
        <v>686</v>
      </c>
      <c r="G178" s="289">
        <v>91.11</v>
      </c>
    </row>
    <row r="179" spans="1:7" x14ac:dyDescent="0.25">
      <c r="A179" s="292" t="s">
        <v>673</v>
      </c>
      <c r="B179" s="293">
        <v>2024</v>
      </c>
      <c r="C179" s="293">
        <v>7</v>
      </c>
      <c r="D179" s="292" t="s">
        <v>661</v>
      </c>
      <c r="E179" s="292" t="s">
        <v>385</v>
      </c>
      <c r="F179" s="292" t="s">
        <v>686</v>
      </c>
      <c r="G179" s="289">
        <v>91.43</v>
      </c>
    </row>
    <row r="180" spans="1:7" x14ac:dyDescent="0.25">
      <c r="A180" s="292" t="s">
        <v>673</v>
      </c>
      <c r="B180" s="293">
        <v>2024</v>
      </c>
      <c r="C180" s="293">
        <v>8</v>
      </c>
      <c r="D180" s="292" t="s">
        <v>661</v>
      </c>
      <c r="E180" s="292" t="s">
        <v>385</v>
      </c>
      <c r="F180" s="292" t="s">
        <v>686</v>
      </c>
      <c r="G180" s="289">
        <v>91.76</v>
      </c>
    </row>
    <row r="181" spans="1:7" x14ac:dyDescent="0.25">
      <c r="A181" s="292" t="s">
        <v>673</v>
      </c>
      <c r="B181" s="293">
        <v>2024</v>
      </c>
      <c r="C181" s="293">
        <v>9</v>
      </c>
      <c r="D181" s="292" t="s">
        <v>661</v>
      </c>
      <c r="E181" s="292" t="s">
        <v>385</v>
      </c>
      <c r="F181" s="292" t="s">
        <v>686</v>
      </c>
      <c r="G181" s="289">
        <v>92.1</v>
      </c>
    </row>
    <row r="182" spans="1:7" x14ac:dyDescent="0.25">
      <c r="A182" s="292" t="s">
        <v>673</v>
      </c>
      <c r="B182" s="293">
        <v>2024</v>
      </c>
      <c r="C182" s="293">
        <v>10</v>
      </c>
      <c r="D182" s="292" t="s">
        <v>661</v>
      </c>
      <c r="E182" s="292" t="s">
        <v>385</v>
      </c>
      <c r="F182" s="292" t="s">
        <v>686</v>
      </c>
      <c r="G182" s="289">
        <v>92.42</v>
      </c>
    </row>
    <row r="183" spans="1:7" x14ac:dyDescent="0.25">
      <c r="A183" s="292" t="s">
        <v>673</v>
      </c>
      <c r="B183" s="293">
        <v>2024</v>
      </c>
      <c r="C183" s="293">
        <v>11</v>
      </c>
      <c r="D183" s="292" t="s">
        <v>661</v>
      </c>
      <c r="E183" s="292" t="s">
        <v>385</v>
      </c>
      <c r="F183" s="292" t="s">
        <v>686</v>
      </c>
      <c r="G183" s="289">
        <v>92.75</v>
      </c>
    </row>
    <row r="184" spans="1:7" x14ac:dyDescent="0.25">
      <c r="A184" s="292" t="s">
        <v>673</v>
      </c>
      <c r="B184" s="293">
        <v>2024</v>
      </c>
      <c r="C184" s="293">
        <v>12</v>
      </c>
      <c r="D184" s="292" t="s">
        <v>661</v>
      </c>
      <c r="E184" s="292" t="s">
        <v>385</v>
      </c>
      <c r="F184" s="292" t="s">
        <v>686</v>
      </c>
      <c r="G184" s="289">
        <v>93.08</v>
      </c>
    </row>
    <row r="185" spans="1:7" x14ac:dyDescent="0.25">
      <c r="A185" s="292" t="s">
        <v>673</v>
      </c>
      <c r="B185" s="293">
        <v>2024</v>
      </c>
      <c r="C185" s="293">
        <v>0</v>
      </c>
      <c r="D185" s="292" t="s">
        <v>661</v>
      </c>
      <c r="E185" s="292" t="s">
        <v>386</v>
      </c>
      <c r="F185" s="292" t="s">
        <v>664</v>
      </c>
      <c r="G185" s="289">
        <v>5770.09</v>
      </c>
    </row>
    <row r="186" spans="1:7" x14ac:dyDescent="0.25">
      <c r="A186" s="292" t="s">
        <v>673</v>
      </c>
      <c r="B186" s="293">
        <v>2024</v>
      </c>
      <c r="C186" s="293">
        <v>3</v>
      </c>
      <c r="D186" s="292" t="s">
        <v>661</v>
      </c>
      <c r="E186" s="292" t="s">
        <v>386</v>
      </c>
      <c r="F186" s="292" t="s">
        <v>664</v>
      </c>
      <c r="G186" s="289">
        <v>-107.68</v>
      </c>
    </row>
    <row r="187" spans="1:7" x14ac:dyDescent="0.25">
      <c r="A187" s="292" t="s">
        <v>673</v>
      </c>
      <c r="B187" s="293">
        <v>2024</v>
      </c>
      <c r="C187" s="293">
        <v>4</v>
      </c>
      <c r="D187" s="292" t="s">
        <v>661</v>
      </c>
      <c r="E187" s="292" t="s">
        <v>386</v>
      </c>
      <c r="F187" s="292" t="s">
        <v>664</v>
      </c>
      <c r="G187" s="289">
        <v>-35.89</v>
      </c>
    </row>
    <row r="188" spans="1:7" x14ac:dyDescent="0.25">
      <c r="A188" s="292" t="s">
        <v>673</v>
      </c>
      <c r="B188" s="293">
        <v>2024</v>
      </c>
      <c r="C188" s="293">
        <v>5</v>
      </c>
      <c r="D188" s="292" t="s">
        <v>661</v>
      </c>
      <c r="E188" s="292" t="s">
        <v>386</v>
      </c>
      <c r="F188" s="292" t="s">
        <v>664</v>
      </c>
      <c r="G188" s="289">
        <v>-35.89</v>
      </c>
    </row>
    <row r="189" spans="1:7" x14ac:dyDescent="0.25">
      <c r="A189" s="292" t="s">
        <v>673</v>
      </c>
      <c r="B189" s="293">
        <v>2024</v>
      </c>
      <c r="C189" s="293">
        <v>6</v>
      </c>
      <c r="D189" s="292" t="s">
        <v>661</v>
      </c>
      <c r="E189" s="292" t="s">
        <v>386</v>
      </c>
      <c r="F189" s="292" t="s">
        <v>664</v>
      </c>
      <c r="G189" s="289">
        <v>-35.89</v>
      </c>
    </row>
    <row r="190" spans="1:7" x14ac:dyDescent="0.25">
      <c r="A190" s="292" t="s">
        <v>673</v>
      </c>
      <c r="B190" s="293">
        <v>2024</v>
      </c>
      <c r="C190" s="293">
        <v>7</v>
      </c>
      <c r="D190" s="292" t="s">
        <v>661</v>
      </c>
      <c r="E190" s="292" t="s">
        <v>386</v>
      </c>
      <c r="F190" s="292" t="s">
        <v>664</v>
      </c>
      <c r="G190" s="289">
        <v>-35.9</v>
      </c>
    </row>
    <row r="191" spans="1:7" x14ac:dyDescent="0.25">
      <c r="A191" s="292" t="s">
        <v>673</v>
      </c>
      <c r="B191" s="293">
        <v>2024</v>
      </c>
      <c r="C191" s="293">
        <v>8</v>
      </c>
      <c r="D191" s="292" t="s">
        <v>661</v>
      </c>
      <c r="E191" s="292" t="s">
        <v>386</v>
      </c>
      <c r="F191" s="292" t="s">
        <v>664</v>
      </c>
      <c r="G191" s="289">
        <v>-35.89</v>
      </c>
    </row>
    <row r="192" spans="1:7" x14ac:dyDescent="0.25">
      <c r="A192" s="292" t="s">
        <v>673</v>
      </c>
      <c r="B192" s="293">
        <v>2024</v>
      </c>
      <c r="C192" s="293">
        <v>9</v>
      </c>
      <c r="D192" s="292" t="s">
        <v>661</v>
      </c>
      <c r="E192" s="292" t="s">
        <v>386</v>
      </c>
      <c r="F192" s="292" t="s">
        <v>664</v>
      </c>
      <c r="G192" s="289">
        <v>-35.89</v>
      </c>
    </row>
    <row r="193" spans="1:7" x14ac:dyDescent="0.25">
      <c r="A193" s="292" t="s">
        <v>673</v>
      </c>
      <c r="B193" s="293">
        <v>2024</v>
      </c>
      <c r="C193" s="293">
        <v>10</v>
      </c>
      <c r="D193" s="292" t="s">
        <v>661</v>
      </c>
      <c r="E193" s="292" t="s">
        <v>386</v>
      </c>
      <c r="F193" s="292" t="s">
        <v>664</v>
      </c>
      <c r="G193" s="289">
        <v>-35.89</v>
      </c>
    </row>
    <row r="194" spans="1:7" x14ac:dyDescent="0.25">
      <c r="A194" s="292" t="s">
        <v>673</v>
      </c>
      <c r="B194" s="293">
        <v>2024</v>
      </c>
      <c r="C194" s="293">
        <v>11</v>
      </c>
      <c r="D194" s="292" t="s">
        <v>661</v>
      </c>
      <c r="E194" s="292" t="s">
        <v>386</v>
      </c>
      <c r="F194" s="292" t="s">
        <v>664</v>
      </c>
      <c r="G194" s="289">
        <v>-35.89</v>
      </c>
    </row>
    <row r="195" spans="1:7" x14ac:dyDescent="0.25">
      <c r="A195" s="292" t="s">
        <v>673</v>
      </c>
      <c r="B195" s="293">
        <v>2024</v>
      </c>
      <c r="C195" s="293">
        <v>12</v>
      </c>
      <c r="D195" s="292" t="s">
        <v>661</v>
      </c>
      <c r="E195" s="292" t="s">
        <v>386</v>
      </c>
      <c r="F195" s="292" t="s">
        <v>664</v>
      </c>
      <c r="G195" s="289">
        <v>-35.9</v>
      </c>
    </row>
    <row r="196" spans="1:7" x14ac:dyDescent="0.25">
      <c r="A196" s="292" t="s">
        <v>673</v>
      </c>
      <c r="B196" s="293">
        <v>2024</v>
      </c>
      <c r="C196" s="293">
        <v>0</v>
      </c>
      <c r="D196" s="292" t="s">
        <v>671</v>
      </c>
      <c r="E196" s="292" t="s">
        <v>390</v>
      </c>
      <c r="F196" s="292" t="s">
        <v>687</v>
      </c>
      <c r="G196" s="289">
        <v>77544864.200000003</v>
      </c>
    </row>
    <row r="197" spans="1:7" x14ac:dyDescent="0.25">
      <c r="A197" s="292" t="s">
        <v>673</v>
      </c>
      <c r="B197" s="293">
        <v>2024</v>
      </c>
      <c r="C197" s="293">
        <v>1</v>
      </c>
      <c r="D197" s="292" t="s">
        <v>671</v>
      </c>
      <c r="E197" s="292" t="s">
        <v>390</v>
      </c>
      <c r="F197" s="292" t="s">
        <v>687</v>
      </c>
      <c r="G197" s="289">
        <v>-122062.56</v>
      </c>
    </row>
    <row r="198" spans="1:7" x14ac:dyDescent="0.25">
      <c r="A198" s="292" t="s">
        <v>673</v>
      </c>
      <c r="B198" s="293">
        <v>2024</v>
      </c>
      <c r="C198" s="293">
        <v>2</v>
      </c>
      <c r="D198" s="292" t="s">
        <v>671</v>
      </c>
      <c r="E198" s="292" t="s">
        <v>390</v>
      </c>
      <c r="F198" s="292" t="s">
        <v>687</v>
      </c>
      <c r="G198" s="289">
        <v>-110352.5</v>
      </c>
    </row>
    <row r="199" spans="1:7" x14ac:dyDescent="0.25">
      <c r="A199" s="292" t="s">
        <v>673</v>
      </c>
      <c r="B199" s="293">
        <v>2024</v>
      </c>
      <c r="C199" s="293">
        <v>3</v>
      </c>
      <c r="D199" s="292" t="s">
        <v>671</v>
      </c>
      <c r="E199" s="292" t="s">
        <v>390</v>
      </c>
      <c r="F199" s="292" t="s">
        <v>687</v>
      </c>
      <c r="G199" s="289">
        <v>22614.92</v>
      </c>
    </row>
    <row r="200" spans="1:7" x14ac:dyDescent="0.25">
      <c r="A200" s="292" t="s">
        <v>673</v>
      </c>
      <c r="B200" s="293">
        <v>2024</v>
      </c>
      <c r="C200" s="293">
        <v>4</v>
      </c>
      <c r="D200" s="292" t="s">
        <v>671</v>
      </c>
      <c r="E200" s="292" t="s">
        <v>390</v>
      </c>
      <c r="F200" s="292" t="s">
        <v>687</v>
      </c>
      <c r="G200" s="289">
        <v>-96842.11</v>
      </c>
    </row>
    <row r="201" spans="1:7" x14ac:dyDescent="0.25">
      <c r="A201" s="292" t="s">
        <v>673</v>
      </c>
      <c r="B201" s="293">
        <v>2024</v>
      </c>
      <c r="C201" s="293">
        <v>5</v>
      </c>
      <c r="D201" s="292" t="s">
        <v>671</v>
      </c>
      <c r="E201" s="292" t="s">
        <v>390</v>
      </c>
      <c r="F201" s="292" t="s">
        <v>687</v>
      </c>
      <c r="G201" s="289">
        <v>-94882.39</v>
      </c>
    </row>
    <row r="202" spans="1:7" x14ac:dyDescent="0.25">
      <c r="A202" s="292" t="s">
        <v>673</v>
      </c>
      <c r="B202" s="293">
        <v>2024</v>
      </c>
      <c r="C202" s="293">
        <v>6</v>
      </c>
      <c r="D202" s="292" t="s">
        <v>671</v>
      </c>
      <c r="E202" s="292" t="s">
        <v>390</v>
      </c>
      <c r="F202" s="292" t="s">
        <v>687</v>
      </c>
      <c r="G202" s="289">
        <v>-105065.97</v>
      </c>
    </row>
    <row r="203" spans="1:7" x14ac:dyDescent="0.25">
      <c r="A203" s="292" t="s">
        <v>673</v>
      </c>
      <c r="B203" s="293">
        <v>2024</v>
      </c>
      <c r="C203" s="293">
        <v>7</v>
      </c>
      <c r="D203" s="292" t="s">
        <v>671</v>
      </c>
      <c r="E203" s="292" t="s">
        <v>390</v>
      </c>
      <c r="F203" s="292" t="s">
        <v>687</v>
      </c>
      <c r="G203" s="289">
        <v>-105299.14</v>
      </c>
    </row>
    <row r="204" spans="1:7" x14ac:dyDescent="0.25">
      <c r="A204" s="292" t="s">
        <v>673</v>
      </c>
      <c r="B204" s="293">
        <v>2024</v>
      </c>
      <c r="C204" s="293">
        <v>8</v>
      </c>
      <c r="D204" s="292" t="s">
        <v>671</v>
      </c>
      <c r="E204" s="292" t="s">
        <v>390</v>
      </c>
      <c r="F204" s="292" t="s">
        <v>687</v>
      </c>
      <c r="G204" s="289">
        <v>-99583.57</v>
      </c>
    </row>
    <row r="205" spans="1:7" x14ac:dyDescent="0.25">
      <c r="A205" s="292" t="s">
        <v>673</v>
      </c>
      <c r="B205" s="293">
        <v>2024</v>
      </c>
      <c r="C205" s="293">
        <v>9</v>
      </c>
      <c r="D205" s="292" t="s">
        <v>671</v>
      </c>
      <c r="E205" s="292" t="s">
        <v>390</v>
      </c>
      <c r="F205" s="292" t="s">
        <v>687</v>
      </c>
      <c r="G205" s="289">
        <v>-115237.17</v>
      </c>
    </row>
    <row r="206" spans="1:7" x14ac:dyDescent="0.25">
      <c r="A206" s="292" t="s">
        <v>673</v>
      </c>
      <c r="B206" s="293">
        <v>2024</v>
      </c>
      <c r="C206" s="293">
        <v>10</v>
      </c>
      <c r="D206" s="292" t="s">
        <v>671</v>
      </c>
      <c r="E206" s="292" t="s">
        <v>390</v>
      </c>
      <c r="F206" s="292" t="s">
        <v>687</v>
      </c>
      <c r="G206" s="289">
        <v>-113312.59</v>
      </c>
    </row>
    <row r="207" spans="1:7" x14ac:dyDescent="0.25">
      <c r="A207" s="292" t="s">
        <v>673</v>
      </c>
      <c r="B207" s="293">
        <v>2024</v>
      </c>
      <c r="C207" s="293">
        <v>11</v>
      </c>
      <c r="D207" s="292" t="s">
        <v>671</v>
      </c>
      <c r="E207" s="292" t="s">
        <v>390</v>
      </c>
      <c r="F207" s="292" t="s">
        <v>687</v>
      </c>
      <c r="G207" s="289">
        <v>-117527.89</v>
      </c>
    </row>
    <row r="208" spans="1:7" x14ac:dyDescent="0.25">
      <c r="A208" s="292" t="s">
        <v>673</v>
      </c>
      <c r="B208" s="293">
        <v>2024</v>
      </c>
      <c r="C208" s="293">
        <v>12</v>
      </c>
      <c r="D208" s="292" t="s">
        <v>671</v>
      </c>
      <c r="E208" s="292" t="s">
        <v>390</v>
      </c>
      <c r="F208" s="292" t="s">
        <v>687</v>
      </c>
      <c r="G208" s="289">
        <v>-119441.33</v>
      </c>
    </row>
    <row r="209" spans="1:7" x14ac:dyDescent="0.25">
      <c r="A209" s="292" t="s">
        <v>673</v>
      </c>
      <c r="B209" s="293">
        <v>2024</v>
      </c>
      <c r="C209" s="293">
        <v>0</v>
      </c>
      <c r="D209" s="292" t="s">
        <v>671</v>
      </c>
      <c r="E209" s="292" t="s">
        <v>393</v>
      </c>
      <c r="F209" s="292" t="s">
        <v>688</v>
      </c>
      <c r="G209" s="289">
        <v>-94696363.090000004</v>
      </c>
    </row>
    <row r="210" spans="1:7" x14ac:dyDescent="0.25">
      <c r="A210" s="292" t="s">
        <v>673</v>
      </c>
      <c r="B210" s="293">
        <v>2024</v>
      </c>
      <c r="C210" s="293">
        <v>1</v>
      </c>
      <c r="D210" s="292" t="s">
        <v>671</v>
      </c>
      <c r="E210" s="292" t="s">
        <v>393</v>
      </c>
      <c r="F210" s="292" t="s">
        <v>688</v>
      </c>
      <c r="G210" s="289">
        <v>-2728523.41</v>
      </c>
    </row>
    <row r="211" spans="1:7" x14ac:dyDescent="0.25">
      <c r="A211" s="292" t="s">
        <v>673</v>
      </c>
      <c r="B211" s="293">
        <v>2024</v>
      </c>
      <c r="C211" s="293">
        <v>2</v>
      </c>
      <c r="D211" s="292" t="s">
        <v>671</v>
      </c>
      <c r="E211" s="292" t="s">
        <v>393</v>
      </c>
      <c r="F211" s="292" t="s">
        <v>688</v>
      </c>
      <c r="G211" s="289">
        <v>-1089519.1200000001</v>
      </c>
    </row>
    <row r="212" spans="1:7" x14ac:dyDescent="0.25">
      <c r="A212" s="292" t="s">
        <v>673</v>
      </c>
      <c r="B212" s="293">
        <v>2024</v>
      </c>
      <c r="C212" s="293">
        <v>3</v>
      </c>
      <c r="D212" s="292" t="s">
        <v>671</v>
      </c>
      <c r="E212" s="292" t="s">
        <v>393</v>
      </c>
      <c r="F212" s="292" t="s">
        <v>688</v>
      </c>
      <c r="G212" s="289">
        <v>-1053327</v>
      </c>
    </row>
    <row r="213" spans="1:7" x14ac:dyDescent="0.25">
      <c r="A213" s="292" t="s">
        <v>673</v>
      </c>
      <c r="B213" s="293">
        <v>2024</v>
      </c>
      <c r="C213" s="293">
        <v>4</v>
      </c>
      <c r="D213" s="292" t="s">
        <v>671</v>
      </c>
      <c r="E213" s="292" t="s">
        <v>393</v>
      </c>
      <c r="F213" s="292" t="s">
        <v>688</v>
      </c>
      <c r="G213" s="289">
        <v>-1087437.3899999999</v>
      </c>
    </row>
    <row r="214" spans="1:7" x14ac:dyDescent="0.25">
      <c r="A214" s="292" t="s">
        <v>673</v>
      </c>
      <c r="B214" s="293">
        <v>2024</v>
      </c>
      <c r="C214" s="293">
        <v>5</v>
      </c>
      <c r="D214" s="292" t="s">
        <v>671</v>
      </c>
      <c r="E214" s="292" t="s">
        <v>393</v>
      </c>
      <c r="F214" s="292" t="s">
        <v>688</v>
      </c>
      <c r="G214" s="289">
        <v>-1083724.26</v>
      </c>
    </row>
    <row r="215" spans="1:7" x14ac:dyDescent="0.25">
      <c r="A215" s="292" t="s">
        <v>673</v>
      </c>
      <c r="B215" s="293">
        <v>2024</v>
      </c>
      <c r="C215" s="293">
        <v>6</v>
      </c>
      <c r="D215" s="292" t="s">
        <v>671</v>
      </c>
      <c r="E215" s="292" t="s">
        <v>393</v>
      </c>
      <c r="F215" s="292" t="s">
        <v>688</v>
      </c>
      <c r="G215" s="289">
        <v>-1042768.51</v>
      </c>
    </row>
    <row r="216" spans="1:7" x14ac:dyDescent="0.25">
      <c r="A216" s="292" t="s">
        <v>673</v>
      </c>
      <c r="B216" s="293">
        <v>2024</v>
      </c>
      <c r="C216" s="293">
        <v>7</v>
      </c>
      <c r="D216" s="292" t="s">
        <v>671</v>
      </c>
      <c r="E216" s="292" t="s">
        <v>393</v>
      </c>
      <c r="F216" s="292" t="s">
        <v>688</v>
      </c>
      <c r="G216" s="289">
        <v>-1073100.56</v>
      </c>
    </row>
    <row r="217" spans="1:7" x14ac:dyDescent="0.25">
      <c r="A217" s="292" t="s">
        <v>673</v>
      </c>
      <c r="B217" s="293">
        <v>2024</v>
      </c>
      <c r="C217" s="293">
        <v>8</v>
      </c>
      <c r="D217" s="292" t="s">
        <v>671</v>
      </c>
      <c r="E217" s="292" t="s">
        <v>393</v>
      </c>
      <c r="F217" s="292" t="s">
        <v>688</v>
      </c>
      <c r="G217" s="289">
        <v>-933617.63</v>
      </c>
    </row>
    <row r="218" spans="1:7" x14ac:dyDescent="0.25">
      <c r="A218" s="292" t="s">
        <v>673</v>
      </c>
      <c r="B218" s="293">
        <v>2024</v>
      </c>
      <c r="C218" s="293">
        <v>9</v>
      </c>
      <c r="D218" s="292" t="s">
        <v>671</v>
      </c>
      <c r="E218" s="292" t="s">
        <v>393</v>
      </c>
      <c r="F218" s="292" t="s">
        <v>688</v>
      </c>
      <c r="G218" s="289">
        <v>-1782028.73</v>
      </c>
    </row>
    <row r="219" spans="1:7" x14ac:dyDescent="0.25">
      <c r="A219" s="292" t="s">
        <v>673</v>
      </c>
      <c r="B219" s="293">
        <v>2024</v>
      </c>
      <c r="C219" s="293">
        <v>10</v>
      </c>
      <c r="D219" s="292" t="s">
        <v>671</v>
      </c>
      <c r="E219" s="292" t="s">
        <v>393</v>
      </c>
      <c r="F219" s="292" t="s">
        <v>688</v>
      </c>
      <c r="G219" s="289">
        <v>-791173.11</v>
      </c>
    </row>
    <row r="220" spans="1:7" x14ac:dyDescent="0.25">
      <c r="A220" s="292" t="s">
        <v>673</v>
      </c>
      <c r="B220" s="293">
        <v>2024</v>
      </c>
      <c r="C220" s="293">
        <v>11</v>
      </c>
      <c r="D220" s="292" t="s">
        <v>671</v>
      </c>
      <c r="E220" s="292" t="s">
        <v>393</v>
      </c>
      <c r="F220" s="292" t="s">
        <v>688</v>
      </c>
      <c r="G220" s="289">
        <v>-1123773.8400000001</v>
      </c>
    </row>
    <row r="221" spans="1:7" x14ac:dyDescent="0.25">
      <c r="A221" s="292" t="s">
        <v>673</v>
      </c>
      <c r="B221" s="293">
        <v>2024</v>
      </c>
      <c r="C221" s="293">
        <v>12</v>
      </c>
      <c r="D221" s="292" t="s">
        <v>671</v>
      </c>
      <c r="E221" s="292" t="s">
        <v>393</v>
      </c>
      <c r="F221" s="292" t="s">
        <v>688</v>
      </c>
      <c r="G221" s="289">
        <v>-1774580.97</v>
      </c>
    </row>
    <row r="222" spans="1:7" x14ac:dyDescent="0.25">
      <c r="A222" s="292" t="s">
        <v>673</v>
      </c>
      <c r="B222" s="293">
        <v>2024</v>
      </c>
      <c r="C222" s="293">
        <v>0</v>
      </c>
      <c r="D222" s="292" t="s">
        <v>671</v>
      </c>
      <c r="E222" s="292" t="s">
        <v>396</v>
      </c>
      <c r="F222" s="292" t="s">
        <v>689</v>
      </c>
      <c r="G222" s="289">
        <v>-4121954.43</v>
      </c>
    </row>
    <row r="223" spans="1:7" x14ac:dyDescent="0.25">
      <c r="A223" s="292" t="s">
        <v>673</v>
      </c>
      <c r="B223" s="293">
        <v>2024</v>
      </c>
      <c r="C223" s="293">
        <v>1</v>
      </c>
      <c r="D223" s="292" t="s">
        <v>671</v>
      </c>
      <c r="E223" s="292" t="s">
        <v>396</v>
      </c>
      <c r="F223" s="292" t="s">
        <v>689</v>
      </c>
      <c r="G223" s="289">
        <v>1737944.85</v>
      </c>
    </row>
    <row r="224" spans="1:7" x14ac:dyDescent="0.25">
      <c r="A224" s="292" t="s">
        <v>673</v>
      </c>
      <c r="B224" s="293">
        <v>2024</v>
      </c>
      <c r="C224" s="293">
        <v>2</v>
      </c>
      <c r="D224" s="292" t="s">
        <v>671</v>
      </c>
      <c r="E224" s="292" t="s">
        <v>396</v>
      </c>
      <c r="F224" s="292" t="s">
        <v>689</v>
      </c>
      <c r="G224" s="289">
        <v>-118197.05</v>
      </c>
    </row>
    <row r="225" spans="1:7" x14ac:dyDescent="0.25">
      <c r="A225" s="292" t="s">
        <v>673</v>
      </c>
      <c r="B225" s="293">
        <v>2024</v>
      </c>
      <c r="C225" s="293">
        <v>3</v>
      </c>
      <c r="D225" s="292" t="s">
        <v>671</v>
      </c>
      <c r="E225" s="292" t="s">
        <v>396</v>
      </c>
      <c r="F225" s="292" t="s">
        <v>689</v>
      </c>
      <c r="G225" s="289">
        <v>16151.7</v>
      </c>
    </row>
    <row r="226" spans="1:7" x14ac:dyDescent="0.25">
      <c r="A226" s="292" t="s">
        <v>673</v>
      </c>
      <c r="B226" s="293">
        <v>2024</v>
      </c>
      <c r="C226" s="293">
        <v>4</v>
      </c>
      <c r="D226" s="292" t="s">
        <v>671</v>
      </c>
      <c r="E226" s="292" t="s">
        <v>396</v>
      </c>
      <c r="F226" s="292" t="s">
        <v>689</v>
      </c>
      <c r="G226" s="289">
        <v>60033.72</v>
      </c>
    </row>
    <row r="227" spans="1:7" x14ac:dyDescent="0.25">
      <c r="A227" s="292" t="s">
        <v>673</v>
      </c>
      <c r="B227" s="293">
        <v>2024</v>
      </c>
      <c r="C227" s="293">
        <v>5</v>
      </c>
      <c r="D227" s="292" t="s">
        <v>671</v>
      </c>
      <c r="E227" s="292" t="s">
        <v>396</v>
      </c>
      <c r="F227" s="292" t="s">
        <v>689</v>
      </c>
      <c r="G227" s="289">
        <v>-52393.35</v>
      </c>
    </row>
    <row r="228" spans="1:7" x14ac:dyDescent="0.25">
      <c r="A228" s="292" t="s">
        <v>673</v>
      </c>
      <c r="B228" s="293">
        <v>2024</v>
      </c>
      <c r="C228" s="293">
        <v>6</v>
      </c>
      <c r="D228" s="292" t="s">
        <v>671</v>
      </c>
      <c r="E228" s="292" t="s">
        <v>396</v>
      </c>
      <c r="F228" s="292" t="s">
        <v>689</v>
      </c>
      <c r="G228" s="289">
        <v>-1491.02</v>
      </c>
    </row>
    <row r="229" spans="1:7" x14ac:dyDescent="0.25">
      <c r="A229" s="292" t="s">
        <v>673</v>
      </c>
      <c r="B229" s="293">
        <v>2024</v>
      </c>
      <c r="C229" s="293">
        <v>7</v>
      </c>
      <c r="D229" s="292" t="s">
        <v>671</v>
      </c>
      <c r="E229" s="292" t="s">
        <v>396</v>
      </c>
      <c r="F229" s="292" t="s">
        <v>689</v>
      </c>
      <c r="G229" s="289">
        <v>27366.959999999999</v>
      </c>
    </row>
    <row r="230" spans="1:7" x14ac:dyDescent="0.25">
      <c r="A230" s="292" t="s">
        <v>673</v>
      </c>
      <c r="B230" s="293">
        <v>2024</v>
      </c>
      <c r="C230" s="293">
        <v>8</v>
      </c>
      <c r="D230" s="292" t="s">
        <v>671</v>
      </c>
      <c r="E230" s="292" t="s">
        <v>396</v>
      </c>
      <c r="F230" s="292" t="s">
        <v>689</v>
      </c>
      <c r="G230" s="289">
        <v>-43576.39</v>
      </c>
    </row>
    <row r="231" spans="1:7" x14ac:dyDescent="0.25">
      <c r="A231" s="292" t="s">
        <v>673</v>
      </c>
      <c r="B231" s="293">
        <v>2024</v>
      </c>
      <c r="C231" s="293">
        <v>9</v>
      </c>
      <c r="D231" s="292" t="s">
        <v>671</v>
      </c>
      <c r="E231" s="292" t="s">
        <v>396</v>
      </c>
      <c r="F231" s="292" t="s">
        <v>689</v>
      </c>
      <c r="G231" s="289">
        <v>866857.96</v>
      </c>
    </row>
    <row r="232" spans="1:7" x14ac:dyDescent="0.25">
      <c r="A232" s="292" t="s">
        <v>673</v>
      </c>
      <c r="B232" s="293">
        <v>2024</v>
      </c>
      <c r="C232" s="293">
        <v>10</v>
      </c>
      <c r="D232" s="292" t="s">
        <v>671</v>
      </c>
      <c r="E232" s="292" t="s">
        <v>396</v>
      </c>
      <c r="F232" s="292" t="s">
        <v>689</v>
      </c>
      <c r="G232" s="289">
        <v>806721.93</v>
      </c>
    </row>
    <row r="233" spans="1:7" x14ac:dyDescent="0.25">
      <c r="A233" s="292" t="s">
        <v>673</v>
      </c>
      <c r="B233" s="293">
        <v>2024</v>
      </c>
      <c r="C233" s="293">
        <v>11</v>
      </c>
      <c r="D233" s="292" t="s">
        <v>671</v>
      </c>
      <c r="E233" s="292" t="s">
        <v>396</v>
      </c>
      <c r="F233" s="292" t="s">
        <v>689</v>
      </c>
      <c r="G233" s="289">
        <v>-929069.6</v>
      </c>
    </row>
    <row r="234" spans="1:7" x14ac:dyDescent="0.25">
      <c r="A234" s="292" t="s">
        <v>673</v>
      </c>
      <c r="B234" s="293">
        <v>2024</v>
      </c>
      <c r="C234" s="293">
        <v>12</v>
      </c>
      <c r="D234" s="292" t="s">
        <v>671</v>
      </c>
      <c r="E234" s="292" t="s">
        <v>396</v>
      </c>
      <c r="F234" s="292" t="s">
        <v>689</v>
      </c>
      <c r="G234" s="289">
        <v>1164399.3899999999</v>
      </c>
    </row>
    <row r="235" spans="1:7" x14ac:dyDescent="0.25">
      <c r="A235" s="292" t="s">
        <v>673</v>
      </c>
      <c r="B235" s="293">
        <v>2024</v>
      </c>
      <c r="C235" s="293">
        <v>12</v>
      </c>
      <c r="D235" s="292" t="s">
        <v>671</v>
      </c>
      <c r="E235" s="292" t="s">
        <v>398</v>
      </c>
      <c r="F235" s="292" t="s">
        <v>672</v>
      </c>
      <c r="G235" s="289">
        <v>1350058.2</v>
      </c>
    </row>
    <row r="236" spans="1:7" x14ac:dyDescent="0.25">
      <c r="A236" s="292" t="s">
        <v>673</v>
      </c>
      <c r="B236" s="293">
        <v>2024</v>
      </c>
      <c r="C236" s="293">
        <v>0</v>
      </c>
      <c r="D236" s="292" t="s">
        <v>665</v>
      </c>
      <c r="E236" s="292" t="s">
        <v>403</v>
      </c>
      <c r="F236" s="292" t="s">
        <v>690</v>
      </c>
      <c r="G236" s="289">
        <v>12538480</v>
      </c>
    </row>
    <row r="237" spans="1:7" x14ac:dyDescent="0.25">
      <c r="A237" s="292" t="s">
        <v>673</v>
      </c>
      <c r="B237" s="293">
        <v>2024</v>
      </c>
      <c r="C237" s="293">
        <v>1</v>
      </c>
      <c r="D237" s="292" t="s">
        <v>665</v>
      </c>
      <c r="E237" s="292" t="s">
        <v>403</v>
      </c>
      <c r="F237" s="292" t="s">
        <v>690</v>
      </c>
      <c r="G237" s="289">
        <v>-171760</v>
      </c>
    </row>
    <row r="238" spans="1:7" x14ac:dyDescent="0.25">
      <c r="A238" s="292" t="s">
        <v>673</v>
      </c>
      <c r="B238" s="293">
        <v>2024</v>
      </c>
      <c r="C238" s="293">
        <v>2</v>
      </c>
      <c r="D238" s="292" t="s">
        <v>665</v>
      </c>
      <c r="E238" s="292" t="s">
        <v>403</v>
      </c>
      <c r="F238" s="292" t="s">
        <v>690</v>
      </c>
      <c r="G238" s="289">
        <v>-171760</v>
      </c>
    </row>
    <row r="239" spans="1:7" x14ac:dyDescent="0.25">
      <c r="A239" s="292" t="s">
        <v>673</v>
      </c>
      <c r="B239" s="293">
        <v>2024</v>
      </c>
      <c r="C239" s="293">
        <v>3</v>
      </c>
      <c r="D239" s="292" t="s">
        <v>665</v>
      </c>
      <c r="E239" s="292" t="s">
        <v>403</v>
      </c>
      <c r="F239" s="292" t="s">
        <v>690</v>
      </c>
      <c r="G239" s="289">
        <v>-171760</v>
      </c>
    </row>
    <row r="240" spans="1:7" x14ac:dyDescent="0.25">
      <c r="A240" s="292" t="s">
        <v>673</v>
      </c>
      <c r="B240" s="293">
        <v>2024</v>
      </c>
      <c r="C240" s="293">
        <v>4</v>
      </c>
      <c r="D240" s="292" t="s">
        <v>665</v>
      </c>
      <c r="E240" s="292" t="s">
        <v>403</v>
      </c>
      <c r="F240" s="292" t="s">
        <v>690</v>
      </c>
      <c r="G240" s="289">
        <v>-171760</v>
      </c>
    </row>
    <row r="241" spans="1:7" x14ac:dyDescent="0.25">
      <c r="A241" s="292" t="s">
        <v>673</v>
      </c>
      <c r="B241" s="293">
        <v>2024</v>
      </c>
      <c r="C241" s="293">
        <v>5</v>
      </c>
      <c r="D241" s="292" t="s">
        <v>665</v>
      </c>
      <c r="E241" s="292" t="s">
        <v>403</v>
      </c>
      <c r="F241" s="292" t="s">
        <v>690</v>
      </c>
      <c r="G241" s="289">
        <v>-171760</v>
      </c>
    </row>
    <row r="242" spans="1:7" x14ac:dyDescent="0.25">
      <c r="A242" s="292" t="s">
        <v>673</v>
      </c>
      <c r="B242" s="293">
        <v>2024</v>
      </c>
      <c r="C242" s="293">
        <v>6</v>
      </c>
      <c r="D242" s="292" t="s">
        <v>665</v>
      </c>
      <c r="E242" s="292" t="s">
        <v>403</v>
      </c>
      <c r="F242" s="292" t="s">
        <v>690</v>
      </c>
      <c r="G242" s="289">
        <v>-171760</v>
      </c>
    </row>
    <row r="243" spans="1:7" x14ac:dyDescent="0.25">
      <c r="A243" s="292" t="s">
        <v>673</v>
      </c>
      <c r="B243" s="293">
        <v>2024</v>
      </c>
      <c r="C243" s="293">
        <v>7</v>
      </c>
      <c r="D243" s="292" t="s">
        <v>665</v>
      </c>
      <c r="E243" s="292" t="s">
        <v>403</v>
      </c>
      <c r="F243" s="292" t="s">
        <v>690</v>
      </c>
      <c r="G243" s="289">
        <v>-171760</v>
      </c>
    </row>
    <row r="244" spans="1:7" x14ac:dyDescent="0.25">
      <c r="A244" s="292" t="s">
        <v>673</v>
      </c>
      <c r="B244" s="293">
        <v>2024</v>
      </c>
      <c r="C244" s="293">
        <v>8</v>
      </c>
      <c r="D244" s="292" t="s">
        <v>665</v>
      </c>
      <c r="E244" s="292" t="s">
        <v>403</v>
      </c>
      <c r="F244" s="292" t="s">
        <v>690</v>
      </c>
      <c r="G244" s="289">
        <v>-171760</v>
      </c>
    </row>
    <row r="245" spans="1:7" x14ac:dyDescent="0.25">
      <c r="A245" s="292" t="s">
        <v>673</v>
      </c>
      <c r="B245" s="293">
        <v>2024</v>
      </c>
      <c r="C245" s="293">
        <v>9</v>
      </c>
      <c r="D245" s="292" t="s">
        <v>665</v>
      </c>
      <c r="E245" s="292" t="s">
        <v>403</v>
      </c>
      <c r="F245" s="292" t="s">
        <v>690</v>
      </c>
      <c r="G245" s="289">
        <v>-171760</v>
      </c>
    </row>
    <row r="246" spans="1:7" x14ac:dyDescent="0.25">
      <c r="A246" s="292" t="s">
        <v>673</v>
      </c>
      <c r="B246" s="293">
        <v>2024</v>
      </c>
      <c r="C246" s="293">
        <v>10</v>
      </c>
      <c r="D246" s="292" t="s">
        <v>665</v>
      </c>
      <c r="E246" s="292" t="s">
        <v>403</v>
      </c>
      <c r="F246" s="292" t="s">
        <v>690</v>
      </c>
      <c r="G246" s="289">
        <v>-171760</v>
      </c>
    </row>
    <row r="247" spans="1:7" x14ac:dyDescent="0.25">
      <c r="A247" s="292" t="s">
        <v>673</v>
      </c>
      <c r="B247" s="293">
        <v>2024</v>
      </c>
      <c r="C247" s="293">
        <v>11</v>
      </c>
      <c r="D247" s="292" t="s">
        <v>665</v>
      </c>
      <c r="E247" s="292" t="s">
        <v>403</v>
      </c>
      <c r="F247" s="292" t="s">
        <v>690</v>
      </c>
      <c r="G247" s="289">
        <v>-171760</v>
      </c>
    </row>
    <row r="248" spans="1:7" x14ac:dyDescent="0.25">
      <c r="A248" s="292" t="s">
        <v>673</v>
      </c>
      <c r="B248" s="293">
        <v>2024</v>
      </c>
      <c r="C248" s="293">
        <v>12</v>
      </c>
      <c r="D248" s="292" t="s">
        <v>665</v>
      </c>
      <c r="E248" s="292" t="s">
        <v>403</v>
      </c>
      <c r="F248" s="292" t="s">
        <v>690</v>
      </c>
      <c r="G248" s="289">
        <v>-171760</v>
      </c>
    </row>
    <row r="249" spans="1:7" x14ac:dyDescent="0.25">
      <c r="A249" s="292" t="s">
        <v>673</v>
      </c>
      <c r="B249" s="293">
        <v>2024</v>
      </c>
      <c r="C249" s="293">
        <v>0</v>
      </c>
      <c r="D249" s="292" t="s">
        <v>665</v>
      </c>
      <c r="E249" s="292" t="s">
        <v>404</v>
      </c>
      <c r="F249" s="292" t="s">
        <v>691</v>
      </c>
      <c r="G249" s="289">
        <v>-2332862.09</v>
      </c>
    </row>
    <row r="250" spans="1:7" x14ac:dyDescent="0.25">
      <c r="A250" s="292" t="s">
        <v>673</v>
      </c>
      <c r="B250" s="293">
        <v>2024</v>
      </c>
      <c r="C250" s="293">
        <v>1</v>
      </c>
      <c r="D250" s="292" t="s">
        <v>665</v>
      </c>
      <c r="E250" s="292" t="s">
        <v>404</v>
      </c>
      <c r="F250" s="292" t="s">
        <v>691</v>
      </c>
      <c r="G250" s="289">
        <v>31956.95</v>
      </c>
    </row>
    <row r="251" spans="1:7" x14ac:dyDescent="0.25">
      <c r="A251" s="292" t="s">
        <v>673</v>
      </c>
      <c r="B251" s="293">
        <v>2024</v>
      </c>
      <c r="C251" s="293">
        <v>2</v>
      </c>
      <c r="D251" s="292" t="s">
        <v>665</v>
      </c>
      <c r="E251" s="292" t="s">
        <v>404</v>
      </c>
      <c r="F251" s="292" t="s">
        <v>691</v>
      </c>
      <c r="G251" s="289">
        <v>31956.95</v>
      </c>
    </row>
    <row r="252" spans="1:7" x14ac:dyDescent="0.25">
      <c r="A252" s="292" t="s">
        <v>673</v>
      </c>
      <c r="B252" s="293">
        <v>2024</v>
      </c>
      <c r="C252" s="293">
        <v>3</v>
      </c>
      <c r="D252" s="292" t="s">
        <v>665</v>
      </c>
      <c r="E252" s="292" t="s">
        <v>404</v>
      </c>
      <c r="F252" s="292" t="s">
        <v>691</v>
      </c>
      <c r="G252" s="289">
        <v>31956.95</v>
      </c>
    </row>
    <row r="253" spans="1:7" x14ac:dyDescent="0.25">
      <c r="A253" s="292" t="s">
        <v>673</v>
      </c>
      <c r="B253" s="293">
        <v>2024</v>
      </c>
      <c r="C253" s="293">
        <v>4</v>
      </c>
      <c r="D253" s="292" t="s">
        <v>665</v>
      </c>
      <c r="E253" s="292" t="s">
        <v>404</v>
      </c>
      <c r="F253" s="292" t="s">
        <v>691</v>
      </c>
      <c r="G253" s="289">
        <v>31956.95</v>
      </c>
    </row>
    <row r="254" spans="1:7" x14ac:dyDescent="0.25">
      <c r="A254" s="292" t="s">
        <v>673</v>
      </c>
      <c r="B254" s="293">
        <v>2024</v>
      </c>
      <c r="C254" s="293">
        <v>5</v>
      </c>
      <c r="D254" s="292" t="s">
        <v>665</v>
      </c>
      <c r="E254" s="292" t="s">
        <v>404</v>
      </c>
      <c r="F254" s="292" t="s">
        <v>691</v>
      </c>
      <c r="G254" s="289">
        <v>31956.95</v>
      </c>
    </row>
    <row r="255" spans="1:7" x14ac:dyDescent="0.25">
      <c r="A255" s="292" t="s">
        <v>673</v>
      </c>
      <c r="B255" s="293">
        <v>2024</v>
      </c>
      <c r="C255" s="293">
        <v>6</v>
      </c>
      <c r="D255" s="292" t="s">
        <v>665</v>
      </c>
      <c r="E255" s="292" t="s">
        <v>404</v>
      </c>
      <c r="F255" s="292" t="s">
        <v>691</v>
      </c>
      <c r="G255" s="289">
        <v>31956.95</v>
      </c>
    </row>
    <row r="256" spans="1:7" x14ac:dyDescent="0.25">
      <c r="A256" s="292" t="s">
        <v>673</v>
      </c>
      <c r="B256" s="293">
        <v>2024</v>
      </c>
      <c r="C256" s="293">
        <v>7</v>
      </c>
      <c r="D256" s="292" t="s">
        <v>665</v>
      </c>
      <c r="E256" s="292" t="s">
        <v>404</v>
      </c>
      <c r="F256" s="292" t="s">
        <v>691</v>
      </c>
      <c r="G256" s="289">
        <v>31956.95</v>
      </c>
    </row>
    <row r="257" spans="1:7" x14ac:dyDescent="0.25">
      <c r="A257" s="292" t="s">
        <v>673</v>
      </c>
      <c r="B257" s="293">
        <v>2024</v>
      </c>
      <c r="C257" s="293">
        <v>8</v>
      </c>
      <c r="D257" s="292" t="s">
        <v>665</v>
      </c>
      <c r="E257" s="292" t="s">
        <v>404</v>
      </c>
      <c r="F257" s="292" t="s">
        <v>691</v>
      </c>
      <c r="G257" s="289">
        <v>31956.95</v>
      </c>
    </row>
    <row r="258" spans="1:7" x14ac:dyDescent="0.25">
      <c r="A258" s="292" t="s">
        <v>673</v>
      </c>
      <c r="B258" s="293">
        <v>2024</v>
      </c>
      <c r="C258" s="293">
        <v>9</v>
      </c>
      <c r="D258" s="292" t="s">
        <v>665</v>
      </c>
      <c r="E258" s="292" t="s">
        <v>404</v>
      </c>
      <c r="F258" s="292" t="s">
        <v>691</v>
      </c>
      <c r="G258" s="289">
        <v>31956.95</v>
      </c>
    </row>
    <row r="259" spans="1:7" x14ac:dyDescent="0.25">
      <c r="A259" s="292" t="s">
        <v>673</v>
      </c>
      <c r="B259" s="293">
        <v>2024</v>
      </c>
      <c r="C259" s="293">
        <v>10</v>
      </c>
      <c r="D259" s="292" t="s">
        <v>665</v>
      </c>
      <c r="E259" s="292" t="s">
        <v>404</v>
      </c>
      <c r="F259" s="292" t="s">
        <v>691</v>
      </c>
      <c r="G259" s="289">
        <v>31956.95</v>
      </c>
    </row>
    <row r="260" spans="1:7" x14ac:dyDescent="0.25">
      <c r="A260" s="292" t="s">
        <v>673</v>
      </c>
      <c r="B260" s="293">
        <v>2024</v>
      </c>
      <c r="C260" s="293">
        <v>11</v>
      </c>
      <c r="D260" s="292" t="s">
        <v>665</v>
      </c>
      <c r="E260" s="292" t="s">
        <v>404</v>
      </c>
      <c r="F260" s="292" t="s">
        <v>691</v>
      </c>
      <c r="G260" s="289">
        <v>31956.94</v>
      </c>
    </row>
    <row r="261" spans="1:7" x14ac:dyDescent="0.25">
      <c r="A261" s="292" t="s">
        <v>673</v>
      </c>
      <c r="B261" s="293">
        <v>2024</v>
      </c>
      <c r="C261" s="293">
        <v>12</v>
      </c>
      <c r="D261" s="292" t="s">
        <v>665</v>
      </c>
      <c r="E261" s="292" t="s">
        <v>404</v>
      </c>
      <c r="F261" s="292" t="s">
        <v>691</v>
      </c>
      <c r="G261" s="289">
        <v>31956.95</v>
      </c>
    </row>
    <row r="262" spans="1:7" x14ac:dyDescent="0.25">
      <c r="A262" s="292" t="s">
        <v>673</v>
      </c>
      <c r="B262" s="293">
        <v>2024</v>
      </c>
      <c r="C262" s="293">
        <v>0</v>
      </c>
      <c r="D262" s="292" t="s">
        <v>665</v>
      </c>
      <c r="E262" s="292" t="s">
        <v>405</v>
      </c>
      <c r="F262" s="292" t="s">
        <v>692</v>
      </c>
      <c r="G262" s="289">
        <v>-12538480</v>
      </c>
    </row>
    <row r="263" spans="1:7" x14ac:dyDescent="0.25">
      <c r="A263" s="292" t="s">
        <v>673</v>
      </c>
      <c r="B263" s="293">
        <v>2024</v>
      </c>
      <c r="C263" s="293">
        <v>1</v>
      </c>
      <c r="D263" s="292" t="s">
        <v>665</v>
      </c>
      <c r="E263" s="292" t="s">
        <v>405</v>
      </c>
      <c r="F263" s="292" t="s">
        <v>692</v>
      </c>
      <c r="G263" s="289">
        <v>171760</v>
      </c>
    </row>
    <row r="264" spans="1:7" x14ac:dyDescent="0.25">
      <c r="A264" s="292" t="s">
        <v>673</v>
      </c>
      <c r="B264" s="293">
        <v>2024</v>
      </c>
      <c r="C264" s="293">
        <v>2</v>
      </c>
      <c r="D264" s="292" t="s">
        <v>665</v>
      </c>
      <c r="E264" s="292" t="s">
        <v>405</v>
      </c>
      <c r="F264" s="292" t="s">
        <v>692</v>
      </c>
      <c r="G264" s="289">
        <v>171760</v>
      </c>
    </row>
    <row r="265" spans="1:7" x14ac:dyDescent="0.25">
      <c r="A265" s="292" t="s">
        <v>673</v>
      </c>
      <c r="B265" s="293">
        <v>2024</v>
      </c>
      <c r="C265" s="293">
        <v>3</v>
      </c>
      <c r="D265" s="292" t="s">
        <v>665</v>
      </c>
      <c r="E265" s="292" t="s">
        <v>405</v>
      </c>
      <c r="F265" s="292" t="s">
        <v>692</v>
      </c>
      <c r="G265" s="289">
        <v>171760</v>
      </c>
    </row>
    <row r="266" spans="1:7" x14ac:dyDescent="0.25">
      <c r="A266" s="292" t="s">
        <v>673</v>
      </c>
      <c r="B266" s="293">
        <v>2024</v>
      </c>
      <c r="C266" s="293">
        <v>4</v>
      </c>
      <c r="D266" s="292" t="s">
        <v>665</v>
      </c>
      <c r="E266" s="292" t="s">
        <v>405</v>
      </c>
      <c r="F266" s="292" t="s">
        <v>692</v>
      </c>
      <c r="G266" s="289">
        <v>171760</v>
      </c>
    </row>
    <row r="267" spans="1:7" x14ac:dyDescent="0.25">
      <c r="A267" s="292" t="s">
        <v>673</v>
      </c>
      <c r="B267" s="293">
        <v>2024</v>
      </c>
      <c r="C267" s="293">
        <v>5</v>
      </c>
      <c r="D267" s="292" t="s">
        <v>665</v>
      </c>
      <c r="E267" s="292" t="s">
        <v>405</v>
      </c>
      <c r="F267" s="292" t="s">
        <v>692</v>
      </c>
      <c r="G267" s="289">
        <v>171760</v>
      </c>
    </row>
    <row r="268" spans="1:7" x14ac:dyDescent="0.25">
      <c r="A268" s="292" t="s">
        <v>673</v>
      </c>
      <c r="B268" s="293">
        <v>2024</v>
      </c>
      <c r="C268" s="293">
        <v>6</v>
      </c>
      <c r="D268" s="292" t="s">
        <v>665</v>
      </c>
      <c r="E268" s="292" t="s">
        <v>405</v>
      </c>
      <c r="F268" s="292" t="s">
        <v>692</v>
      </c>
      <c r="G268" s="289">
        <v>171760</v>
      </c>
    </row>
    <row r="269" spans="1:7" x14ac:dyDescent="0.25">
      <c r="A269" s="292" t="s">
        <v>673</v>
      </c>
      <c r="B269" s="293">
        <v>2024</v>
      </c>
      <c r="C269" s="293">
        <v>7</v>
      </c>
      <c r="D269" s="292" t="s">
        <v>665</v>
      </c>
      <c r="E269" s="292" t="s">
        <v>405</v>
      </c>
      <c r="F269" s="292" t="s">
        <v>692</v>
      </c>
      <c r="G269" s="289">
        <v>171760</v>
      </c>
    </row>
    <row r="270" spans="1:7" x14ac:dyDescent="0.25">
      <c r="A270" s="292" t="s">
        <v>673</v>
      </c>
      <c r="B270" s="293">
        <v>2024</v>
      </c>
      <c r="C270" s="293">
        <v>8</v>
      </c>
      <c r="D270" s="292" t="s">
        <v>665</v>
      </c>
      <c r="E270" s="292" t="s">
        <v>405</v>
      </c>
      <c r="F270" s="292" t="s">
        <v>692</v>
      </c>
      <c r="G270" s="289">
        <v>171760</v>
      </c>
    </row>
    <row r="271" spans="1:7" x14ac:dyDescent="0.25">
      <c r="A271" s="292" t="s">
        <v>673</v>
      </c>
      <c r="B271" s="293">
        <v>2024</v>
      </c>
      <c r="C271" s="293">
        <v>9</v>
      </c>
      <c r="D271" s="292" t="s">
        <v>665</v>
      </c>
      <c r="E271" s="292" t="s">
        <v>405</v>
      </c>
      <c r="F271" s="292" t="s">
        <v>692</v>
      </c>
      <c r="G271" s="289">
        <v>171760</v>
      </c>
    </row>
    <row r="272" spans="1:7" x14ac:dyDescent="0.25">
      <c r="A272" s="292" t="s">
        <v>673</v>
      </c>
      <c r="B272" s="293">
        <v>2024</v>
      </c>
      <c r="C272" s="293">
        <v>10</v>
      </c>
      <c r="D272" s="292" t="s">
        <v>665</v>
      </c>
      <c r="E272" s="292" t="s">
        <v>405</v>
      </c>
      <c r="F272" s="292" t="s">
        <v>692</v>
      </c>
      <c r="G272" s="289">
        <v>171760</v>
      </c>
    </row>
    <row r="273" spans="1:7" x14ac:dyDescent="0.25">
      <c r="A273" s="292" t="s">
        <v>673</v>
      </c>
      <c r="B273" s="293">
        <v>2024</v>
      </c>
      <c r="C273" s="293">
        <v>11</v>
      </c>
      <c r="D273" s="292" t="s">
        <v>665</v>
      </c>
      <c r="E273" s="292" t="s">
        <v>405</v>
      </c>
      <c r="F273" s="292" t="s">
        <v>692</v>
      </c>
      <c r="G273" s="289">
        <v>171760</v>
      </c>
    </row>
    <row r="274" spans="1:7" x14ac:dyDescent="0.25">
      <c r="A274" s="292" t="s">
        <v>673</v>
      </c>
      <c r="B274" s="293">
        <v>2024</v>
      </c>
      <c r="C274" s="293">
        <v>12</v>
      </c>
      <c r="D274" s="292" t="s">
        <v>665</v>
      </c>
      <c r="E274" s="292" t="s">
        <v>405</v>
      </c>
      <c r="F274" s="292" t="s">
        <v>692</v>
      </c>
      <c r="G274" s="289">
        <v>171760</v>
      </c>
    </row>
    <row r="275" spans="1:7" x14ac:dyDescent="0.25">
      <c r="A275" s="292" t="s">
        <v>673</v>
      </c>
      <c r="B275" s="293">
        <v>2024</v>
      </c>
      <c r="C275" s="293">
        <v>0</v>
      </c>
      <c r="D275" s="292" t="s">
        <v>665</v>
      </c>
      <c r="E275" s="292" t="s">
        <v>411</v>
      </c>
      <c r="F275" s="292" t="s">
        <v>693</v>
      </c>
      <c r="G275" s="289">
        <v>-46894.31</v>
      </c>
    </row>
    <row r="276" spans="1:7" x14ac:dyDescent="0.25">
      <c r="A276" s="292" t="s">
        <v>673</v>
      </c>
      <c r="B276" s="293">
        <v>2024</v>
      </c>
      <c r="C276" s="293">
        <v>12</v>
      </c>
      <c r="D276" s="292" t="s">
        <v>665</v>
      </c>
      <c r="E276" s="292" t="s">
        <v>411</v>
      </c>
      <c r="F276" s="292" t="s">
        <v>693</v>
      </c>
      <c r="G276" s="289">
        <v>2884.98</v>
      </c>
    </row>
    <row r="277" spans="1:7" x14ac:dyDescent="0.25">
      <c r="A277" s="292" t="s">
        <v>673</v>
      </c>
      <c r="B277" s="293">
        <v>2024</v>
      </c>
      <c r="C277" s="293">
        <v>0</v>
      </c>
      <c r="D277" s="292" t="s">
        <v>665</v>
      </c>
      <c r="E277" s="292" t="s">
        <v>413</v>
      </c>
      <c r="F277" s="292" t="s">
        <v>694</v>
      </c>
      <c r="G277" s="289">
        <v>-1152986.6399999999</v>
      </c>
    </row>
    <row r="278" spans="1:7" x14ac:dyDescent="0.25">
      <c r="A278" s="292" t="s">
        <v>673</v>
      </c>
      <c r="B278" s="293">
        <v>2024</v>
      </c>
      <c r="C278" s="293">
        <v>1</v>
      </c>
      <c r="D278" s="292" t="s">
        <v>665</v>
      </c>
      <c r="E278" s="292" t="s">
        <v>413</v>
      </c>
      <c r="F278" s="292" t="s">
        <v>694</v>
      </c>
      <c r="G278" s="289">
        <v>-217536.32</v>
      </c>
    </row>
    <row r="279" spans="1:7" x14ac:dyDescent="0.25">
      <c r="A279" s="292" t="s">
        <v>673</v>
      </c>
      <c r="B279" s="293">
        <v>2024</v>
      </c>
      <c r="C279" s="293">
        <v>2</v>
      </c>
      <c r="D279" s="292" t="s">
        <v>665</v>
      </c>
      <c r="E279" s="292" t="s">
        <v>413</v>
      </c>
      <c r="F279" s="292" t="s">
        <v>694</v>
      </c>
      <c r="G279" s="289">
        <v>-1857462.99</v>
      </c>
    </row>
    <row r="280" spans="1:7" x14ac:dyDescent="0.25">
      <c r="A280" s="292" t="s">
        <v>673</v>
      </c>
      <c r="B280" s="293">
        <v>2024</v>
      </c>
      <c r="C280" s="293">
        <v>3</v>
      </c>
      <c r="D280" s="292" t="s">
        <v>665</v>
      </c>
      <c r="E280" s="292" t="s">
        <v>413</v>
      </c>
      <c r="F280" s="292" t="s">
        <v>694</v>
      </c>
      <c r="G280" s="289">
        <v>-104.44</v>
      </c>
    </row>
    <row r="281" spans="1:7" x14ac:dyDescent="0.25">
      <c r="A281" s="292" t="s">
        <v>673</v>
      </c>
      <c r="B281" s="293">
        <v>2024</v>
      </c>
      <c r="C281" s="293">
        <v>4</v>
      </c>
      <c r="D281" s="292" t="s">
        <v>665</v>
      </c>
      <c r="E281" s="292" t="s">
        <v>413</v>
      </c>
      <c r="F281" s="292" t="s">
        <v>694</v>
      </c>
      <c r="G281" s="289">
        <v>-104.77</v>
      </c>
    </row>
    <row r="282" spans="1:7" x14ac:dyDescent="0.25">
      <c r="A282" s="292" t="s">
        <v>673</v>
      </c>
      <c r="B282" s="293">
        <v>2024</v>
      </c>
      <c r="C282" s="293">
        <v>5</v>
      </c>
      <c r="D282" s="292" t="s">
        <v>665</v>
      </c>
      <c r="E282" s="292" t="s">
        <v>413</v>
      </c>
      <c r="F282" s="292" t="s">
        <v>694</v>
      </c>
      <c r="G282" s="289">
        <v>-105.09</v>
      </c>
    </row>
    <row r="283" spans="1:7" x14ac:dyDescent="0.25">
      <c r="A283" s="292" t="s">
        <v>673</v>
      </c>
      <c r="B283" s="293">
        <v>2024</v>
      </c>
      <c r="C283" s="293">
        <v>6</v>
      </c>
      <c r="D283" s="292" t="s">
        <v>665</v>
      </c>
      <c r="E283" s="292" t="s">
        <v>413</v>
      </c>
      <c r="F283" s="292" t="s">
        <v>694</v>
      </c>
      <c r="G283" s="289">
        <v>-219995.55</v>
      </c>
    </row>
    <row r="284" spans="1:7" x14ac:dyDescent="0.25">
      <c r="A284" s="292" t="s">
        <v>673</v>
      </c>
      <c r="B284" s="293">
        <v>2024</v>
      </c>
      <c r="C284" s="293">
        <v>7</v>
      </c>
      <c r="D284" s="292" t="s">
        <v>665</v>
      </c>
      <c r="E284" s="292" t="s">
        <v>413</v>
      </c>
      <c r="F284" s="292" t="s">
        <v>694</v>
      </c>
      <c r="G284" s="289">
        <v>-105.73</v>
      </c>
    </row>
    <row r="285" spans="1:7" x14ac:dyDescent="0.25">
      <c r="A285" s="292" t="s">
        <v>673</v>
      </c>
      <c r="B285" s="293">
        <v>2024</v>
      </c>
      <c r="C285" s="293">
        <v>8</v>
      </c>
      <c r="D285" s="292" t="s">
        <v>665</v>
      </c>
      <c r="E285" s="292" t="s">
        <v>413</v>
      </c>
      <c r="F285" s="292" t="s">
        <v>694</v>
      </c>
      <c r="G285" s="289">
        <v>-106.06</v>
      </c>
    </row>
    <row r="286" spans="1:7" x14ac:dyDescent="0.25">
      <c r="A286" s="292" t="s">
        <v>673</v>
      </c>
      <c r="B286" s="293">
        <v>2024</v>
      </c>
      <c r="C286" s="293">
        <v>9</v>
      </c>
      <c r="D286" s="292" t="s">
        <v>665</v>
      </c>
      <c r="E286" s="292" t="s">
        <v>413</v>
      </c>
      <c r="F286" s="292" t="s">
        <v>694</v>
      </c>
      <c r="G286" s="289">
        <v>189888.85</v>
      </c>
    </row>
    <row r="287" spans="1:7" x14ac:dyDescent="0.25">
      <c r="A287" s="292" t="s">
        <v>673</v>
      </c>
      <c r="B287" s="293">
        <v>2024</v>
      </c>
      <c r="C287" s="293">
        <v>10</v>
      </c>
      <c r="D287" s="292" t="s">
        <v>665</v>
      </c>
      <c r="E287" s="292" t="s">
        <v>413</v>
      </c>
      <c r="F287" s="292" t="s">
        <v>694</v>
      </c>
      <c r="G287" s="289">
        <v>-107.04</v>
      </c>
    </row>
    <row r="288" spans="1:7" x14ac:dyDescent="0.25">
      <c r="A288" s="292" t="s">
        <v>673</v>
      </c>
      <c r="B288" s="293">
        <v>2024</v>
      </c>
      <c r="C288" s="293">
        <v>11</v>
      </c>
      <c r="D288" s="292" t="s">
        <v>665</v>
      </c>
      <c r="E288" s="292" t="s">
        <v>413</v>
      </c>
      <c r="F288" s="292" t="s">
        <v>694</v>
      </c>
      <c r="G288" s="289">
        <v>-107.05</v>
      </c>
    </row>
    <row r="289" spans="1:7" x14ac:dyDescent="0.25">
      <c r="A289" s="292" t="s">
        <v>673</v>
      </c>
      <c r="B289" s="293">
        <v>2024</v>
      </c>
      <c r="C289" s="293">
        <v>12</v>
      </c>
      <c r="D289" s="292" t="s">
        <v>665</v>
      </c>
      <c r="E289" s="292" t="s">
        <v>413</v>
      </c>
      <c r="F289" s="292" t="s">
        <v>694</v>
      </c>
      <c r="G289" s="289">
        <v>605304.21</v>
      </c>
    </row>
    <row r="290" spans="1:7" x14ac:dyDescent="0.25">
      <c r="A290" s="292" t="s">
        <v>673</v>
      </c>
      <c r="B290" s="293">
        <v>2024</v>
      </c>
      <c r="C290" s="293">
        <v>0</v>
      </c>
      <c r="D290" s="292" t="s">
        <v>665</v>
      </c>
      <c r="E290" s="292" t="s">
        <v>419</v>
      </c>
      <c r="F290" s="292" t="s">
        <v>695</v>
      </c>
      <c r="G290" s="289">
        <v>-18913365.059999999</v>
      </c>
    </row>
    <row r="291" spans="1:7" x14ac:dyDescent="0.25">
      <c r="A291" s="292" t="s">
        <v>673</v>
      </c>
      <c r="B291" s="293">
        <v>2024</v>
      </c>
      <c r="C291" s="293">
        <v>1</v>
      </c>
      <c r="D291" s="292" t="s">
        <v>665</v>
      </c>
      <c r="E291" s="292" t="s">
        <v>419</v>
      </c>
      <c r="F291" s="292" t="s">
        <v>695</v>
      </c>
      <c r="G291" s="289">
        <v>31040.31</v>
      </c>
    </row>
    <row r="292" spans="1:7" x14ac:dyDescent="0.25">
      <c r="A292" s="292" t="s">
        <v>673</v>
      </c>
      <c r="B292" s="293">
        <v>2024</v>
      </c>
      <c r="C292" s="293">
        <v>2</v>
      </c>
      <c r="D292" s="292" t="s">
        <v>665</v>
      </c>
      <c r="E292" s="292" t="s">
        <v>419</v>
      </c>
      <c r="F292" s="292" t="s">
        <v>695</v>
      </c>
      <c r="G292" s="289">
        <v>31040.31</v>
      </c>
    </row>
    <row r="293" spans="1:7" x14ac:dyDescent="0.25">
      <c r="A293" s="292" t="s">
        <v>673</v>
      </c>
      <c r="B293" s="293">
        <v>2024</v>
      </c>
      <c r="C293" s="293">
        <v>3</v>
      </c>
      <c r="D293" s="292" t="s">
        <v>665</v>
      </c>
      <c r="E293" s="292" t="s">
        <v>419</v>
      </c>
      <c r="F293" s="292" t="s">
        <v>695</v>
      </c>
      <c r="G293" s="289">
        <v>31040.31</v>
      </c>
    </row>
    <row r="294" spans="1:7" x14ac:dyDescent="0.25">
      <c r="A294" s="292" t="s">
        <v>673</v>
      </c>
      <c r="B294" s="293">
        <v>2024</v>
      </c>
      <c r="C294" s="293">
        <v>4</v>
      </c>
      <c r="D294" s="292" t="s">
        <v>665</v>
      </c>
      <c r="E294" s="292" t="s">
        <v>419</v>
      </c>
      <c r="F294" s="292" t="s">
        <v>695</v>
      </c>
      <c r="G294" s="289">
        <v>31040.31</v>
      </c>
    </row>
    <row r="295" spans="1:7" x14ac:dyDescent="0.25">
      <c r="A295" s="292" t="s">
        <v>673</v>
      </c>
      <c r="B295" s="293">
        <v>2024</v>
      </c>
      <c r="C295" s="293">
        <v>5</v>
      </c>
      <c r="D295" s="292" t="s">
        <v>665</v>
      </c>
      <c r="E295" s="292" t="s">
        <v>419</v>
      </c>
      <c r="F295" s="292" t="s">
        <v>695</v>
      </c>
      <c r="G295" s="289">
        <v>31040.31</v>
      </c>
    </row>
    <row r="296" spans="1:7" x14ac:dyDescent="0.25">
      <c r="A296" s="292" t="s">
        <v>673</v>
      </c>
      <c r="B296" s="293">
        <v>2024</v>
      </c>
      <c r="C296" s="293">
        <v>6</v>
      </c>
      <c r="D296" s="292" t="s">
        <v>665</v>
      </c>
      <c r="E296" s="292" t="s">
        <v>419</v>
      </c>
      <c r="F296" s="292" t="s">
        <v>695</v>
      </c>
      <c r="G296" s="289">
        <v>31040.31</v>
      </c>
    </row>
    <row r="297" spans="1:7" x14ac:dyDescent="0.25">
      <c r="A297" s="292" t="s">
        <v>673</v>
      </c>
      <c r="B297" s="293">
        <v>2024</v>
      </c>
      <c r="C297" s="293">
        <v>7</v>
      </c>
      <c r="D297" s="292" t="s">
        <v>665</v>
      </c>
      <c r="E297" s="292" t="s">
        <v>419</v>
      </c>
      <c r="F297" s="292" t="s">
        <v>695</v>
      </c>
      <c r="G297" s="289">
        <v>31040.31</v>
      </c>
    </row>
    <row r="298" spans="1:7" x14ac:dyDescent="0.25">
      <c r="A298" s="292" t="s">
        <v>673</v>
      </c>
      <c r="B298" s="293">
        <v>2024</v>
      </c>
      <c r="C298" s="293">
        <v>8</v>
      </c>
      <c r="D298" s="292" t="s">
        <v>665</v>
      </c>
      <c r="E298" s="292" t="s">
        <v>419</v>
      </c>
      <c r="F298" s="292" t="s">
        <v>695</v>
      </c>
      <c r="G298" s="289">
        <v>31040.31</v>
      </c>
    </row>
    <row r="299" spans="1:7" x14ac:dyDescent="0.25">
      <c r="A299" s="292" t="s">
        <v>673</v>
      </c>
      <c r="B299" s="293">
        <v>2024</v>
      </c>
      <c r="C299" s="293">
        <v>9</v>
      </c>
      <c r="D299" s="292" t="s">
        <v>665</v>
      </c>
      <c r="E299" s="292" t="s">
        <v>419</v>
      </c>
      <c r="F299" s="292" t="s">
        <v>695</v>
      </c>
      <c r="G299" s="289">
        <v>31040.31</v>
      </c>
    </row>
    <row r="300" spans="1:7" x14ac:dyDescent="0.25">
      <c r="A300" s="292" t="s">
        <v>673</v>
      </c>
      <c r="B300" s="293">
        <v>2024</v>
      </c>
      <c r="C300" s="293">
        <v>10</v>
      </c>
      <c r="D300" s="292" t="s">
        <v>665</v>
      </c>
      <c r="E300" s="292" t="s">
        <v>419</v>
      </c>
      <c r="F300" s="292" t="s">
        <v>695</v>
      </c>
      <c r="G300" s="289">
        <v>997409.07</v>
      </c>
    </row>
    <row r="301" spans="1:7" x14ac:dyDescent="0.25">
      <c r="A301" s="292" t="s">
        <v>673</v>
      </c>
      <c r="B301" s="293">
        <v>2024</v>
      </c>
      <c r="C301" s="293">
        <v>11</v>
      </c>
      <c r="D301" s="292" t="s">
        <v>665</v>
      </c>
      <c r="E301" s="292" t="s">
        <v>419</v>
      </c>
      <c r="F301" s="292" t="s">
        <v>695</v>
      </c>
      <c r="G301" s="289">
        <v>-463856.19</v>
      </c>
    </row>
    <row r="302" spans="1:7" x14ac:dyDescent="0.25">
      <c r="A302" s="292" t="s">
        <v>673</v>
      </c>
      <c r="B302" s="293">
        <v>2024</v>
      </c>
      <c r="C302" s="293">
        <v>12</v>
      </c>
      <c r="D302" s="292" t="s">
        <v>665</v>
      </c>
      <c r="E302" s="292" t="s">
        <v>419</v>
      </c>
      <c r="F302" s="292" t="s">
        <v>695</v>
      </c>
      <c r="G302" s="289">
        <v>31040.31</v>
      </c>
    </row>
    <row r="303" spans="1:7" x14ac:dyDescent="0.25">
      <c r="A303" s="292" t="s">
        <v>673</v>
      </c>
      <c r="B303" s="293">
        <v>2024</v>
      </c>
      <c r="C303" s="293">
        <v>0</v>
      </c>
      <c r="D303" s="292" t="s">
        <v>665</v>
      </c>
      <c r="E303" s="292" t="s">
        <v>423</v>
      </c>
      <c r="F303" s="292" t="s">
        <v>696</v>
      </c>
      <c r="G303" s="289">
        <v>-5077.8</v>
      </c>
    </row>
    <row r="304" spans="1:7" x14ac:dyDescent="0.25">
      <c r="A304" s="292" t="s">
        <v>673</v>
      </c>
      <c r="B304" s="293">
        <v>2024</v>
      </c>
      <c r="C304" s="293">
        <v>2</v>
      </c>
      <c r="D304" s="292" t="s">
        <v>665</v>
      </c>
      <c r="E304" s="292" t="s">
        <v>423</v>
      </c>
      <c r="F304" s="292" t="s">
        <v>696</v>
      </c>
      <c r="G304" s="289">
        <v>28.61</v>
      </c>
    </row>
    <row r="305" spans="1:7" x14ac:dyDescent="0.25">
      <c r="A305" s="292" t="s">
        <v>673</v>
      </c>
      <c r="B305" s="293">
        <v>2024</v>
      </c>
      <c r="C305" s="293">
        <v>3</v>
      </c>
      <c r="D305" s="292" t="s">
        <v>665</v>
      </c>
      <c r="E305" s="292" t="s">
        <v>423</v>
      </c>
      <c r="F305" s="292" t="s">
        <v>696</v>
      </c>
      <c r="G305" s="289">
        <v>14.3</v>
      </c>
    </row>
    <row r="306" spans="1:7" x14ac:dyDescent="0.25">
      <c r="A306" s="292" t="s">
        <v>673</v>
      </c>
      <c r="B306" s="293">
        <v>2024</v>
      </c>
      <c r="C306" s="293">
        <v>4</v>
      </c>
      <c r="D306" s="292" t="s">
        <v>665</v>
      </c>
      <c r="E306" s="292" t="s">
        <v>423</v>
      </c>
      <c r="F306" s="292" t="s">
        <v>696</v>
      </c>
      <c r="G306" s="289">
        <v>14.3</v>
      </c>
    </row>
    <row r="307" spans="1:7" x14ac:dyDescent="0.25">
      <c r="A307" s="292" t="s">
        <v>673</v>
      </c>
      <c r="B307" s="293">
        <v>2024</v>
      </c>
      <c r="C307" s="293">
        <v>5</v>
      </c>
      <c r="D307" s="292" t="s">
        <v>665</v>
      </c>
      <c r="E307" s="292" t="s">
        <v>423</v>
      </c>
      <c r="F307" s="292" t="s">
        <v>696</v>
      </c>
      <c r="G307" s="289">
        <v>14.31</v>
      </c>
    </row>
    <row r="308" spans="1:7" x14ac:dyDescent="0.25">
      <c r="A308" s="292" t="s">
        <v>673</v>
      </c>
      <c r="B308" s="293">
        <v>2024</v>
      </c>
      <c r="C308" s="293">
        <v>6</v>
      </c>
      <c r="D308" s="292" t="s">
        <v>665</v>
      </c>
      <c r="E308" s="292" t="s">
        <v>423</v>
      </c>
      <c r="F308" s="292" t="s">
        <v>696</v>
      </c>
      <c r="G308" s="289">
        <v>14.3</v>
      </c>
    </row>
    <row r="309" spans="1:7" x14ac:dyDescent="0.25">
      <c r="A309" s="292" t="s">
        <v>673</v>
      </c>
      <c r="B309" s="293">
        <v>2024</v>
      </c>
      <c r="C309" s="293">
        <v>7</v>
      </c>
      <c r="D309" s="292" t="s">
        <v>665</v>
      </c>
      <c r="E309" s="292" t="s">
        <v>423</v>
      </c>
      <c r="F309" s="292" t="s">
        <v>696</v>
      </c>
      <c r="G309" s="289">
        <v>14.3</v>
      </c>
    </row>
    <row r="310" spans="1:7" x14ac:dyDescent="0.25">
      <c r="A310" s="292" t="s">
        <v>673</v>
      </c>
      <c r="B310" s="293">
        <v>2024</v>
      </c>
      <c r="C310" s="293">
        <v>8</v>
      </c>
      <c r="D310" s="292" t="s">
        <v>665</v>
      </c>
      <c r="E310" s="292" t="s">
        <v>423</v>
      </c>
      <c r="F310" s="292" t="s">
        <v>696</v>
      </c>
      <c r="G310" s="289">
        <v>14.31</v>
      </c>
    </row>
    <row r="311" spans="1:7" x14ac:dyDescent="0.25">
      <c r="A311" s="292" t="s">
        <v>673</v>
      </c>
      <c r="B311" s="293">
        <v>2024</v>
      </c>
      <c r="C311" s="293">
        <v>9</v>
      </c>
      <c r="D311" s="292" t="s">
        <v>665</v>
      </c>
      <c r="E311" s="292" t="s">
        <v>423</v>
      </c>
      <c r="F311" s="292" t="s">
        <v>696</v>
      </c>
      <c r="G311" s="289">
        <v>14.3</v>
      </c>
    </row>
    <row r="312" spans="1:7" x14ac:dyDescent="0.25">
      <c r="A312" s="292" t="s">
        <v>673</v>
      </c>
      <c r="B312" s="293">
        <v>2024</v>
      </c>
      <c r="C312" s="293">
        <v>10</v>
      </c>
      <c r="D312" s="292" t="s">
        <v>665</v>
      </c>
      <c r="E312" s="292" t="s">
        <v>423</v>
      </c>
      <c r="F312" s="292" t="s">
        <v>696</v>
      </c>
      <c r="G312" s="289">
        <v>14.3</v>
      </c>
    </row>
    <row r="313" spans="1:7" x14ac:dyDescent="0.25">
      <c r="A313" s="292" t="s">
        <v>673</v>
      </c>
      <c r="B313" s="293">
        <v>2024</v>
      </c>
      <c r="C313" s="293">
        <v>11</v>
      </c>
      <c r="D313" s="292" t="s">
        <v>665</v>
      </c>
      <c r="E313" s="292" t="s">
        <v>423</v>
      </c>
      <c r="F313" s="292" t="s">
        <v>696</v>
      </c>
      <c r="G313" s="289">
        <v>14.31</v>
      </c>
    </row>
    <row r="314" spans="1:7" x14ac:dyDescent="0.25">
      <c r="A314" s="292" t="s">
        <v>673</v>
      </c>
      <c r="B314" s="293">
        <v>2024</v>
      </c>
      <c r="C314" s="293">
        <v>12</v>
      </c>
      <c r="D314" s="292" t="s">
        <v>665</v>
      </c>
      <c r="E314" s="292" t="s">
        <v>423</v>
      </c>
      <c r="F314" s="292" t="s">
        <v>696</v>
      </c>
      <c r="G314" s="289">
        <v>14.3</v>
      </c>
    </row>
    <row r="315" spans="1:7" x14ac:dyDescent="0.25">
      <c r="A315" s="292" t="s">
        <v>697</v>
      </c>
      <c r="B315" s="293">
        <v>2024</v>
      </c>
      <c r="C315" s="293">
        <v>0</v>
      </c>
      <c r="D315" s="292" t="s">
        <v>661</v>
      </c>
      <c r="E315" s="292" t="s">
        <v>341</v>
      </c>
      <c r="F315" s="292" t="s">
        <v>698</v>
      </c>
      <c r="G315" s="289">
        <v>-17654706.390000001</v>
      </c>
    </row>
    <row r="316" spans="1:7" x14ac:dyDescent="0.25">
      <c r="A316" s="292" t="s">
        <v>697</v>
      </c>
      <c r="B316" s="293">
        <v>2024</v>
      </c>
      <c r="C316" s="293">
        <v>1</v>
      </c>
      <c r="D316" s="292" t="s">
        <v>661</v>
      </c>
      <c r="E316" s="292" t="s">
        <v>341</v>
      </c>
      <c r="F316" s="292" t="s">
        <v>698</v>
      </c>
      <c r="G316" s="289">
        <v>34443</v>
      </c>
    </row>
    <row r="317" spans="1:7" x14ac:dyDescent="0.25">
      <c r="A317" s="292" t="s">
        <v>697</v>
      </c>
      <c r="B317" s="293">
        <v>2024</v>
      </c>
      <c r="C317" s="293">
        <v>2</v>
      </c>
      <c r="D317" s="292" t="s">
        <v>661</v>
      </c>
      <c r="E317" s="292" t="s">
        <v>341</v>
      </c>
      <c r="F317" s="292" t="s">
        <v>698</v>
      </c>
      <c r="G317" s="289">
        <v>34443</v>
      </c>
    </row>
    <row r="318" spans="1:7" x14ac:dyDescent="0.25">
      <c r="A318" s="292" t="s">
        <v>697</v>
      </c>
      <c r="B318" s="293">
        <v>2024</v>
      </c>
      <c r="C318" s="293">
        <v>3</v>
      </c>
      <c r="D318" s="292" t="s">
        <v>661</v>
      </c>
      <c r="E318" s="292" t="s">
        <v>341</v>
      </c>
      <c r="F318" s="292" t="s">
        <v>698</v>
      </c>
      <c r="G318" s="289">
        <v>34443</v>
      </c>
    </row>
    <row r="319" spans="1:7" x14ac:dyDescent="0.25">
      <c r="A319" s="292" t="s">
        <v>697</v>
      </c>
      <c r="B319" s="293">
        <v>2024</v>
      </c>
      <c r="C319" s="293">
        <v>4</v>
      </c>
      <c r="D319" s="292" t="s">
        <v>661</v>
      </c>
      <c r="E319" s="292" t="s">
        <v>341</v>
      </c>
      <c r="F319" s="292" t="s">
        <v>698</v>
      </c>
      <c r="G319" s="289">
        <v>34443</v>
      </c>
    </row>
    <row r="320" spans="1:7" x14ac:dyDescent="0.25">
      <c r="A320" s="292" t="s">
        <v>697</v>
      </c>
      <c r="B320" s="293">
        <v>2024</v>
      </c>
      <c r="C320" s="293">
        <v>5</v>
      </c>
      <c r="D320" s="292" t="s">
        <v>661</v>
      </c>
      <c r="E320" s="292" t="s">
        <v>341</v>
      </c>
      <c r="F320" s="292" t="s">
        <v>698</v>
      </c>
      <c r="G320" s="289">
        <v>34443</v>
      </c>
    </row>
    <row r="321" spans="1:7" x14ac:dyDescent="0.25">
      <c r="A321" s="292" t="s">
        <v>697</v>
      </c>
      <c r="B321" s="293">
        <v>2024</v>
      </c>
      <c r="C321" s="293">
        <v>6</v>
      </c>
      <c r="D321" s="292" t="s">
        <v>661</v>
      </c>
      <c r="E321" s="292" t="s">
        <v>341</v>
      </c>
      <c r="F321" s="292" t="s">
        <v>698</v>
      </c>
      <c r="G321" s="289">
        <v>34443</v>
      </c>
    </row>
    <row r="322" spans="1:7" x14ac:dyDescent="0.25">
      <c r="A322" s="292" t="s">
        <v>697</v>
      </c>
      <c r="B322" s="293">
        <v>2024</v>
      </c>
      <c r="C322" s="293">
        <v>7</v>
      </c>
      <c r="D322" s="292" t="s">
        <v>661</v>
      </c>
      <c r="E322" s="292" t="s">
        <v>341</v>
      </c>
      <c r="F322" s="292" t="s">
        <v>698</v>
      </c>
      <c r="G322" s="289">
        <v>34443</v>
      </c>
    </row>
    <row r="323" spans="1:7" x14ac:dyDescent="0.25">
      <c r="A323" s="292" t="s">
        <v>697</v>
      </c>
      <c r="B323" s="293">
        <v>2024</v>
      </c>
      <c r="C323" s="293">
        <v>8</v>
      </c>
      <c r="D323" s="292" t="s">
        <v>661</v>
      </c>
      <c r="E323" s="292" t="s">
        <v>341</v>
      </c>
      <c r="F323" s="292" t="s">
        <v>698</v>
      </c>
      <c r="G323" s="289">
        <v>34443.01</v>
      </c>
    </row>
    <row r="324" spans="1:7" x14ac:dyDescent="0.25">
      <c r="A324" s="292" t="s">
        <v>697</v>
      </c>
      <c r="B324" s="293">
        <v>2024</v>
      </c>
      <c r="C324" s="293">
        <v>9</v>
      </c>
      <c r="D324" s="292" t="s">
        <v>661</v>
      </c>
      <c r="E324" s="292" t="s">
        <v>341</v>
      </c>
      <c r="F324" s="292" t="s">
        <v>698</v>
      </c>
      <c r="G324" s="289">
        <v>34442.99</v>
      </c>
    </row>
    <row r="325" spans="1:7" x14ac:dyDescent="0.25">
      <c r="A325" s="292" t="s">
        <v>697</v>
      </c>
      <c r="B325" s="293">
        <v>2024</v>
      </c>
      <c r="C325" s="293">
        <v>10</v>
      </c>
      <c r="D325" s="292" t="s">
        <v>661</v>
      </c>
      <c r="E325" s="292" t="s">
        <v>341</v>
      </c>
      <c r="F325" s="292" t="s">
        <v>698</v>
      </c>
      <c r="G325" s="289">
        <v>34442.99</v>
      </c>
    </row>
    <row r="326" spans="1:7" x14ac:dyDescent="0.25">
      <c r="A326" s="292" t="s">
        <v>697</v>
      </c>
      <c r="B326" s="293">
        <v>2024</v>
      </c>
      <c r="C326" s="293">
        <v>11</v>
      </c>
      <c r="D326" s="292" t="s">
        <v>661</v>
      </c>
      <c r="E326" s="292" t="s">
        <v>341</v>
      </c>
      <c r="F326" s="292" t="s">
        <v>698</v>
      </c>
      <c r="G326" s="289">
        <v>34443.01</v>
      </c>
    </row>
    <row r="327" spans="1:7" x14ac:dyDescent="0.25">
      <c r="A327" s="292" t="s">
        <v>697</v>
      </c>
      <c r="B327" s="293">
        <v>2024</v>
      </c>
      <c r="C327" s="293">
        <v>12</v>
      </c>
      <c r="D327" s="292" t="s">
        <v>661</v>
      </c>
      <c r="E327" s="292" t="s">
        <v>341</v>
      </c>
      <c r="F327" s="292" t="s">
        <v>698</v>
      </c>
      <c r="G327" s="289">
        <v>34443</v>
      </c>
    </row>
    <row r="328" spans="1:7" x14ac:dyDescent="0.25">
      <c r="A328" s="292" t="s">
        <v>697</v>
      </c>
      <c r="B328" s="293">
        <v>2024</v>
      </c>
      <c r="C328" s="293">
        <v>0</v>
      </c>
      <c r="D328" s="292" t="s">
        <v>661</v>
      </c>
      <c r="E328" s="292" t="s">
        <v>342</v>
      </c>
      <c r="F328" s="292" t="s">
        <v>699</v>
      </c>
      <c r="G328" s="289">
        <v>16290254.359999999</v>
      </c>
    </row>
    <row r="329" spans="1:7" x14ac:dyDescent="0.25">
      <c r="A329" s="292" t="s">
        <v>697</v>
      </c>
      <c r="B329" s="293">
        <v>2024</v>
      </c>
      <c r="C329" s="293">
        <v>1</v>
      </c>
      <c r="D329" s="292" t="s">
        <v>661</v>
      </c>
      <c r="E329" s="292" t="s">
        <v>342</v>
      </c>
      <c r="F329" s="292" t="s">
        <v>699</v>
      </c>
      <c r="G329" s="289">
        <v>-52591.360000000001</v>
      </c>
    </row>
    <row r="330" spans="1:7" x14ac:dyDescent="0.25">
      <c r="A330" s="292" t="s">
        <v>697</v>
      </c>
      <c r="B330" s="293">
        <v>2024</v>
      </c>
      <c r="C330" s="293">
        <v>2</v>
      </c>
      <c r="D330" s="292" t="s">
        <v>661</v>
      </c>
      <c r="E330" s="292" t="s">
        <v>342</v>
      </c>
      <c r="F330" s="292" t="s">
        <v>699</v>
      </c>
      <c r="G330" s="289">
        <v>-53937.13</v>
      </c>
    </row>
    <row r="331" spans="1:7" x14ac:dyDescent="0.25">
      <c r="A331" s="292" t="s">
        <v>697</v>
      </c>
      <c r="B331" s="293">
        <v>2024</v>
      </c>
      <c r="C331" s="293">
        <v>3</v>
      </c>
      <c r="D331" s="292" t="s">
        <v>661</v>
      </c>
      <c r="E331" s="292" t="s">
        <v>342</v>
      </c>
      <c r="F331" s="292" t="s">
        <v>699</v>
      </c>
      <c r="G331" s="289">
        <v>-46921.96</v>
      </c>
    </row>
    <row r="332" spans="1:7" x14ac:dyDescent="0.25">
      <c r="A332" s="292" t="s">
        <v>697</v>
      </c>
      <c r="B332" s="293">
        <v>2024</v>
      </c>
      <c r="C332" s="293">
        <v>4</v>
      </c>
      <c r="D332" s="292" t="s">
        <v>661</v>
      </c>
      <c r="E332" s="292" t="s">
        <v>342</v>
      </c>
      <c r="F332" s="292" t="s">
        <v>699</v>
      </c>
      <c r="G332" s="289">
        <v>-43514.13</v>
      </c>
    </row>
    <row r="333" spans="1:7" x14ac:dyDescent="0.25">
      <c r="A333" s="292" t="s">
        <v>697</v>
      </c>
      <c r="B333" s="293">
        <v>2024</v>
      </c>
      <c r="C333" s="293">
        <v>5</v>
      </c>
      <c r="D333" s="292" t="s">
        <v>661</v>
      </c>
      <c r="E333" s="292" t="s">
        <v>342</v>
      </c>
      <c r="F333" s="292" t="s">
        <v>699</v>
      </c>
      <c r="G333" s="289">
        <v>-48606.93</v>
      </c>
    </row>
    <row r="334" spans="1:7" x14ac:dyDescent="0.25">
      <c r="A334" s="292" t="s">
        <v>697</v>
      </c>
      <c r="B334" s="293">
        <v>2024</v>
      </c>
      <c r="C334" s="293">
        <v>6</v>
      </c>
      <c r="D334" s="292" t="s">
        <v>661</v>
      </c>
      <c r="E334" s="292" t="s">
        <v>342</v>
      </c>
      <c r="F334" s="292" t="s">
        <v>699</v>
      </c>
      <c r="G334" s="289">
        <v>-53868.83</v>
      </c>
    </row>
    <row r="335" spans="1:7" x14ac:dyDescent="0.25">
      <c r="A335" s="292" t="s">
        <v>697</v>
      </c>
      <c r="B335" s="293">
        <v>2024</v>
      </c>
      <c r="C335" s="293">
        <v>7</v>
      </c>
      <c r="D335" s="292" t="s">
        <v>661</v>
      </c>
      <c r="E335" s="292" t="s">
        <v>342</v>
      </c>
      <c r="F335" s="292" t="s">
        <v>699</v>
      </c>
      <c r="G335" s="289">
        <v>-56145.66</v>
      </c>
    </row>
    <row r="336" spans="1:7" x14ac:dyDescent="0.25">
      <c r="A336" s="292" t="s">
        <v>697</v>
      </c>
      <c r="B336" s="293">
        <v>2024</v>
      </c>
      <c r="C336" s="293">
        <v>8</v>
      </c>
      <c r="D336" s="292" t="s">
        <v>661</v>
      </c>
      <c r="E336" s="292" t="s">
        <v>342</v>
      </c>
      <c r="F336" s="292" t="s">
        <v>699</v>
      </c>
      <c r="G336" s="289">
        <v>-47128.25</v>
      </c>
    </row>
    <row r="337" spans="1:7" x14ac:dyDescent="0.25">
      <c r="A337" s="292" t="s">
        <v>697</v>
      </c>
      <c r="B337" s="293">
        <v>2024</v>
      </c>
      <c r="C337" s="293">
        <v>9</v>
      </c>
      <c r="D337" s="292" t="s">
        <v>661</v>
      </c>
      <c r="E337" s="292" t="s">
        <v>342</v>
      </c>
      <c r="F337" s="292" t="s">
        <v>699</v>
      </c>
      <c r="G337" s="289">
        <v>-55227.34</v>
      </c>
    </row>
    <row r="338" spans="1:7" x14ac:dyDescent="0.25">
      <c r="A338" s="292" t="s">
        <v>697</v>
      </c>
      <c r="B338" s="293">
        <v>2024</v>
      </c>
      <c r="C338" s="293">
        <v>10</v>
      </c>
      <c r="D338" s="292" t="s">
        <v>661</v>
      </c>
      <c r="E338" s="292" t="s">
        <v>342</v>
      </c>
      <c r="F338" s="292" t="s">
        <v>699</v>
      </c>
      <c r="G338" s="289">
        <v>-53181.39</v>
      </c>
    </row>
    <row r="339" spans="1:7" x14ac:dyDescent="0.25">
      <c r="A339" s="292" t="s">
        <v>697</v>
      </c>
      <c r="B339" s="293">
        <v>2024</v>
      </c>
      <c r="C339" s="293">
        <v>11</v>
      </c>
      <c r="D339" s="292" t="s">
        <v>661</v>
      </c>
      <c r="E339" s="292" t="s">
        <v>342</v>
      </c>
      <c r="F339" s="292" t="s">
        <v>699</v>
      </c>
      <c r="G339" s="289">
        <v>-55023.81</v>
      </c>
    </row>
    <row r="340" spans="1:7" x14ac:dyDescent="0.25">
      <c r="A340" s="292" t="s">
        <v>697</v>
      </c>
      <c r="B340" s="293">
        <v>2024</v>
      </c>
      <c r="C340" s="293">
        <v>12</v>
      </c>
      <c r="D340" s="292" t="s">
        <v>661</v>
      </c>
      <c r="E340" s="292" t="s">
        <v>342</v>
      </c>
      <c r="F340" s="292" t="s">
        <v>699</v>
      </c>
      <c r="G340" s="289">
        <v>-363.95</v>
      </c>
    </row>
    <row r="341" spans="1:7" x14ac:dyDescent="0.25">
      <c r="A341" s="292" t="s">
        <v>697</v>
      </c>
      <c r="B341" s="293">
        <v>2024</v>
      </c>
      <c r="C341" s="293">
        <v>0</v>
      </c>
      <c r="D341" s="292" t="s">
        <v>661</v>
      </c>
      <c r="E341" s="292" t="s">
        <v>343</v>
      </c>
      <c r="F341" s="292" t="s">
        <v>700</v>
      </c>
      <c r="G341" s="289">
        <v>-12034047</v>
      </c>
    </row>
    <row r="342" spans="1:7" x14ac:dyDescent="0.25">
      <c r="A342" s="292" t="s">
        <v>697</v>
      </c>
      <c r="B342" s="293">
        <v>2024</v>
      </c>
      <c r="C342" s="293">
        <v>1</v>
      </c>
      <c r="D342" s="292" t="s">
        <v>661</v>
      </c>
      <c r="E342" s="292" t="s">
        <v>343</v>
      </c>
      <c r="F342" s="292" t="s">
        <v>700</v>
      </c>
      <c r="G342" s="289">
        <v>215235</v>
      </c>
    </row>
    <row r="343" spans="1:7" x14ac:dyDescent="0.25">
      <c r="A343" s="292" t="s">
        <v>697</v>
      </c>
      <c r="B343" s="293">
        <v>2024</v>
      </c>
      <c r="C343" s="293">
        <v>2</v>
      </c>
      <c r="D343" s="292" t="s">
        <v>661</v>
      </c>
      <c r="E343" s="292" t="s">
        <v>343</v>
      </c>
      <c r="F343" s="292" t="s">
        <v>700</v>
      </c>
      <c r="G343" s="289">
        <v>215235</v>
      </c>
    </row>
    <row r="344" spans="1:7" x14ac:dyDescent="0.25">
      <c r="A344" s="292" t="s">
        <v>697</v>
      </c>
      <c r="B344" s="293">
        <v>2024</v>
      </c>
      <c r="C344" s="293">
        <v>3</v>
      </c>
      <c r="D344" s="292" t="s">
        <v>661</v>
      </c>
      <c r="E344" s="292" t="s">
        <v>343</v>
      </c>
      <c r="F344" s="292" t="s">
        <v>700</v>
      </c>
      <c r="G344" s="289">
        <v>215235</v>
      </c>
    </row>
    <row r="345" spans="1:7" x14ac:dyDescent="0.25">
      <c r="A345" s="292" t="s">
        <v>697</v>
      </c>
      <c r="B345" s="293">
        <v>2024</v>
      </c>
      <c r="C345" s="293">
        <v>4</v>
      </c>
      <c r="D345" s="292" t="s">
        <v>661</v>
      </c>
      <c r="E345" s="292" t="s">
        <v>343</v>
      </c>
      <c r="F345" s="292" t="s">
        <v>700</v>
      </c>
      <c r="G345" s="289">
        <v>215235</v>
      </c>
    </row>
    <row r="346" spans="1:7" x14ac:dyDescent="0.25">
      <c r="A346" s="292" t="s">
        <v>697</v>
      </c>
      <c r="B346" s="293">
        <v>2024</v>
      </c>
      <c r="C346" s="293">
        <v>5</v>
      </c>
      <c r="D346" s="292" t="s">
        <v>661</v>
      </c>
      <c r="E346" s="292" t="s">
        <v>343</v>
      </c>
      <c r="F346" s="292" t="s">
        <v>700</v>
      </c>
      <c r="G346" s="289">
        <v>215235</v>
      </c>
    </row>
    <row r="347" spans="1:7" x14ac:dyDescent="0.25">
      <c r="A347" s="292" t="s">
        <v>697</v>
      </c>
      <c r="B347" s="293">
        <v>2024</v>
      </c>
      <c r="C347" s="293">
        <v>6</v>
      </c>
      <c r="D347" s="292" t="s">
        <v>661</v>
      </c>
      <c r="E347" s="292" t="s">
        <v>343</v>
      </c>
      <c r="F347" s="292" t="s">
        <v>700</v>
      </c>
      <c r="G347" s="289">
        <v>215235</v>
      </c>
    </row>
    <row r="348" spans="1:7" x14ac:dyDescent="0.25">
      <c r="A348" s="292" t="s">
        <v>697</v>
      </c>
      <c r="B348" s="293">
        <v>2024</v>
      </c>
      <c r="C348" s="293">
        <v>7</v>
      </c>
      <c r="D348" s="292" t="s">
        <v>661</v>
      </c>
      <c r="E348" s="292" t="s">
        <v>343</v>
      </c>
      <c r="F348" s="292" t="s">
        <v>700</v>
      </c>
      <c r="G348" s="289">
        <v>215235</v>
      </c>
    </row>
    <row r="349" spans="1:7" x14ac:dyDescent="0.25">
      <c r="A349" s="292" t="s">
        <v>697</v>
      </c>
      <c r="B349" s="293">
        <v>2024</v>
      </c>
      <c r="C349" s="293">
        <v>8</v>
      </c>
      <c r="D349" s="292" t="s">
        <v>661</v>
      </c>
      <c r="E349" s="292" t="s">
        <v>343</v>
      </c>
      <c r="F349" s="292" t="s">
        <v>700</v>
      </c>
      <c r="G349" s="289">
        <v>215235</v>
      </c>
    </row>
    <row r="350" spans="1:7" x14ac:dyDescent="0.25">
      <c r="A350" s="292" t="s">
        <v>697</v>
      </c>
      <c r="B350" s="293">
        <v>2024</v>
      </c>
      <c r="C350" s="293">
        <v>9</v>
      </c>
      <c r="D350" s="292" t="s">
        <v>661</v>
      </c>
      <c r="E350" s="292" t="s">
        <v>343</v>
      </c>
      <c r="F350" s="292" t="s">
        <v>700</v>
      </c>
      <c r="G350" s="289">
        <v>215235</v>
      </c>
    </row>
    <row r="351" spans="1:7" x14ac:dyDescent="0.25">
      <c r="A351" s="292" t="s">
        <v>697</v>
      </c>
      <c r="B351" s="293">
        <v>2024</v>
      </c>
      <c r="C351" s="293">
        <v>10</v>
      </c>
      <c r="D351" s="292" t="s">
        <v>661</v>
      </c>
      <c r="E351" s="292" t="s">
        <v>343</v>
      </c>
      <c r="F351" s="292" t="s">
        <v>700</v>
      </c>
      <c r="G351" s="289">
        <v>215235</v>
      </c>
    </row>
    <row r="352" spans="1:7" x14ac:dyDescent="0.25">
      <c r="A352" s="292" t="s">
        <v>697</v>
      </c>
      <c r="B352" s="293">
        <v>2024</v>
      </c>
      <c r="C352" s="293">
        <v>11</v>
      </c>
      <c r="D352" s="292" t="s">
        <v>661</v>
      </c>
      <c r="E352" s="292" t="s">
        <v>343</v>
      </c>
      <c r="F352" s="292" t="s">
        <v>700</v>
      </c>
      <c r="G352" s="289">
        <v>215235</v>
      </c>
    </row>
    <row r="353" spans="1:7" x14ac:dyDescent="0.25">
      <c r="A353" s="292" t="s">
        <v>697</v>
      </c>
      <c r="B353" s="293">
        <v>2024</v>
      </c>
      <c r="C353" s="293">
        <v>12</v>
      </c>
      <c r="D353" s="292" t="s">
        <v>661</v>
      </c>
      <c r="E353" s="292" t="s">
        <v>343</v>
      </c>
      <c r="F353" s="292" t="s">
        <v>700</v>
      </c>
      <c r="G353" s="289">
        <v>215235</v>
      </c>
    </row>
    <row r="354" spans="1:7" x14ac:dyDescent="0.25">
      <c r="A354" s="292" t="s">
        <v>697</v>
      </c>
      <c r="B354" s="293">
        <v>2024</v>
      </c>
      <c r="C354" s="293">
        <v>0</v>
      </c>
      <c r="D354" s="292" t="s">
        <v>661</v>
      </c>
      <c r="E354" s="292" t="s">
        <v>344</v>
      </c>
      <c r="F354" s="292" t="s">
        <v>701</v>
      </c>
      <c r="G354" s="289">
        <v>4575865.18</v>
      </c>
    </row>
    <row r="355" spans="1:7" x14ac:dyDescent="0.25">
      <c r="A355" s="292" t="s">
        <v>697</v>
      </c>
      <c r="B355" s="293">
        <v>2024</v>
      </c>
      <c r="C355" s="293">
        <v>1</v>
      </c>
      <c r="D355" s="292" t="s">
        <v>661</v>
      </c>
      <c r="E355" s="292" t="s">
        <v>344</v>
      </c>
      <c r="F355" s="292" t="s">
        <v>701</v>
      </c>
      <c r="G355" s="289">
        <v>-81657.84</v>
      </c>
    </row>
    <row r="356" spans="1:7" x14ac:dyDescent="0.25">
      <c r="A356" s="292" t="s">
        <v>697</v>
      </c>
      <c r="B356" s="293">
        <v>2024</v>
      </c>
      <c r="C356" s="293">
        <v>2</v>
      </c>
      <c r="D356" s="292" t="s">
        <v>661</v>
      </c>
      <c r="E356" s="292" t="s">
        <v>344</v>
      </c>
      <c r="F356" s="292" t="s">
        <v>701</v>
      </c>
      <c r="G356" s="289">
        <v>-81657.83</v>
      </c>
    </row>
    <row r="357" spans="1:7" x14ac:dyDescent="0.25">
      <c r="A357" s="292" t="s">
        <v>697</v>
      </c>
      <c r="B357" s="293">
        <v>2024</v>
      </c>
      <c r="C357" s="293">
        <v>3</v>
      </c>
      <c r="D357" s="292" t="s">
        <v>661</v>
      </c>
      <c r="E357" s="292" t="s">
        <v>344</v>
      </c>
      <c r="F357" s="292" t="s">
        <v>701</v>
      </c>
      <c r="G357" s="289">
        <v>-81657.84</v>
      </c>
    </row>
    <row r="358" spans="1:7" x14ac:dyDescent="0.25">
      <c r="A358" s="292" t="s">
        <v>697</v>
      </c>
      <c r="B358" s="293">
        <v>2024</v>
      </c>
      <c r="C358" s="293">
        <v>4</v>
      </c>
      <c r="D358" s="292" t="s">
        <v>661</v>
      </c>
      <c r="E358" s="292" t="s">
        <v>344</v>
      </c>
      <c r="F358" s="292" t="s">
        <v>701</v>
      </c>
      <c r="G358" s="289">
        <v>-81657.83</v>
      </c>
    </row>
    <row r="359" spans="1:7" x14ac:dyDescent="0.25">
      <c r="A359" s="292" t="s">
        <v>697</v>
      </c>
      <c r="B359" s="293">
        <v>2024</v>
      </c>
      <c r="C359" s="293">
        <v>5</v>
      </c>
      <c r="D359" s="292" t="s">
        <v>661</v>
      </c>
      <c r="E359" s="292" t="s">
        <v>344</v>
      </c>
      <c r="F359" s="292" t="s">
        <v>701</v>
      </c>
      <c r="G359" s="289">
        <v>-81657.84</v>
      </c>
    </row>
    <row r="360" spans="1:7" x14ac:dyDescent="0.25">
      <c r="A360" s="292" t="s">
        <v>697</v>
      </c>
      <c r="B360" s="293">
        <v>2024</v>
      </c>
      <c r="C360" s="293">
        <v>6</v>
      </c>
      <c r="D360" s="292" t="s">
        <v>661</v>
      </c>
      <c r="E360" s="292" t="s">
        <v>344</v>
      </c>
      <c r="F360" s="292" t="s">
        <v>701</v>
      </c>
      <c r="G360" s="289">
        <v>-81657.84</v>
      </c>
    </row>
    <row r="361" spans="1:7" x14ac:dyDescent="0.25">
      <c r="A361" s="292" t="s">
        <v>697</v>
      </c>
      <c r="B361" s="293">
        <v>2024</v>
      </c>
      <c r="C361" s="293">
        <v>7</v>
      </c>
      <c r="D361" s="292" t="s">
        <v>661</v>
      </c>
      <c r="E361" s="292" t="s">
        <v>344</v>
      </c>
      <c r="F361" s="292" t="s">
        <v>701</v>
      </c>
      <c r="G361" s="289">
        <v>-81657.83</v>
      </c>
    </row>
    <row r="362" spans="1:7" x14ac:dyDescent="0.25">
      <c r="A362" s="292" t="s">
        <v>697</v>
      </c>
      <c r="B362" s="293">
        <v>2024</v>
      </c>
      <c r="C362" s="293">
        <v>8</v>
      </c>
      <c r="D362" s="292" t="s">
        <v>661</v>
      </c>
      <c r="E362" s="292" t="s">
        <v>344</v>
      </c>
      <c r="F362" s="292" t="s">
        <v>701</v>
      </c>
      <c r="G362" s="289">
        <v>-81657.84</v>
      </c>
    </row>
    <row r="363" spans="1:7" x14ac:dyDescent="0.25">
      <c r="A363" s="292" t="s">
        <v>697</v>
      </c>
      <c r="B363" s="293">
        <v>2024</v>
      </c>
      <c r="C363" s="293">
        <v>9</v>
      </c>
      <c r="D363" s="292" t="s">
        <v>661</v>
      </c>
      <c r="E363" s="292" t="s">
        <v>344</v>
      </c>
      <c r="F363" s="292" t="s">
        <v>701</v>
      </c>
      <c r="G363" s="289">
        <v>-81657.83</v>
      </c>
    </row>
    <row r="364" spans="1:7" x14ac:dyDescent="0.25">
      <c r="A364" s="292" t="s">
        <v>697</v>
      </c>
      <c r="B364" s="293">
        <v>2024</v>
      </c>
      <c r="C364" s="293">
        <v>10</v>
      </c>
      <c r="D364" s="292" t="s">
        <v>661</v>
      </c>
      <c r="E364" s="292" t="s">
        <v>344</v>
      </c>
      <c r="F364" s="292" t="s">
        <v>701</v>
      </c>
      <c r="G364" s="289">
        <v>-81657.84</v>
      </c>
    </row>
    <row r="365" spans="1:7" x14ac:dyDescent="0.25">
      <c r="A365" s="292" t="s">
        <v>697</v>
      </c>
      <c r="B365" s="293">
        <v>2024</v>
      </c>
      <c r="C365" s="293">
        <v>11</v>
      </c>
      <c r="D365" s="292" t="s">
        <v>661</v>
      </c>
      <c r="E365" s="292" t="s">
        <v>344</v>
      </c>
      <c r="F365" s="292" t="s">
        <v>701</v>
      </c>
      <c r="G365" s="289">
        <v>-81657.83</v>
      </c>
    </row>
    <row r="366" spans="1:7" x14ac:dyDescent="0.25">
      <c r="A366" s="292" t="s">
        <v>697</v>
      </c>
      <c r="B366" s="293">
        <v>2024</v>
      </c>
      <c r="C366" s="293">
        <v>12</v>
      </c>
      <c r="D366" s="292" t="s">
        <v>661</v>
      </c>
      <c r="E366" s="292" t="s">
        <v>344</v>
      </c>
      <c r="F366" s="292" t="s">
        <v>701</v>
      </c>
      <c r="G366" s="289">
        <v>-81657.84</v>
      </c>
    </row>
    <row r="367" spans="1:7" x14ac:dyDescent="0.25">
      <c r="A367" s="292" t="s">
        <v>697</v>
      </c>
      <c r="B367" s="293">
        <v>2024</v>
      </c>
      <c r="C367" s="293">
        <v>0</v>
      </c>
      <c r="D367" s="292" t="s">
        <v>661</v>
      </c>
      <c r="E367" s="292" t="s">
        <v>345</v>
      </c>
      <c r="F367" s="292" t="s">
        <v>702</v>
      </c>
      <c r="G367" s="289">
        <v>12034047</v>
      </c>
    </row>
    <row r="368" spans="1:7" x14ac:dyDescent="0.25">
      <c r="A368" s="292" t="s">
        <v>697</v>
      </c>
      <c r="B368" s="293">
        <v>2024</v>
      </c>
      <c r="C368" s="293">
        <v>1</v>
      </c>
      <c r="D368" s="292" t="s">
        <v>661</v>
      </c>
      <c r="E368" s="292" t="s">
        <v>345</v>
      </c>
      <c r="F368" s="292" t="s">
        <v>702</v>
      </c>
      <c r="G368" s="289">
        <v>-215235</v>
      </c>
    </row>
    <row r="369" spans="1:7" x14ac:dyDescent="0.25">
      <c r="A369" s="292" t="s">
        <v>697</v>
      </c>
      <c r="B369" s="293">
        <v>2024</v>
      </c>
      <c r="C369" s="293">
        <v>2</v>
      </c>
      <c r="D369" s="292" t="s">
        <v>661</v>
      </c>
      <c r="E369" s="292" t="s">
        <v>345</v>
      </c>
      <c r="F369" s="292" t="s">
        <v>702</v>
      </c>
      <c r="G369" s="289">
        <v>-215235</v>
      </c>
    </row>
    <row r="370" spans="1:7" x14ac:dyDescent="0.25">
      <c r="A370" s="292" t="s">
        <v>697</v>
      </c>
      <c r="B370" s="293">
        <v>2024</v>
      </c>
      <c r="C370" s="293">
        <v>3</v>
      </c>
      <c r="D370" s="292" t="s">
        <v>661</v>
      </c>
      <c r="E370" s="292" t="s">
        <v>345</v>
      </c>
      <c r="F370" s="292" t="s">
        <v>702</v>
      </c>
      <c r="G370" s="289">
        <v>-215235</v>
      </c>
    </row>
    <row r="371" spans="1:7" x14ac:dyDescent="0.25">
      <c r="A371" s="292" t="s">
        <v>697</v>
      </c>
      <c r="B371" s="293">
        <v>2024</v>
      </c>
      <c r="C371" s="293">
        <v>4</v>
      </c>
      <c r="D371" s="292" t="s">
        <v>661</v>
      </c>
      <c r="E371" s="292" t="s">
        <v>345</v>
      </c>
      <c r="F371" s="292" t="s">
        <v>702</v>
      </c>
      <c r="G371" s="289">
        <v>-215235</v>
      </c>
    </row>
    <row r="372" spans="1:7" x14ac:dyDescent="0.25">
      <c r="A372" s="292" t="s">
        <v>697</v>
      </c>
      <c r="B372" s="293">
        <v>2024</v>
      </c>
      <c r="C372" s="293">
        <v>5</v>
      </c>
      <c r="D372" s="292" t="s">
        <v>661</v>
      </c>
      <c r="E372" s="292" t="s">
        <v>345</v>
      </c>
      <c r="F372" s="292" t="s">
        <v>702</v>
      </c>
      <c r="G372" s="289">
        <v>-215235</v>
      </c>
    </row>
    <row r="373" spans="1:7" x14ac:dyDescent="0.25">
      <c r="A373" s="292" t="s">
        <v>697</v>
      </c>
      <c r="B373" s="293">
        <v>2024</v>
      </c>
      <c r="C373" s="293">
        <v>6</v>
      </c>
      <c r="D373" s="292" t="s">
        <v>661</v>
      </c>
      <c r="E373" s="292" t="s">
        <v>345</v>
      </c>
      <c r="F373" s="292" t="s">
        <v>702</v>
      </c>
      <c r="G373" s="289">
        <v>-215235</v>
      </c>
    </row>
    <row r="374" spans="1:7" x14ac:dyDescent="0.25">
      <c r="A374" s="292" t="s">
        <v>697</v>
      </c>
      <c r="B374" s="293">
        <v>2024</v>
      </c>
      <c r="C374" s="293">
        <v>7</v>
      </c>
      <c r="D374" s="292" t="s">
        <v>661</v>
      </c>
      <c r="E374" s="292" t="s">
        <v>345</v>
      </c>
      <c r="F374" s="292" t="s">
        <v>702</v>
      </c>
      <c r="G374" s="289">
        <v>-215235</v>
      </c>
    </row>
    <row r="375" spans="1:7" x14ac:dyDescent="0.25">
      <c r="A375" s="292" t="s">
        <v>697</v>
      </c>
      <c r="B375" s="293">
        <v>2024</v>
      </c>
      <c r="C375" s="293">
        <v>8</v>
      </c>
      <c r="D375" s="292" t="s">
        <v>661</v>
      </c>
      <c r="E375" s="292" t="s">
        <v>345</v>
      </c>
      <c r="F375" s="292" t="s">
        <v>702</v>
      </c>
      <c r="G375" s="289">
        <v>-215235</v>
      </c>
    </row>
    <row r="376" spans="1:7" x14ac:dyDescent="0.25">
      <c r="A376" s="292" t="s">
        <v>697</v>
      </c>
      <c r="B376" s="293">
        <v>2024</v>
      </c>
      <c r="C376" s="293">
        <v>9</v>
      </c>
      <c r="D376" s="292" t="s">
        <v>661</v>
      </c>
      <c r="E376" s="292" t="s">
        <v>345</v>
      </c>
      <c r="F376" s="292" t="s">
        <v>702</v>
      </c>
      <c r="G376" s="289">
        <v>-215235</v>
      </c>
    </row>
    <row r="377" spans="1:7" x14ac:dyDescent="0.25">
      <c r="A377" s="292" t="s">
        <v>697</v>
      </c>
      <c r="B377" s="293">
        <v>2024</v>
      </c>
      <c r="C377" s="293">
        <v>10</v>
      </c>
      <c r="D377" s="292" t="s">
        <v>661</v>
      </c>
      <c r="E377" s="292" t="s">
        <v>345</v>
      </c>
      <c r="F377" s="292" t="s">
        <v>702</v>
      </c>
      <c r="G377" s="289">
        <v>-215235</v>
      </c>
    </row>
    <row r="378" spans="1:7" x14ac:dyDescent="0.25">
      <c r="A378" s="292" t="s">
        <v>697</v>
      </c>
      <c r="B378" s="293">
        <v>2024</v>
      </c>
      <c r="C378" s="293">
        <v>11</v>
      </c>
      <c r="D378" s="292" t="s">
        <v>661</v>
      </c>
      <c r="E378" s="292" t="s">
        <v>345</v>
      </c>
      <c r="F378" s="292" t="s">
        <v>702</v>
      </c>
      <c r="G378" s="289">
        <v>-215235</v>
      </c>
    </row>
    <row r="379" spans="1:7" x14ac:dyDescent="0.25">
      <c r="A379" s="292" t="s">
        <v>697</v>
      </c>
      <c r="B379" s="293">
        <v>2024</v>
      </c>
      <c r="C379" s="293">
        <v>12</v>
      </c>
      <c r="D379" s="292" t="s">
        <v>661</v>
      </c>
      <c r="E379" s="292" t="s">
        <v>345</v>
      </c>
      <c r="F379" s="292" t="s">
        <v>702</v>
      </c>
      <c r="G379" s="289">
        <v>-215235</v>
      </c>
    </row>
    <row r="380" spans="1:7" x14ac:dyDescent="0.25">
      <c r="A380" s="292" t="s">
        <v>697</v>
      </c>
      <c r="B380" s="293">
        <v>2024</v>
      </c>
      <c r="C380" s="293">
        <v>0</v>
      </c>
      <c r="D380" s="292" t="s">
        <v>661</v>
      </c>
      <c r="E380" s="292" t="s">
        <v>346</v>
      </c>
      <c r="F380" s="292" t="s">
        <v>703</v>
      </c>
      <c r="G380" s="289">
        <v>17654706.390000001</v>
      </c>
    </row>
    <row r="381" spans="1:7" x14ac:dyDescent="0.25">
      <c r="A381" s="292" t="s">
        <v>697</v>
      </c>
      <c r="B381" s="293">
        <v>2024</v>
      </c>
      <c r="C381" s="293">
        <v>1</v>
      </c>
      <c r="D381" s="292" t="s">
        <v>661</v>
      </c>
      <c r="E381" s="292" t="s">
        <v>346</v>
      </c>
      <c r="F381" s="292" t="s">
        <v>703</v>
      </c>
      <c r="G381" s="289">
        <v>-34443</v>
      </c>
    </row>
    <row r="382" spans="1:7" x14ac:dyDescent="0.25">
      <c r="A382" s="292" t="s">
        <v>697</v>
      </c>
      <c r="B382" s="293">
        <v>2024</v>
      </c>
      <c r="C382" s="293">
        <v>2</v>
      </c>
      <c r="D382" s="292" t="s">
        <v>661</v>
      </c>
      <c r="E382" s="292" t="s">
        <v>346</v>
      </c>
      <c r="F382" s="292" t="s">
        <v>703</v>
      </c>
      <c r="G382" s="289">
        <v>-34443</v>
      </c>
    </row>
    <row r="383" spans="1:7" x14ac:dyDescent="0.25">
      <c r="A383" s="292" t="s">
        <v>697</v>
      </c>
      <c r="B383" s="293">
        <v>2024</v>
      </c>
      <c r="C383" s="293">
        <v>3</v>
      </c>
      <c r="D383" s="292" t="s">
        <v>661</v>
      </c>
      <c r="E383" s="292" t="s">
        <v>346</v>
      </c>
      <c r="F383" s="292" t="s">
        <v>703</v>
      </c>
      <c r="G383" s="289">
        <v>-34443</v>
      </c>
    </row>
    <row r="384" spans="1:7" x14ac:dyDescent="0.25">
      <c r="A384" s="292" t="s">
        <v>697</v>
      </c>
      <c r="B384" s="293">
        <v>2024</v>
      </c>
      <c r="C384" s="293">
        <v>4</v>
      </c>
      <c r="D384" s="292" t="s">
        <v>661</v>
      </c>
      <c r="E384" s="292" t="s">
        <v>346</v>
      </c>
      <c r="F384" s="292" t="s">
        <v>703</v>
      </c>
      <c r="G384" s="289">
        <v>-34443</v>
      </c>
    </row>
    <row r="385" spans="1:7" x14ac:dyDescent="0.25">
      <c r="A385" s="292" t="s">
        <v>697</v>
      </c>
      <c r="B385" s="293">
        <v>2024</v>
      </c>
      <c r="C385" s="293">
        <v>5</v>
      </c>
      <c r="D385" s="292" t="s">
        <v>661</v>
      </c>
      <c r="E385" s="292" t="s">
        <v>346</v>
      </c>
      <c r="F385" s="292" t="s">
        <v>703</v>
      </c>
      <c r="G385" s="289">
        <v>-34443</v>
      </c>
    </row>
    <row r="386" spans="1:7" x14ac:dyDescent="0.25">
      <c r="A386" s="292" t="s">
        <v>697</v>
      </c>
      <c r="B386" s="293">
        <v>2024</v>
      </c>
      <c r="C386" s="293">
        <v>6</v>
      </c>
      <c r="D386" s="292" t="s">
        <v>661</v>
      </c>
      <c r="E386" s="292" t="s">
        <v>346</v>
      </c>
      <c r="F386" s="292" t="s">
        <v>703</v>
      </c>
      <c r="G386" s="289">
        <v>-34443</v>
      </c>
    </row>
    <row r="387" spans="1:7" x14ac:dyDescent="0.25">
      <c r="A387" s="292" t="s">
        <v>697</v>
      </c>
      <c r="B387" s="293">
        <v>2024</v>
      </c>
      <c r="C387" s="293">
        <v>7</v>
      </c>
      <c r="D387" s="292" t="s">
        <v>661</v>
      </c>
      <c r="E387" s="292" t="s">
        <v>346</v>
      </c>
      <c r="F387" s="292" t="s">
        <v>703</v>
      </c>
      <c r="G387" s="289">
        <v>-34443</v>
      </c>
    </row>
    <row r="388" spans="1:7" x14ac:dyDescent="0.25">
      <c r="A388" s="292" t="s">
        <v>697</v>
      </c>
      <c r="B388" s="293">
        <v>2024</v>
      </c>
      <c r="C388" s="293">
        <v>8</v>
      </c>
      <c r="D388" s="292" t="s">
        <v>661</v>
      </c>
      <c r="E388" s="292" t="s">
        <v>346</v>
      </c>
      <c r="F388" s="292" t="s">
        <v>703</v>
      </c>
      <c r="G388" s="289">
        <v>-34443</v>
      </c>
    </row>
    <row r="389" spans="1:7" x14ac:dyDescent="0.25">
      <c r="A389" s="292" t="s">
        <v>697</v>
      </c>
      <c r="B389" s="293">
        <v>2024</v>
      </c>
      <c r="C389" s="293">
        <v>9</v>
      </c>
      <c r="D389" s="292" t="s">
        <v>661</v>
      </c>
      <c r="E389" s="292" t="s">
        <v>346</v>
      </c>
      <c r="F389" s="292" t="s">
        <v>703</v>
      </c>
      <c r="G389" s="289">
        <v>-34443</v>
      </c>
    </row>
    <row r="390" spans="1:7" x14ac:dyDescent="0.25">
      <c r="A390" s="292" t="s">
        <v>697</v>
      </c>
      <c r="B390" s="293">
        <v>2024</v>
      </c>
      <c r="C390" s="293">
        <v>10</v>
      </c>
      <c r="D390" s="292" t="s">
        <v>661</v>
      </c>
      <c r="E390" s="292" t="s">
        <v>346</v>
      </c>
      <c r="F390" s="292" t="s">
        <v>703</v>
      </c>
      <c r="G390" s="289">
        <v>-34443</v>
      </c>
    </row>
    <row r="391" spans="1:7" x14ac:dyDescent="0.25">
      <c r="A391" s="292" t="s">
        <v>697</v>
      </c>
      <c r="B391" s="293">
        <v>2024</v>
      </c>
      <c r="C391" s="293">
        <v>11</v>
      </c>
      <c r="D391" s="292" t="s">
        <v>661</v>
      </c>
      <c r="E391" s="292" t="s">
        <v>346</v>
      </c>
      <c r="F391" s="292" t="s">
        <v>703</v>
      </c>
      <c r="G391" s="289">
        <v>-34443</v>
      </c>
    </row>
    <row r="392" spans="1:7" x14ac:dyDescent="0.25">
      <c r="A392" s="292" t="s">
        <v>697</v>
      </c>
      <c r="B392" s="293">
        <v>2024</v>
      </c>
      <c r="C392" s="293">
        <v>12</v>
      </c>
      <c r="D392" s="292" t="s">
        <v>661</v>
      </c>
      <c r="E392" s="292" t="s">
        <v>346</v>
      </c>
      <c r="F392" s="292" t="s">
        <v>703</v>
      </c>
      <c r="G392" s="289">
        <v>-34443</v>
      </c>
    </row>
    <row r="393" spans="1:7" x14ac:dyDescent="0.25">
      <c r="A393" s="292" t="s">
        <v>697</v>
      </c>
      <c r="B393" s="293">
        <v>2024</v>
      </c>
      <c r="C393" s="293">
        <v>0</v>
      </c>
      <c r="D393" s="292" t="s">
        <v>661</v>
      </c>
      <c r="E393" s="292" t="s">
        <v>359</v>
      </c>
      <c r="F393" s="292" t="s">
        <v>680</v>
      </c>
      <c r="G393" s="289">
        <v>4595241.9800000004</v>
      </c>
    </row>
    <row r="394" spans="1:7" x14ac:dyDescent="0.25">
      <c r="A394" s="292" t="s">
        <v>697</v>
      </c>
      <c r="B394" s="293">
        <v>2024</v>
      </c>
      <c r="C394" s="293">
        <v>3</v>
      </c>
      <c r="D394" s="292" t="s">
        <v>661</v>
      </c>
      <c r="E394" s="292" t="s">
        <v>359</v>
      </c>
      <c r="F394" s="292" t="s">
        <v>680</v>
      </c>
      <c r="G394" s="289">
        <v>725861.19</v>
      </c>
    </row>
    <row r="395" spans="1:7" x14ac:dyDescent="0.25">
      <c r="A395" s="292" t="s">
        <v>697</v>
      </c>
      <c r="B395" s="293">
        <v>2024</v>
      </c>
      <c r="C395" s="293">
        <v>6</v>
      </c>
      <c r="D395" s="292" t="s">
        <v>661</v>
      </c>
      <c r="E395" s="292" t="s">
        <v>359</v>
      </c>
      <c r="F395" s="292" t="s">
        <v>680</v>
      </c>
      <c r="G395" s="289">
        <v>104391.14</v>
      </c>
    </row>
    <row r="396" spans="1:7" x14ac:dyDescent="0.25">
      <c r="A396" s="292" t="s">
        <v>697</v>
      </c>
      <c r="B396" s="293">
        <v>2024</v>
      </c>
      <c r="C396" s="293">
        <v>7</v>
      </c>
      <c r="D396" s="292" t="s">
        <v>661</v>
      </c>
      <c r="E396" s="292" t="s">
        <v>359</v>
      </c>
      <c r="F396" s="292" t="s">
        <v>680</v>
      </c>
      <c r="G396" s="289">
        <v>-34758.080000000002</v>
      </c>
    </row>
    <row r="397" spans="1:7" x14ac:dyDescent="0.25">
      <c r="A397" s="292" t="s">
        <v>697</v>
      </c>
      <c r="B397" s="293">
        <v>2024</v>
      </c>
      <c r="C397" s="293">
        <v>8</v>
      </c>
      <c r="D397" s="292" t="s">
        <v>661</v>
      </c>
      <c r="E397" s="292" t="s">
        <v>359</v>
      </c>
      <c r="F397" s="292" t="s">
        <v>680</v>
      </c>
      <c r="G397" s="289">
        <v>689333.74</v>
      </c>
    </row>
    <row r="398" spans="1:7" x14ac:dyDescent="0.25">
      <c r="A398" s="292" t="s">
        <v>697</v>
      </c>
      <c r="B398" s="293">
        <v>2024</v>
      </c>
      <c r="C398" s="293">
        <v>9</v>
      </c>
      <c r="D398" s="292" t="s">
        <v>661</v>
      </c>
      <c r="E398" s="292" t="s">
        <v>359</v>
      </c>
      <c r="F398" s="292" t="s">
        <v>680</v>
      </c>
      <c r="G398" s="289">
        <v>1912685.96</v>
      </c>
    </row>
    <row r="399" spans="1:7" x14ac:dyDescent="0.25">
      <c r="A399" s="292" t="s">
        <v>697</v>
      </c>
      <c r="B399" s="293">
        <v>2024</v>
      </c>
      <c r="C399" s="293">
        <v>10</v>
      </c>
      <c r="D399" s="292" t="s">
        <v>661</v>
      </c>
      <c r="E399" s="292" t="s">
        <v>359</v>
      </c>
      <c r="F399" s="292" t="s">
        <v>680</v>
      </c>
      <c r="G399" s="289">
        <v>1644335.26</v>
      </c>
    </row>
    <row r="400" spans="1:7" x14ac:dyDescent="0.25">
      <c r="A400" s="292" t="s">
        <v>697</v>
      </c>
      <c r="B400" s="293">
        <v>2024</v>
      </c>
      <c r="C400" s="293">
        <v>11</v>
      </c>
      <c r="D400" s="292" t="s">
        <v>661</v>
      </c>
      <c r="E400" s="292" t="s">
        <v>359</v>
      </c>
      <c r="F400" s="292" t="s">
        <v>680</v>
      </c>
      <c r="G400" s="289">
        <v>744645.47</v>
      </c>
    </row>
    <row r="401" spans="1:7" x14ac:dyDescent="0.25">
      <c r="A401" s="292" t="s">
        <v>697</v>
      </c>
      <c r="B401" s="293">
        <v>2024</v>
      </c>
      <c r="C401" s="293">
        <v>12</v>
      </c>
      <c r="D401" s="292" t="s">
        <v>661</v>
      </c>
      <c r="E401" s="292" t="s">
        <v>359</v>
      </c>
      <c r="F401" s="292" t="s">
        <v>680</v>
      </c>
      <c r="G401" s="289">
        <v>741086.98</v>
      </c>
    </row>
    <row r="402" spans="1:7" x14ac:dyDescent="0.25">
      <c r="A402" s="292" t="s">
        <v>697</v>
      </c>
      <c r="B402" s="293">
        <v>2024</v>
      </c>
      <c r="C402" s="293">
        <v>0</v>
      </c>
      <c r="D402" s="292" t="s">
        <v>661</v>
      </c>
      <c r="E402" s="292" t="s">
        <v>360</v>
      </c>
      <c r="F402" s="292" t="s">
        <v>681</v>
      </c>
      <c r="G402" s="289">
        <v>834534.92</v>
      </c>
    </row>
    <row r="403" spans="1:7" x14ac:dyDescent="0.25">
      <c r="A403" s="292" t="s">
        <v>697</v>
      </c>
      <c r="B403" s="293">
        <v>2024</v>
      </c>
      <c r="C403" s="293">
        <v>1</v>
      </c>
      <c r="D403" s="292" t="s">
        <v>661</v>
      </c>
      <c r="E403" s="292" t="s">
        <v>360</v>
      </c>
      <c r="F403" s="292" t="s">
        <v>681</v>
      </c>
      <c r="G403" s="289">
        <v>259982.52</v>
      </c>
    </row>
    <row r="404" spans="1:7" x14ac:dyDescent="0.25">
      <c r="A404" s="292" t="s">
        <v>697</v>
      </c>
      <c r="B404" s="293">
        <v>2024</v>
      </c>
      <c r="C404" s="293">
        <v>3</v>
      </c>
      <c r="D404" s="292" t="s">
        <v>661</v>
      </c>
      <c r="E404" s="292" t="s">
        <v>360</v>
      </c>
      <c r="F404" s="292" t="s">
        <v>681</v>
      </c>
      <c r="G404" s="289">
        <v>-304473.12</v>
      </c>
    </row>
    <row r="405" spans="1:7" x14ac:dyDescent="0.25">
      <c r="A405" s="292" t="s">
        <v>697</v>
      </c>
      <c r="B405" s="293">
        <v>2024</v>
      </c>
      <c r="C405" s="293">
        <v>6</v>
      </c>
      <c r="D405" s="292" t="s">
        <v>661</v>
      </c>
      <c r="E405" s="292" t="s">
        <v>360</v>
      </c>
      <c r="F405" s="292" t="s">
        <v>681</v>
      </c>
      <c r="G405" s="289">
        <v>270305.07</v>
      </c>
    </row>
    <row r="406" spans="1:7" x14ac:dyDescent="0.25">
      <c r="A406" s="292" t="s">
        <v>697</v>
      </c>
      <c r="B406" s="293">
        <v>2024</v>
      </c>
      <c r="C406" s="293">
        <v>9</v>
      </c>
      <c r="D406" s="292" t="s">
        <v>661</v>
      </c>
      <c r="E406" s="292" t="s">
        <v>360</v>
      </c>
      <c r="F406" s="292" t="s">
        <v>681</v>
      </c>
      <c r="G406" s="289">
        <v>361931.64</v>
      </c>
    </row>
    <row r="407" spans="1:7" x14ac:dyDescent="0.25">
      <c r="A407" s="292" t="s">
        <v>697</v>
      </c>
      <c r="B407" s="293">
        <v>2024</v>
      </c>
      <c r="C407" s="293">
        <v>10</v>
      </c>
      <c r="D407" s="292" t="s">
        <v>661</v>
      </c>
      <c r="E407" s="292" t="s">
        <v>360</v>
      </c>
      <c r="F407" s="292" t="s">
        <v>681</v>
      </c>
      <c r="G407" s="289">
        <v>32204.97</v>
      </c>
    </row>
    <row r="408" spans="1:7" x14ac:dyDescent="0.25">
      <c r="A408" s="292" t="s">
        <v>697</v>
      </c>
      <c r="B408" s="293">
        <v>2024</v>
      </c>
      <c r="C408" s="293">
        <v>11</v>
      </c>
      <c r="D408" s="292" t="s">
        <v>661</v>
      </c>
      <c r="E408" s="292" t="s">
        <v>360</v>
      </c>
      <c r="F408" s="292" t="s">
        <v>681</v>
      </c>
      <c r="G408" s="289">
        <v>-2683.8</v>
      </c>
    </row>
    <row r="409" spans="1:7" x14ac:dyDescent="0.25">
      <c r="A409" s="292" t="s">
        <v>697</v>
      </c>
      <c r="B409" s="293">
        <v>2024</v>
      </c>
      <c r="C409" s="293">
        <v>12</v>
      </c>
      <c r="D409" s="292" t="s">
        <v>661</v>
      </c>
      <c r="E409" s="292" t="s">
        <v>360</v>
      </c>
      <c r="F409" s="292" t="s">
        <v>681</v>
      </c>
      <c r="G409" s="289">
        <v>-35400.959999999999</v>
      </c>
    </row>
    <row r="410" spans="1:7" x14ac:dyDescent="0.25">
      <c r="A410" s="292" t="s">
        <v>697</v>
      </c>
      <c r="B410" s="293">
        <v>2024</v>
      </c>
      <c r="C410" s="293">
        <v>0</v>
      </c>
      <c r="D410" s="292" t="s">
        <v>661</v>
      </c>
      <c r="E410" s="292" t="s">
        <v>363</v>
      </c>
      <c r="F410" s="292" t="s">
        <v>662</v>
      </c>
      <c r="G410" s="289">
        <v>242653.77</v>
      </c>
    </row>
    <row r="411" spans="1:7" x14ac:dyDescent="0.25">
      <c r="A411" s="292" t="s">
        <v>697</v>
      </c>
      <c r="B411" s="293">
        <v>2024</v>
      </c>
      <c r="C411" s="293">
        <v>7</v>
      </c>
      <c r="D411" s="292" t="s">
        <v>661</v>
      </c>
      <c r="E411" s="292" t="s">
        <v>363</v>
      </c>
      <c r="F411" s="292" t="s">
        <v>662</v>
      </c>
      <c r="G411" s="289">
        <v>119606.7</v>
      </c>
    </row>
    <row r="412" spans="1:7" x14ac:dyDescent="0.25">
      <c r="A412" s="292" t="s">
        <v>697</v>
      </c>
      <c r="B412" s="293">
        <v>2024</v>
      </c>
      <c r="C412" s="293">
        <v>8</v>
      </c>
      <c r="D412" s="292" t="s">
        <v>661</v>
      </c>
      <c r="E412" s="292" t="s">
        <v>363</v>
      </c>
      <c r="F412" s="292" t="s">
        <v>662</v>
      </c>
      <c r="G412" s="289">
        <v>-13744.16</v>
      </c>
    </row>
    <row r="413" spans="1:7" x14ac:dyDescent="0.25">
      <c r="A413" s="292" t="s">
        <v>697</v>
      </c>
      <c r="B413" s="293">
        <v>2024</v>
      </c>
      <c r="C413" s="293">
        <v>9</v>
      </c>
      <c r="D413" s="292" t="s">
        <v>661</v>
      </c>
      <c r="E413" s="292" t="s">
        <v>363</v>
      </c>
      <c r="F413" s="292" t="s">
        <v>662</v>
      </c>
      <c r="G413" s="289">
        <v>-12738.58</v>
      </c>
    </row>
    <row r="414" spans="1:7" x14ac:dyDescent="0.25">
      <c r="A414" s="292" t="s">
        <v>697</v>
      </c>
      <c r="B414" s="293">
        <v>2024</v>
      </c>
      <c r="C414" s="293">
        <v>10</v>
      </c>
      <c r="D414" s="292" t="s">
        <v>661</v>
      </c>
      <c r="E414" s="292" t="s">
        <v>363</v>
      </c>
      <c r="F414" s="292" t="s">
        <v>662</v>
      </c>
      <c r="G414" s="289">
        <v>-354349.96</v>
      </c>
    </row>
    <row r="415" spans="1:7" x14ac:dyDescent="0.25">
      <c r="A415" s="292" t="s">
        <v>697</v>
      </c>
      <c r="B415" s="293">
        <v>2024</v>
      </c>
      <c r="C415" s="293">
        <v>11</v>
      </c>
      <c r="D415" s="292" t="s">
        <v>661</v>
      </c>
      <c r="E415" s="292" t="s">
        <v>363</v>
      </c>
      <c r="F415" s="292" t="s">
        <v>662</v>
      </c>
      <c r="G415" s="289">
        <v>254809.76</v>
      </c>
    </row>
    <row r="416" spans="1:7" x14ac:dyDescent="0.25">
      <c r="A416" s="292" t="s">
        <v>697</v>
      </c>
      <c r="B416" s="293">
        <v>2024</v>
      </c>
      <c r="C416" s="293">
        <v>12</v>
      </c>
      <c r="D416" s="292" t="s">
        <v>661</v>
      </c>
      <c r="E416" s="292" t="s">
        <v>363</v>
      </c>
      <c r="F416" s="292" t="s">
        <v>662</v>
      </c>
      <c r="G416" s="289">
        <v>-22224.720000000001</v>
      </c>
    </row>
    <row r="417" spans="1:7" x14ac:dyDescent="0.25">
      <c r="A417" s="292" t="s">
        <v>697</v>
      </c>
      <c r="B417" s="293">
        <v>2024</v>
      </c>
      <c r="C417" s="293">
        <v>10</v>
      </c>
      <c r="D417" s="292" t="s">
        <v>661</v>
      </c>
      <c r="E417" s="292" t="s">
        <v>669</v>
      </c>
      <c r="F417" s="292" t="s">
        <v>670</v>
      </c>
      <c r="G417" s="289">
        <v>0</v>
      </c>
    </row>
    <row r="418" spans="1:7" x14ac:dyDescent="0.25">
      <c r="A418" s="292" t="s">
        <v>697</v>
      </c>
      <c r="B418" s="293">
        <v>2024</v>
      </c>
      <c r="C418" s="293">
        <v>0</v>
      </c>
      <c r="D418" s="292" t="s">
        <v>661</v>
      </c>
      <c r="E418" s="292" t="s">
        <v>365</v>
      </c>
      <c r="F418" s="292" t="s">
        <v>364</v>
      </c>
      <c r="G418" s="289">
        <v>28349.919999999998</v>
      </c>
    </row>
    <row r="419" spans="1:7" x14ac:dyDescent="0.25">
      <c r="A419" s="292" t="s">
        <v>697</v>
      </c>
      <c r="B419" s="293">
        <v>2024</v>
      </c>
      <c r="C419" s="293">
        <v>3</v>
      </c>
      <c r="D419" s="292" t="s">
        <v>661</v>
      </c>
      <c r="E419" s="292" t="s">
        <v>365</v>
      </c>
      <c r="F419" s="292" t="s">
        <v>364</v>
      </c>
      <c r="G419" s="289">
        <v>9975</v>
      </c>
    </row>
    <row r="420" spans="1:7" x14ac:dyDescent="0.25">
      <c r="A420" s="292" t="s">
        <v>697</v>
      </c>
      <c r="B420" s="293">
        <v>2024</v>
      </c>
      <c r="C420" s="293">
        <v>7</v>
      </c>
      <c r="D420" s="292" t="s">
        <v>661</v>
      </c>
      <c r="E420" s="292" t="s">
        <v>365</v>
      </c>
      <c r="F420" s="292" t="s">
        <v>364</v>
      </c>
      <c r="G420" s="289">
        <v>25714.5</v>
      </c>
    </row>
    <row r="421" spans="1:7" x14ac:dyDescent="0.25">
      <c r="A421" s="292" t="s">
        <v>697</v>
      </c>
      <c r="B421" s="293">
        <v>2024</v>
      </c>
      <c r="C421" s="293">
        <v>0</v>
      </c>
      <c r="D421" s="292" t="s">
        <v>661</v>
      </c>
      <c r="E421" s="292" t="s">
        <v>367</v>
      </c>
      <c r="F421" s="292" t="s">
        <v>366</v>
      </c>
      <c r="G421" s="289">
        <v>1160782.5900000001</v>
      </c>
    </row>
    <row r="422" spans="1:7" x14ac:dyDescent="0.25">
      <c r="A422" s="292" t="s">
        <v>697</v>
      </c>
      <c r="B422" s="293">
        <v>2024</v>
      </c>
      <c r="C422" s="293">
        <v>10</v>
      </c>
      <c r="D422" s="292" t="s">
        <v>661</v>
      </c>
      <c r="E422" s="292" t="s">
        <v>367</v>
      </c>
      <c r="F422" s="292" t="s">
        <v>366</v>
      </c>
      <c r="G422" s="289">
        <v>-131112.26999999999</v>
      </c>
    </row>
    <row r="423" spans="1:7" x14ac:dyDescent="0.25">
      <c r="A423" s="292" t="s">
        <v>697</v>
      </c>
      <c r="B423" s="293">
        <v>2024</v>
      </c>
      <c r="C423" s="293">
        <v>12</v>
      </c>
      <c r="D423" s="292" t="s">
        <v>661</v>
      </c>
      <c r="E423" s="292" t="s">
        <v>367</v>
      </c>
      <c r="F423" s="292" t="s">
        <v>366</v>
      </c>
      <c r="G423" s="289">
        <v>1517644.59</v>
      </c>
    </row>
    <row r="424" spans="1:7" x14ac:dyDescent="0.25">
      <c r="A424" s="292" t="s">
        <v>697</v>
      </c>
      <c r="B424" s="293">
        <v>2024</v>
      </c>
      <c r="C424" s="293">
        <v>0</v>
      </c>
      <c r="D424" s="292" t="s">
        <v>661</v>
      </c>
      <c r="E424" s="292" t="s">
        <v>368</v>
      </c>
      <c r="F424" s="292" t="s">
        <v>682</v>
      </c>
      <c r="G424" s="289">
        <v>332956.52</v>
      </c>
    </row>
    <row r="425" spans="1:7" x14ac:dyDescent="0.25">
      <c r="A425" s="292" t="s">
        <v>697</v>
      </c>
      <c r="B425" s="293">
        <v>2024</v>
      </c>
      <c r="C425" s="293">
        <v>1</v>
      </c>
      <c r="D425" s="292" t="s">
        <v>661</v>
      </c>
      <c r="E425" s="292" t="s">
        <v>368</v>
      </c>
      <c r="F425" s="292" t="s">
        <v>682</v>
      </c>
      <c r="G425" s="289">
        <v>694.62</v>
      </c>
    </row>
    <row r="426" spans="1:7" x14ac:dyDescent="0.25">
      <c r="A426" s="292" t="s">
        <v>697</v>
      </c>
      <c r="B426" s="293">
        <v>2024</v>
      </c>
      <c r="C426" s="293">
        <v>2</v>
      </c>
      <c r="D426" s="292" t="s">
        <v>661</v>
      </c>
      <c r="E426" s="292" t="s">
        <v>368</v>
      </c>
      <c r="F426" s="292" t="s">
        <v>682</v>
      </c>
      <c r="G426" s="289">
        <v>731.09</v>
      </c>
    </row>
    <row r="427" spans="1:7" x14ac:dyDescent="0.25">
      <c r="A427" s="292" t="s">
        <v>697</v>
      </c>
      <c r="B427" s="293">
        <v>2024</v>
      </c>
      <c r="C427" s="293">
        <v>3</v>
      </c>
      <c r="D427" s="292" t="s">
        <v>661</v>
      </c>
      <c r="E427" s="292" t="s">
        <v>368</v>
      </c>
      <c r="F427" s="292" t="s">
        <v>682</v>
      </c>
      <c r="G427" s="289">
        <v>-306148.5</v>
      </c>
    </row>
    <row r="428" spans="1:7" x14ac:dyDescent="0.25">
      <c r="A428" s="292" t="s">
        <v>697</v>
      </c>
      <c r="B428" s="293">
        <v>2024</v>
      </c>
      <c r="C428" s="293">
        <v>4</v>
      </c>
      <c r="D428" s="292" t="s">
        <v>661</v>
      </c>
      <c r="E428" s="292" t="s">
        <v>368</v>
      </c>
      <c r="F428" s="292" t="s">
        <v>682</v>
      </c>
      <c r="G428" s="289">
        <v>348.92</v>
      </c>
    </row>
    <row r="429" spans="1:7" x14ac:dyDescent="0.25">
      <c r="A429" s="292" t="s">
        <v>697</v>
      </c>
      <c r="B429" s="293">
        <v>2024</v>
      </c>
      <c r="C429" s="293">
        <v>5</v>
      </c>
      <c r="D429" s="292" t="s">
        <v>661</v>
      </c>
      <c r="E429" s="292" t="s">
        <v>368</v>
      </c>
      <c r="F429" s="292" t="s">
        <v>682</v>
      </c>
      <c r="G429" s="289">
        <v>523.39</v>
      </c>
    </row>
    <row r="430" spans="1:7" x14ac:dyDescent="0.25">
      <c r="A430" s="292" t="s">
        <v>697</v>
      </c>
      <c r="B430" s="293">
        <v>2024</v>
      </c>
      <c r="C430" s="293">
        <v>6</v>
      </c>
      <c r="D430" s="292" t="s">
        <v>661</v>
      </c>
      <c r="E430" s="292" t="s">
        <v>368</v>
      </c>
      <c r="F430" s="292" t="s">
        <v>682</v>
      </c>
      <c r="G430" s="289">
        <v>4879.97</v>
      </c>
    </row>
    <row r="431" spans="1:7" x14ac:dyDescent="0.25">
      <c r="A431" s="292" t="s">
        <v>697</v>
      </c>
      <c r="B431" s="293">
        <v>2024</v>
      </c>
      <c r="C431" s="293">
        <v>7</v>
      </c>
      <c r="D431" s="292" t="s">
        <v>661</v>
      </c>
      <c r="E431" s="292" t="s">
        <v>368</v>
      </c>
      <c r="F431" s="292" t="s">
        <v>682</v>
      </c>
      <c r="G431" s="289">
        <v>348.92</v>
      </c>
    </row>
    <row r="432" spans="1:7" x14ac:dyDescent="0.25">
      <c r="A432" s="292" t="s">
        <v>697</v>
      </c>
      <c r="B432" s="293">
        <v>2024</v>
      </c>
      <c r="C432" s="293">
        <v>8</v>
      </c>
      <c r="D432" s="292" t="s">
        <v>661</v>
      </c>
      <c r="E432" s="292" t="s">
        <v>368</v>
      </c>
      <c r="F432" s="292" t="s">
        <v>682</v>
      </c>
      <c r="G432" s="289">
        <v>348.92</v>
      </c>
    </row>
    <row r="433" spans="1:7" x14ac:dyDescent="0.25">
      <c r="A433" s="292" t="s">
        <v>697</v>
      </c>
      <c r="B433" s="293">
        <v>2024</v>
      </c>
      <c r="C433" s="293">
        <v>9</v>
      </c>
      <c r="D433" s="292" t="s">
        <v>661</v>
      </c>
      <c r="E433" s="292" t="s">
        <v>368</v>
      </c>
      <c r="F433" s="292" t="s">
        <v>682</v>
      </c>
      <c r="G433" s="289">
        <v>6677.44</v>
      </c>
    </row>
    <row r="434" spans="1:7" x14ac:dyDescent="0.25">
      <c r="A434" s="292" t="s">
        <v>697</v>
      </c>
      <c r="B434" s="293">
        <v>2024</v>
      </c>
      <c r="C434" s="293">
        <v>10</v>
      </c>
      <c r="D434" s="292" t="s">
        <v>661</v>
      </c>
      <c r="E434" s="292" t="s">
        <v>368</v>
      </c>
      <c r="F434" s="292" t="s">
        <v>682</v>
      </c>
      <c r="G434" s="289">
        <v>349.01</v>
      </c>
    </row>
    <row r="435" spans="1:7" x14ac:dyDescent="0.25">
      <c r="A435" s="292" t="s">
        <v>697</v>
      </c>
      <c r="B435" s="293">
        <v>2024</v>
      </c>
      <c r="C435" s="293">
        <v>11</v>
      </c>
      <c r="D435" s="292" t="s">
        <v>661</v>
      </c>
      <c r="E435" s="292" t="s">
        <v>368</v>
      </c>
      <c r="F435" s="292" t="s">
        <v>682</v>
      </c>
      <c r="G435" s="289">
        <v>6012.96</v>
      </c>
    </row>
    <row r="436" spans="1:7" x14ac:dyDescent="0.25">
      <c r="A436" s="292" t="s">
        <v>697</v>
      </c>
      <c r="B436" s="293">
        <v>2024</v>
      </c>
      <c r="C436" s="293">
        <v>12</v>
      </c>
      <c r="D436" s="292" t="s">
        <v>661</v>
      </c>
      <c r="E436" s="292" t="s">
        <v>368</v>
      </c>
      <c r="F436" s="292" t="s">
        <v>682</v>
      </c>
      <c r="G436" s="289">
        <v>188.65</v>
      </c>
    </row>
    <row r="437" spans="1:7" x14ac:dyDescent="0.25">
      <c r="A437" s="292" t="s">
        <v>697</v>
      </c>
      <c r="B437" s="293">
        <v>2024</v>
      </c>
      <c r="C437" s="293">
        <v>0</v>
      </c>
      <c r="D437" s="292" t="s">
        <v>661</v>
      </c>
      <c r="E437" s="292" t="s">
        <v>369</v>
      </c>
      <c r="F437" s="292" t="s">
        <v>704</v>
      </c>
      <c r="G437" s="289">
        <v>7279843.4100000001</v>
      </c>
    </row>
    <row r="438" spans="1:7" x14ac:dyDescent="0.25">
      <c r="A438" s="292" t="s">
        <v>697</v>
      </c>
      <c r="B438" s="293">
        <v>2024</v>
      </c>
      <c r="C438" s="293">
        <v>1</v>
      </c>
      <c r="D438" s="292" t="s">
        <v>661</v>
      </c>
      <c r="E438" s="292" t="s">
        <v>369</v>
      </c>
      <c r="F438" s="292" t="s">
        <v>704</v>
      </c>
      <c r="G438" s="289">
        <v>-93168.6</v>
      </c>
    </row>
    <row r="439" spans="1:7" x14ac:dyDescent="0.25">
      <c r="A439" s="292" t="s">
        <v>697</v>
      </c>
      <c r="B439" s="293">
        <v>2024</v>
      </c>
      <c r="C439" s="293">
        <v>6</v>
      </c>
      <c r="D439" s="292" t="s">
        <v>661</v>
      </c>
      <c r="E439" s="292" t="s">
        <v>369</v>
      </c>
      <c r="F439" s="292" t="s">
        <v>704</v>
      </c>
      <c r="G439" s="289">
        <v>2119696.5299999998</v>
      </c>
    </row>
    <row r="440" spans="1:7" x14ac:dyDescent="0.25">
      <c r="A440" s="292" t="s">
        <v>697</v>
      </c>
      <c r="B440" s="293">
        <v>2024</v>
      </c>
      <c r="C440" s="293">
        <v>8</v>
      </c>
      <c r="D440" s="292" t="s">
        <v>661</v>
      </c>
      <c r="E440" s="292" t="s">
        <v>369</v>
      </c>
      <c r="F440" s="292" t="s">
        <v>704</v>
      </c>
      <c r="G440" s="289">
        <v>-150306.54999999999</v>
      </c>
    </row>
    <row r="441" spans="1:7" x14ac:dyDescent="0.25">
      <c r="A441" s="292" t="s">
        <v>697</v>
      </c>
      <c r="B441" s="293">
        <v>2024</v>
      </c>
      <c r="C441" s="293">
        <v>9</v>
      </c>
      <c r="D441" s="292" t="s">
        <v>661</v>
      </c>
      <c r="E441" s="292" t="s">
        <v>369</v>
      </c>
      <c r="F441" s="292" t="s">
        <v>704</v>
      </c>
      <c r="G441" s="289">
        <v>-17174.73</v>
      </c>
    </row>
    <row r="442" spans="1:7" x14ac:dyDescent="0.25">
      <c r="A442" s="292" t="s">
        <v>697</v>
      </c>
      <c r="B442" s="293">
        <v>2024</v>
      </c>
      <c r="C442" s="293">
        <v>10</v>
      </c>
      <c r="D442" s="292" t="s">
        <v>661</v>
      </c>
      <c r="E442" s="292" t="s">
        <v>369</v>
      </c>
      <c r="F442" s="292" t="s">
        <v>704</v>
      </c>
      <c r="G442" s="289">
        <v>-18609.02</v>
      </c>
    </row>
    <row r="443" spans="1:7" x14ac:dyDescent="0.25">
      <c r="A443" s="292" t="s">
        <v>697</v>
      </c>
      <c r="B443" s="293">
        <v>2024</v>
      </c>
      <c r="C443" s="293">
        <v>11</v>
      </c>
      <c r="D443" s="292" t="s">
        <v>661</v>
      </c>
      <c r="E443" s="292" t="s">
        <v>369</v>
      </c>
      <c r="F443" s="292" t="s">
        <v>704</v>
      </c>
      <c r="G443" s="289">
        <v>-18609.04</v>
      </c>
    </row>
    <row r="444" spans="1:7" x14ac:dyDescent="0.25">
      <c r="A444" s="292" t="s">
        <v>697</v>
      </c>
      <c r="B444" s="293">
        <v>2024</v>
      </c>
      <c r="C444" s="293">
        <v>12</v>
      </c>
      <c r="D444" s="292" t="s">
        <v>661</v>
      </c>
      <c r="E444" s="292" t="s">
        <v>369</v>
      </c>
      <c r="F444" s="292" t="s">
        <v>704</v>
      </c>
      <c r="G444" s="289">
        <v>1157296.92</v>
      </c>
    </row>
    <row r="445" spans="1:7" x14ac:dyDescent="0.25">
      <c r="A445" s="292" t="s">
        <v>697</v>
      </c>
      <c r="B445" s="293">
        <v>2024</v>
      </c>
      <c r="C445" s="293">
        <v>6</v>
      </c>
      <c r="D445" s="292" t="s">
        <v>661</v>
      </c>
      <c r="E445" s="292" t="s">
        <v>372</v>
      </c>
      <c r="F445" s="292" t="s">
        <v>684</v>
      </c>
      <c r="G445" s="289">
        <v>2515688.4700000002</v>
      </c>
    </row>
    <row r="446" spans="1:7" x14ac:dyDescent="0.25">
      <c r="A446" s="292" t="s">
        <v>697</v>
      </c>
      <c r="B446" s="293">
        <v>2024</v>
      </c>
      <c r="C446" s="293">
        <v>7</v>
      </c>
      <c r="D446" s="292" t="s">
        <v>661</v>
      </c>
      <c r="E446" s="292" t="s">
        <v>372</v>
      </c>
      <c r="F446" s="292" t="s">
        <v>684</v>
      </c>
      <c r="G446" s="289">
        <v>-3694619.02</v>
      </c>
    </row>
    <row r="447" spans="1:7" x14ac:dyDescent="0.25">
      <c r="A447" s="292" t="s">
        <v>697</v>
      </c>
      <c r="B447" s="293">
        <v>2024</v>
      </c>
      <c r="C447" s="293">
        <v>9</v>
      </c>
      <c r="D447" s="292" t="s">
        <v>661</v>
      </c>
      <c r="E447" s="292" t="s">
        <v>372</v>
      </c>
      <c r="F447" s="292" t="s">
        <v>684</v>
      </c>
      <c r="G447" s="289">
        <v>5758504.3399999999</v>
      </c>
    </row>
    <row r="448" spans="1:7" x14ac:dyDescent="0.25">
      <c r="A448" s="292" t="s">
        <v>697</v>
      </c>
      <c r="B448" s="293">
        <v>2024</v>
      </c>
      <c r="C448" s="293">
        <v>10</v>
      </c>
      <c r="D448" s="292" t="s">
        <v>661</v>
      </c>
      <c r="E448" s="292" t="s">
        <v>372</v>
      </c>
      <c r="F448" s="292" t="s">
        <v>684</v>
      </c>
      <c r="G448" s="289">
        <v>-4475126.3499999996</v>
      </c>
    </row>
    <row r="449" spans="1:7" x14ac:dyDescent="0.25">
      <c r="A449" s="292" t="s">
        <v>697</v>
      </c>
      <c r="B449" s="293">
        <v>2024</v>
      </c>
      <c r="C449" s="293">
        <v>11</v>
      </c>
      <c r="D449" s="292" t="s">
        <v>661</v>
      </c>
      <c r="E449" s="292" t="s">
        <v>372</v>
      </c>
      <c r="F449" s="292" t="s">
        <v>684</v>
      </c>
      <c r="G449" s="289">
        <v>2847491.4</v>
      </c>
    </row>
    <row r="450" spans="1:7" x14ac:dyDescent="0.25">
      <c r="A450" s="292" t="s">
        <v>697</v>
      </c>
      <c r="B450" s="293">
        <v>2024</v>
      </c>
      <c r="C450" s="293">
        <v>12</v>
      </c>
      <c r="D450" s="292" t="s">
        <v>661</v>
      </c>
      <c r="E450" s="292" t="s">
        <v>372</v>
      </c>
      <c r="F450" s="292" t="s">
        <v>684</v>
      </c>
      <c r="G450" s="289">
        <v>-373861.54</v>
      </c>
    </row>
    <row r="451" spans="1:7" x14ac:dyDescent="0.25">
      <c r="A451" s="292" t="s">
        <v>697</v>
      </c>
      <c r="B451" s="293">
        <v>2024</v>
      </c>
      <c r="C451" s="293">
        <v>12</v>
      </c>
      <c r="D451" s="292" t="s">
        <v>661</v>
      </c>
      <c r="E451" s="292" t="s">
        <v>373</v>
      </c>
      <c r="F451" s="292" t="s">
        <v>705</v>
      </c>
      <c r="G451" s="289">
        <v>0</v>
      </c>
    </row>
    <row r="452" spans="1:7" x14ac:dyDescent="0.25">
      <c r="A452" s="292" t="s">
        <v>697</v>
      </c>
      <c r="B452" s="293">
        <v>2024</v>
      </c>
      <c r="C452" s="293">
        <v>0</v>
      </c>
      <c r="D452" s="292" t="s">
        <v>661</v>
      </c>
      <c r="E452" s="292" t="s">
        <v>375</v>
      </c>
      <c r="F452" s="292" t="s">
        <v>685</v>
      </c>
      <c r="G452" s="289">
        <v>18975463.09</v>
      </c>
    </row>
    <row r="453" spans="1:7" x14ac:dyDescent="0.25">
      <c r="A453" s="292" t="s">
        <v>697</v>
      </c>
      <c r="B453" s="293">
        <v>2024</v>
      </c>
      <c r="C453" s="293">
        <v>1</v>
      </c>
      <c r="D453" s="292" t="s">
        <v>661</v>
      </c>
      <c r="E453" s="292" t="s">
        <v>375</v>
      </c>
      <c r="F453" s="292" t="s">
        <v>685</v>
      </c>
      <c r="G453" s="289">
        <v>-1149332.74</v>
      </c>
    </row>
    <row r="454" spans="1:7" x14ac:dyDescent="0.25">
      <c r="A454" s="292" t="s">
        <v>697</v>
      </c>
      <c r="B454" s="293">
        <v>2024</v>
      </c>
      <c r="C454" s="293">
        <v>2</v>
      </c>
      <c r="D454" s="292" t="s">
        <v>661</v>
      </c>
      <c r="E454" s="292" t="s">
        <v>375</v>
      </c>
      <c r="F454" s="292" t="s">
        <v>685</v>
      </c>
      <c r="G454" s="289">
        <v>-2947669.49</v>
      </c>
    </row>
    <row r="455" spans="1:7" x14ac:dyDescent="0.25">
      <c r="A455" s="292" t="s">
        <v>697</v>
      </c>
      <c r="B455" s="293">
        <v>2024</v>
      </c>
      <c r="C455" s="293">
        <v>3</v>
      </c>
      <c r="D455" s="292" t="s">
        <v>661</v>
      </c>
      <c r="E455" s="292" t="s">
        <v>375</v>
      </c>
      <c r="F455" s="292" t="s">
        <v>685</v>
      </c>
      <c r="G455" s="289">
        <v>4080788.4</v>
      </c>
    </row>
    <row r="456" spans="1:7" x14ac:dyDescent="0.25">
      <c r="A456" s="292" t="s">
        <v>697</v>
      </c>
      <c r="B456" s="293">
        <v>2024</v>
      </c>
      <c r="C456" s="293">
        <v>4</v>
      </c>
      <c r="D456" s="292" t="s">
        <v>661</v>
      </c>
      <c r="E456" s="292" t="s">
        <v>375</v>
      </c>
      <c r="F456" s="292" t="s">
        <v>685</v>
      </c>
      <c r="G456" s="289">
        <v>-33094.9</v>
      </c>
    </row>
    <row r="457" spans="1:7" x14ac:dyDescent="0.25">
      <c r="A457" s="292" t="s">
        <v>697</v>
      </c>
      <c r="B457" s="293">
        <v>2024</v>
      </c>
      <c r="C457" s="293">
        <v>5</v>
      </c>
      <c r="D457" s="292" t="s">
        <v>661</v>
      </c>
      <c r="E457" s="292" t="s">
        <v>375</v>
      </c>
      <c r="F457" s="292" t="s">
        <v>685</v>
      </c>
      <c r="G457" s="289">
        <v>213088.73</v>
      </c>
    </row>
    <row r="458" spans="1:7" x14ac:dyDescent="0.25">
      <c r="A458" s="292" t="s">
        <v>697</v>
      </c>
      <c r="B458" s="293">
        <v>2024</v>
      </c>
      <c r="C458" s="293">
        <v>6</v>
      </c>
      <c r="D458" s="292" t="s">
        <v>661</v>
      </c>
      <c r="E458" s="292" t="s">
        <v>375</v>
      </c>
      <c r="F458" s="292" t="s">
        <v>685</v>
      </c>
      <c r="G458" s="289">
        <v>2963292.92</v>
      </c>
    </row>
    <row r="459" spans="1:7" x14ac:dyDescent="0.25">
      <c r="A459" s="292" t="s">
        <v>697</v>
      </c>
      <c r="B459" s="293">
        <v>2024</v>
      </c>
      <c r="C459" s="293">
        <v>7</v>
      </c>
      <c r="D459" s="292" t="s">
        <v>661</v>
      </c>
      <c r="E459" s="292" t="s">
        <v>375</v>
      </c>
      <c r="F459" s="292" t="s">
        <v>685</v>
      </c>
      <c r="G459" s="289">
        <v>1259844.92</v>
      </c>
    </row>
    <row r="460" spans="1:7" x14ac:dyDescent="0.25">
      <c r="A460" s="292" t="s">
        <v>697</v>
      </c>
      <c r="B460" s="293">
        <v>2024</v>
      </c>
      <c r="C460" s="293">
        <v>8</v>
      </c>
      <c r="D460" s="292" t="s">
        <v>661</v>
      </c>
      <c r="E460" s="292" t="s">
        <v>375</v>
      </c>
      <c r="F460" s="292" t="s">
        <v>685</v>
      </c>
      <c r="G460" s="289">
        <v>1049998.45</v>
      </c>
    </row>
    <row r="461" spans="1:7" x14ac:dyDescent="0.25">
      <c r="A461" s="292" t="s">
        <v>697</v>
      </c>
      <c r="B461" s="293">
        <v>2024</v>
      </c>
      <c r="C461" s="293">
        <v>9</v>
      </c>
      <c r="D461" s="292" t="s">
        <v>661</v>
      </c>
      <c r="E461" s="292" t="s">
        <v>375</v>
      </c>
      <c r="F461" s="292" t="s">
        <v>685</v>
      </c>
      <c r="G461" s="289">
        <v>4395418.6399999997</v>
      </c>
    </row>
    <row r="462" spans="1:7" x14ac:dyDescent="0.25">
      <c r="A462" s="292" t="s">
        <v>697</v>
      </c>
      <c r="B462" s="293">
        <v>2024</v>
      </c>
      <c r="C462" s="293">
        <v>10</v>
      </c>
      <c r="D462" s="292" t="s">
        <v>661</v>
      </c>
      <c r="E462" s="292" t="s">
        <v>375</v>
      </c>
      <c r="F462" s="292" t="s">
        <v>685</v>
      </c>
      <c r="G462" s="289">
        <v>-2048607.96</v>
      </c>
    </row>
    <row r="463" spans="1:7" x14ac:dyDescent="0.25">
      <c r="A463" s="292" t="s">
        <v>697</v>
      </c>
      <c r="B463" s="293">
        <v>2024</v>
      </c>
      <c r="C463" s="293">
        <v>11</v>
      </c>
      <c r="D463" s="292" t="s">
        <v>661</v>
      </c>
      <c r="E463" s="292" t="s">
        <v>375</v>
      </c>
      <c r="F463" s="292" t="s">
        <v>685</v>
      </c>
      <c r="G463" s="289">
        <v>-4700995.4000000004</v>
      </c>
    </row>
    <row r="464" spans="1:7" x14ac:dyDescent="0.25">
      <c r="A464" s="292" t="s">
        <v>697</v>
      </c>
      <c r="B464" s="293">
        <v>2024</v>
      </c>
      <c r="C464" s="293">
        <v>12</v>
      </c>
      <c r="D464" s="292" t="s">
        <v>661</v>
      </c>
      <c r="E464" s="292" t="s">
        <v>375</v>
      </c>
      <c r="F464" s="292" t="s">
        <v>685</v>
      </c>
      <c r="G464" s="289">
        <v>-3815936.36</v>
      </c>
    </row>
    <row r="465" spans="1:7" x14ac:dyDescent="0.25">
      <c r="A465" s="292" t="s">
        <v>697</v>
      </c>
      <c r="B465" s="293">
        <v>2024</v>
      </c>
      <c r="C465" s="293">
        <v>0</v>
      </c>
      <c r="D465" s="292" t="s">
        <v>661</v>
      </c>
      <c r="E465" s="292" t="s">
        <v>377</v>
      </c>
      <c r="F465" s="292" t="s">
        <v>706</v>
      </c>
      <c r="G465" s="289">
        <v>34055.910000000003</v>
      </c>
    </row>
    <row r="466" spans="1:7" x14ac:dyDescent="0.25">
      <c r="A466" s="292" t="s">
        <v>697</v>
      </c>
      <c r="B466" s="293">
        <v>2024</v>
      </c>
      <c r="C466" s="293">
        <v>6</v>
      </c>
      <c r="D466" s="292" t="s">
        <v>661</v>
      </c>
      <c r="E466" s="292" t="s">
        <v>377</v>
      </c>
      <c r="F466" s="292" t="s">
        <v>706</v>
      </c>
      <c r="G466" s="289">
        <v>-17434.95</v>
      </c>
    </row>
    <row r="467" spans="1:7" x14ac:dyDescent="0.25">
      <c r="A467" s="292" t="s">
        <v>697</v>
      </c>
      <c r="B467" s="293">
        <v>2024</v>
      </c>
      <c r="C467" s="293">
        <v>9</v>
      </c>
      <c r="D467" s="292" t="s">
        <v>661</v>
      </c>
      <c r="E467" s="292" t="s">
        <v>377</v>
      </c>
      <c r="F467" s="292" t="s">
        <v>706</v>
      </c>
      <c r="G467" s="289">
        <v>146176.45000000001</v>
      </c>
    </row>
    <row r="468" spans="1:7" x14ac:dyDescent="0.25">
      <c r="A468" s="292" t="s">
        <v>697</v>
      </c>
      <c r="B468" s="293">
        <v>2024</v>
      </c>
      <c r="C468" s="293">
        <v>10</v>
      </c>
      <c r="D468" s="292" t="s">
        <v>661</v>
      </c>
      <c r="E468" s="292" t="s">
        <v>377</v>
      </c>
      <c r="F468" s="292" t="s">
        <v>706</v>
      </c>
      <c r="G468" s="289">
        <v>0.11</v>
      </c>
    </row>
    <row r="469" spans="1:7" x14ac:dyDescent="0.25">
      <c r="A469" s="292" t="s">
        <v>697</v>
      </c>
      <c r="B469" s="293">
        <v>2024</v>
      </c>
      <c r="C469" s="293">
        <v>11</v>
      </c>
      <c r="D469" s="292" t="s">
        <v>661</v>
      </c>
      <c r="E469" s="292" t="s">
        <v>377</v>
      </c>
      <c r="F469" s="292" t="s">
        <v>706</v>
      </c>
      <c r="G469" s="289">
        <v>-0.01</v>
      </c>
    </row>
    <row r="470" spans="1:7" x14ac:dyDescent="0.25">
      <c r="A470" s="292" t="s">
        <v>697</v>
      </c>
      <c r="B470" s="293">
        <v>2024</v>
      </c>
      <c r="C470" s="293">
        <v>12</v>
      </c>
      <c r="D470" s="292" t="s">
        <v>661</v>
      </c>
      <c r="E470" s="292" t="s">
        <v>377</v>
      </c>
      <c r="F470" s="292" t="s">
        <v>706</v>
      </c>
      <c r="G470" s="289">
        <v>-126461.38</v>
      </c>
    </row>
    <row r="471" spans="1:7" x14ac:dyDescent="0.25">
      <c r="A471" s="292" t="s">
        <v>697</v>
      </c>
      <c r="B471" s="293">
        <v>2024</v>
      </c>
      <c r="C471" s="293">
        <v>0</v>
      </c>
      <c r="D471" s="292" t="s">
        <v>661</v>
      </c>
      <c r="E471" s="292" t="s">
        <v>378</v>
      </c>
      <c r="F471" s="292" t="s">
        <v>707</v>
      </c>
      <c r="G471" s="289">
        <v>7367082.6900000004</v>
      </c>
    </row>
    <row r="472" spans="1:7" x14ac:dyDescent="0.25">
      <c r="A472" s="292" t="s">
        <v>697</v>
      </c>
      <c r="B472" s="293">
        <v>2024</v>
      </c>
      <c r="C472" s="293">
        <v>3</v>
      </c>
      <c r="D472" s="292" t="s">
        <v>661</v>
      </c>
      <c r="E472" s="292" t="s">
        <v>378</v>
      </c>
      <c r="F472" s="292" t="s">
        <v>707</v>
      </c>
      <c r="G472" s="289">
        <v>-78211.94</v>
      </c>
    </row>
    <row r="473" spans="1:7" x14ac:dyDescent="0.25">
      <c r="A473" s="292" t="s">
        <v>697</v>
      </c>
      <c r="B473" s="293">
        <v>2024</v>
      </c>
      <c r="C473" s="293">
        <v>6</v>
      </c>
      <c r="D473" s="292" t="s">
        <v>661</v>
      </c>
      <c r="E473" s="292" t="s">
        <v>378</v>
      </c>
      <c r="F473" s="292" t="s">
        <v>707</v>
      </c>
      <c r="G473" s="289">
        <v>-78211.94</v>
      </c>
    </row>
    <row r="474" spans="1:7" x14ac:dyDescent="0.25">
      <c r="A474" s="292" t="s">
        <v>697</v>
      </c>
      <c r="B474" s="293">
        <v>2024</v>
      </c>
      <c r="C474" s="293">
        <v>9</v>
      </c>
      <c r="D474" s="292" t="s">
        <v>661</v>
      </c>
      <c r="E474" s="292" t="s">
        <v>378</v>
      </c>
      <c r="F474" s="292" t="s">
        <v>707</v>
      </c>
      <c r="G474" s="289">
        <v>94829.81</v>
      </c>
    </row>
    <row r="475" spans="1:7" x14ac:dyDescent="0.25">
      <c r="A475" s="292" t="s">
        <v>697</v>
      </c>
      <c r="B475" s="293">
        <v>2024</v>
      </c>
      <c r="C475" s="293">
        <v>11</v>
      </c>
      <c r="D475" s="292" t="s">
        <v>661</v>
      </c>
      <c r="E475" s="292" t="s">
        <v>378</v>
      </c>
      <c r="F475" s="292" t="s">
        <v>707</v>
      </c>
      <c r="G475" s="289">
        <v>-77792.800000000003</v>
      </c>
    </row>
    <row r="476" spans="1:7" x14ac:dyDescent="0.25">
      <c r="A476" s="292" t="s">
        <v>697</v>
      </c>
      <c r="B476" s="293">
        <v>2024</v>
      </c>
      <c r="C476" s="293">
        <v>12</v>
      </c>
      <c r="D476" s="292" t="s">
        <v>661</v>
      </c>
      <c r="E476" s="292" t="s">
        <v>378</v>
      </c>
      <c r="F476" s="292" t="s">
        <v>707</v>
      </c>
      <c r="G476" s="289">
        <v>-178908.13</v>
      </c>
    </row>
    <row r="477" spans="1:7" x14ac:dyDescent="0.25">
      <c r="A477" s="292" t="s">
        <v>697</v>
      </c>
      <c r="B477" s="293">
        <v>2024</v>
      </c>
      <c r="C477" s="293">
        <v>4</v>
      </c>
      <c r="D477" s="292" t="s">
        <v>661</v>
      </c>
      <c r="E477" s="292" t="s">
        <v>379</v>
      </c>
      <c r="F477" s="292" t="s">
        <v>708</v>
      </c>
      <c r="G477" s="289">
        <v>3306.77</v>
      </c>
    </row>
    <row r="478" spans="1:7" x14ac:dyDescent="0.25">
      <c r="A478" s="292" t="s">
        <v>697</v>
      </c>
      <c r="B478" s="293">
        <v>2024</v>
      </c>
      <c r="C478" s="293">
        <v>6</v>
      </c>
      <c r="D478" s="292" t="s">
        <v>661</v>
      </c>
      <c r="E478" s="292" t="s">
        <v>379</v>
      </c>
      <c r="F478" s="292" t="s">
        <v>708</v>
      </c>
      <c r="G478" s="289">
        <v>3306.76</v>
      </c>
    </row>
    <row r="479" spans="1:7" x14ac:dyDescent="0.25">
      <c r="A479" s="292" t="s">
        <v>697</v>
      </c>
      <c r="B479" s="293">
        <v>2024</v>
      </c>
      <c r="C479" s="293">
        <v>9</v>
      </c>
      <c r="D479" s="292" t="s">
        <v>661</v>
      </c>
      <c r="E479" s="292" t="s">
        <v>379</v>
      </c>
      <c r="F479" s="292" t="s">
        <v>708</v>
      </c>
      <c r="G479" s="289">
        <v>3306.77</v>
      </c>
    </row>
    <row r="480" spans="1:7" x14ac:dyDescent="0.25">
      <c r="A480" s="292" t="s">
        <v>697</v>
      </c>
      <c r="B480" s="293">
        <v>2024</v>
      </c>
      <c r="C480" s="293">
        <v>11</v>
      </c>
      <c r="D480" s="292" t="s">
        <v>661</v>
      </c>
      <c r="E480" s="292" t="s">
        <v>379</v>
      </c>
      <c r="F480" s="292" t="s">
        <v>708</v>
      </c>
      <c r="G480" s="289">
        <v>3306.76</v>
      </c>
    </row>
    <row r="481" spans="1:7" x14ac:dyDescent="0.25">
      <c r="A481" s="292" t="s">
        <v>697</v>
      </c>
      <c r="B481" s="293">
        <v>2024</v>
      </c>
      <c r="C481" s="293">
        <v>12</v>
      </c>
      <c r="D481" s="292" t="s">
        <v>661</v>
      </c>
      <c r="E481" s="292" t="s">
        <v>379</v>
      </c>
      <c r="F481" s="292" t="s">
        <v>708</v>
      </c>
      <c r="G481" s="289">
        <v>-13227.06</v>
      </c>
    </row>
    <row r="482" spans="1:7" x14ac:dyDescent="0.25">
      <c r="A482" s="292" t="s">
        <v>697</v>
      </c>
      <c r="B482" s="293">
        <v>2024</v>
      </c>
      <c r="C482" s="293">
        <v>0</v>
      </c>
      <c r="D482" s="292" t="s">
        <v>661</v>
      </c>
      <c r="E482" s="292" t="s">
        <v>380</v>
      </c>
      <c r="F482" s="292" t="s">
        <v>709</v>
      </c>
      <c r="G482" s="289">
        <v>763161.44</v>
      </c>
    </row>
    <row r="483" spans="1:7" x14ac:dyDescent="0.25">
      <c r="A483" s="292" t="s">
        <v>697</v>
      </c>
      <c r="B483" s="293">
        <v>2024</v>
      </c>
      <c r="C483" s="293">
        <v>3</v>
      </c>
      <c r="D483" s="292" t="s">
        <v>661</v>
      </c>
      <c r="E483" s="292" t="s">
        <v>380</v>
      </c>
      <c r="F483" s="292" t="s">
        <v>709</v>
      </c>
      <c r="G483" s="289">
        <v>815.58</v>
      </c>
    </row>
    <row r="484" spans="1:7" x14ac:dyDescent="0.25">
      <c r="A484" s="292" t="s">
        <v>697</v>
      </c>
      <c r="B484" s="293">
        <v>2024</v>
      </c>
      <c r="C484" s="293">
        <v>4</v>
      </c>
      <c r="D484" s="292" t="s">
        <v>661</v>
      </c>
      <c r="E484" s="292" t="s">
        <v>380</v>
      </c>
      <c r="F484" s="292" t="s">
        <v>709</v>
      </c>
      <c r="G484" s="289">
        <v>4062.46</v>
      </c>
    </row>
    <row r="485" spans="1:7" x14ac:dyDescent="0.25">
      <c r="A485" s="292" t="s">
        <v>697</v>
      </c>
      <c r="B485" s="293">
        <v>2024</v>
      </c>
      <c r="C485" s="293">
        <v>6</v>
      </c>
      <c r="D485" s="292" t="s">
        <v>661</v>
      </c>
      <c r="E485" s="292" t="s">
        <v>380</v>
      </c>
      <c r="F485" s="292" t="s">
        <v>709</v>
      </c>
      <c r="G485" s="289">
        <v>503950.36</v>
      </c>
    </row>
    <row r="486" spans="1:7" x14ac:dyDescent="0.25">
      <c r="A486" s="292" t="s">
        <v>697</v>
      </c>
      <c r="B486" s="293">
        <v>2024</v>
      </c>
      <c r="C486" s="293">
        <v>7</v>
      </c>
      <c r="D486" s="292" t="s">
        <v>661</v>
      </c>
      <c r="E486" s="292" t="s">
        <v>380</v>
      </c>
      <c r="F486" s="292" t="s">
        <v>709</v>
      </c>
      <c r="G486" s="289">
        <v>15647.48</v>
      </c>
    </row>
    <row r="487" spans="1:7" x14ac:dyDescent="0.25">
      <c r="A487" s="292" t="s">
        <v>697</v>
      </c>
      <c r="B487" s="293">
        <v>2024</v>
      </c>
      <c r="C487" s="293">
        <v>8</v>
      </c>
      <c r="D487" s="292" t="s">
        <v>661</v>
      </c>
      <c r="E487" s="292" t="s">
        <v>380</v>
      </c>
      <c r="F487" s="292" t="s">
        <v>709</v>
      </c>
      <c r="G487" s="289">
        <v>-4779.6899999999996</v>
      </c>
    </row>
    <row r="488" spans="1:7" x14ac:dyDescent="0.25">
      <c r="A488" s="292" t="s">
        <v>697</v>
      </c>
      <c r="B488" s="293">
        <v>2024</v>
      </c>
      <c r="C488" s="293">
        <v>9</v>
      </c>
      <c r="D488" s="292" t="s">
        <v>661</v>
      </c>
      <c r="E488" s="292" t="s">
        <v>380</v>
      </c>
      <c r="F488" s="292" t="s">
        <v>709</v>
      </c>
      <c r="G488" s="289">
        <v>121539.04</v>
      </c>
    </row>
    <row r="489" spans="1:7" x14ac:dyDescent="0.25">
      <c r="A489" s="292" t="s">
        <v>697</v>
      </c>
      <c r="B489" s="293">
        <v>2024</v>
      </c>
      <c r="C489" s="293">
        <v>10</v>
      </c>
      <c r="D489" s="292" t="s">
        <v>661</v>
      </c>
      <c r="E489" s="292" t="s">
        <v>380</v>
      </c>
      <c r="F489" s="292" t="s">
        <v>709</v>
      </c>
      <c r="G489" s="289">
        <v>-1272178.81</v>
      </c>
    </row>
    <row r="490" spans="1:7" x14ac:dyDescent="0.25">
      <c r="A490" s="292" t="s">
        <v>697</v>
      </c>
      <c r="B490" s="293">
        <v>2024</v>
      </c>
      <c r="C490" s="293">
        <v>12</v>
      </c>
      <c r="D490" s="292" t="s">
        <v>661</v>
      </c>
      <c r="E490" s="292" t="s">
        <v>380</v>
      </c>
      <c r="F490" s="292" t="s">
        <v>709</v>
      </c>
      <c r="G490" s="289">
        <v>26643.25</v>
      </c>
    </row>
    <row r="491" spans="1:7" x14ac:dyDescent="0.25">
      <c r="A491" s="292" t="s">
        <v>697</v>
      </c>
      <c r="B491" s="293">
        <v>2024</v>
      </c>
      <c r="C491" s="293">
        <v>0</v>
      </c>
      <c r="D491" s="292" t="s">
        <v>661</v>
      </c>
      <c r="E491" s="292" t="s">
        <v>381</v>
      </c>
      <c r="F491" s="292" t="s">
        <v>710</v>
      </c>
      <c r="G491" s="289">
        <v>6149217.7199999997</v>
      </c>
    </row>
    <row r="492" spans="1:7" x14ac:dyDescent="0.25">
      <c r="A492" s="292" t="s">
        <v>697</v>
      </c>
      <c r="B492" s="293">
        <v>2024</v>
      </c>
      <c r="C492" s="293">
        <v>1</v>
      </c>
      <c r="D492" s="292" t="s">
        <v>661</v>
      </c>
      <c r="E492" s="292" t="s">
        <v>381</v>
      </c>
      <c r="F492" s="292" t="s">
        <v>710</v>
      </c>
      <c r="G492" s="289">
        <v>494966.95</v>
      </c>
    </row>
    <row r="493" spans="1:7" x14ac:dyDescent="0.25">
      <c r="A493" s="292" t="s">
        <v>697</v>
      </c>
      <c r="B493" s="293">
        <v>2024</v>
      </c>
      <c r="C493" s="293">
        <v>2</v>
      </c>
      <c r="D493" s="292" t="s">
        <v>661</v>
      </c>
      <c r="E493" s="292" t="s">
        <v>381</v>
      </c>
      <c r="F493" s="292" t="s">
        <v>710</v>
      </c>
      <c r="G493" s="289">
        <v>438329.81</v>
      </c>
    </row>
    <row r="494" spans="1:7" x14ac:dyDescent="0.25">
      <c r="A494" s="292" t="s">
        <v>697</v>
      </c>
      <c r="B494" s="293">
        <v>2024</v>
      </c>
      <c r="C494" s="293">
        <v>3</v>
      </c>
      <c r="D494" s="292" t="s">
        <v>661</v>
      </c>
      <c r="E494" s="292" t="s">
        <v>381</v>
      </c>
      <c r="F494" s="292" t="s">
        <v>710</v>
      </c>
      <c r="G494" s="289">
        <v>878235.57</v>
      </c>
    </row>
    <row r="495" spans="1:7" x14ac:dyDescent="0.25">
      <c r="A495" s="292" t="s">
        <v>697</v>
      </c>
      <c r="B495" s="293">
        <v>2024</v>
      </c>
      <c r="C495" s="293">
        <v>4</v>
      </c>
      <c r="D495" s="292" t="s">
        <v>661</v>
      </c>
      <c r="E495" s="292" t="s">
        <v>381</v>
      </c>
      <c r="F495" s="292" t="s">
        <v>710</v>
      </c>
      <c r="G495" s="289">
        <v>477615.9</v>
      </c>
    </row>
    <row r="496" spans="1:7" x14ac:dyDescent="0.25">
      <c r="A496" s="292" t="s">
        <v>697</v>
      </c>
      <c r="B496" s="293">
        <v>2024</v>
      </c>
      <c r="C496" s="293">
        <v>5</v>
      </c>
      <c r="D496" s="292" t="s">
        <v>661</v>
      </c>
      <c r="E496" s="292" t="s">
        <v>381</v>
      </c>
      <c r="F496" s="292" t="s">
        <v>710</v>
      </c>
      <c r="G496" s="289">
        <v>473553.77</v>
      </c>
    </row>
    <row r="497" spans="1:7" x14ac:dyDescent="0.25">
      <c r="A497" s="292" t="s">
        <v>697</v>
      </c>
      <c r="B497" s="293">
        <v>2024</v>
      </c>
      <c r="C497" s="293">
        <v>6</v>
      </c>
      <c r="D497" s="292" t="s">
        <v>661</v>
      </c>
      <c r="E497" s="292" t="s">
        <v>381</v>
      </c>
      <c r="F497" s="292" t="s">
        <v>710</v>
      </c>
      <c r="G497" s="289">
        <v>-5561560.7199999997</v>
      </c>
    </row>
    <row r="498" spans="1:7" x14ac:dyDescent="0.25">
      <c r="A498" s="292" t="s">
        <v>697</v>
      </c>
      <c r="B498" s="293">
        <v>2024</v>
      </c>
      <c r="C498" s="293">
        <v>7</v>
      </c>
      <c r="D498" s="292" t="s">
        <v>661</v>
      </c>
      <c r="E498" s="292" t="s">
        <v>381</v>
      </c>
      <c r="F498" s="292" t="s">
        <v>710</v>
      </c>
      <c r="G498" s="289">
        <v>597650.22</v>
      </c>
    </row>
    <row r="499" spans="1:7" x14ac:dyDescent="0.25">
      <c r="A499" s="292" t="s">
        <v>697</v>
      </c>
      <c r="B499" s="293">
        <v>2024</v>
      </c>
      <c r="C499" s="293">
        <v>8</v>
      </c>
      <c r="D499" s="292" t="s">
        <v>661</v>
      </c>
      <c r="E499" s="292" t="s">
        <v>381</v>
      </c>
      <c r="F499" s="292" t="s">
        <v>710</v>
      </c>
      <c r="G499" s="289">
        <v>799200.31</v>
      </c>
    </row>
    <row r="500" spans="1:7" x14ac:dyDescent="0.25">
      <c r="A500" s="292" t="s">
        <v>697</v>
      </c>
      <c r="B500" s="293">
        <v>2024</v>
      </c>
      <c r="C500" s="293">
        <v>9</v>
      </c>
      <c r="D500" s="292" t="s">
        <v>661</v>
      </c>
      <c r="E500" s="292" t="s">
        <v>381</v>
      </c>
      <c r="F500" s="292" t="s">
        <v>710</v>
      </c>
      <c r="G500" s="289">
        <v>771340.98</v>
      </c>
    </row>
    <row r="501" spans="1:7" x14ac:dyDescent="0.25">
      <c r="A501" s="292" t="s">
        <v>697</v>
      </c>
      <c r="B501" s="293">
        <v>2024</v>
      </c>
      <c r="C501" s="293">
        <v>10</v>
      </c>
      <c r="D501" s="292" t="s">
        <v>661</v>
      </c>
      <c r="E501" s="292" t="s">
        <v>381</v>
      </c>
      <c r="F501" s="292" t="s">
        <v>710</v>
      </c>
      <c r="G501" s="289">
        <v>393633.94</v>
      </c>
    </row>
    <row r="502" spans="1:7" x14ac:dyDescent="0.25">
      <c r="A502" s="292" t="s">
        <v>697</v>
      </c>
      <c r="B502" s="293">
        <v>2024</v>
      </c>
      <c r="C502" s="293">
        <v>11</v>
      </c>
      <c r="D502" s="292" t="s">
        <v>661</v>
      </c>
      <c r="E502" s="292" t="s">
        <v>381</v>
      </c>
      <c r="F502" s="292" t="s">
        <v>710</v>
      </c>
      <c r="G502" s="289">
        <v>436881.66</v>
      </c>
    </row>
    <row r="503" spans="1:7" x14ac:dyDescent="0.25">
      <c r="A503" s="292" t="s">
        <v>697</v>
      </c>
      <c r="B503" s="293">
        <v>2024</v>
      </c>
      <c r="C503" s="293">
        <v>12</v>
      </c>
      <c r="D503" s="292" t="s">
        <v>661</v>
      </c>
      <c r="E503" s="292" t="s">
        <v>381</v>
      </c>
      <c r="F503" s="292" t="s">
        <v>710</v>
      </c>
      <c r="G503" s="289">
        <v>812878.12</v>
      </c>
    </row>
    <row r="504" spans="1:7" x14ac:dyDescent="0.25">
      <c r="A504" s="292" t="s">
        <v>697</v>
      </c>
      <c r="B504" s="293">
        <v>2024</v>
      </c>
      <c r="C504" s="293">
        <v>0</v>
      </c>
      <c r="D504" s="292" t="s">
        <v>661</v>
      </c>
      <c r="E504" s="292" t="s">
        <v>382</v>
      </c>
      <c r="F504" s="292" t="s">
        <v>711</v>
      </c>
      <c r="G504" s="289">
        <v>508736.58</v>
      </c>
    </row>
    <row r="505" spans="1:7" x14ac:dyDescent="0.25">
      <c r="A505" s="292" t="s">
        <v>697</v>
      </c>
      <c r="B505" s="293">
        <v>2024</v>
      </c>
      <c r="C505" s="293">
        <v>10</v>
      </c>
      <c r="D505" s="292" t="s">
        <v>661</v>
      </c>
      <c r="E505" s="292" t="s">
        <v>382</v>
      </c>
      <c r="F505" s="292" t="s">
        <v>711</v>
      </c>
      <c r="G505" s="289">
        <v>-0.04</v>
      </c>
    </row>
    <row r="506" spans="1:7" x14ac:dyDescent="0.25">
      <c r="A506" s="292" t="s">
        <v>697</v>
      </c>
      <c r="B506" s="293">
        <v>2024</v>
      </c>
      <c r="C506" s="293">
        <v>11</v>
      </c>
      <c r="D506" s="292" t="s">
        <v>661</v>
      </c>
      <c r="E506" s="292" t="s">
        <v>382</v>
      </c>
      <c r="F506" s="292" t="s">
        <v>711</v>
      </c>
      <c r="G506" s="289">
        <v>133219.56</v>
      </c>
    </row>
    <row r="507" spans="1:7" x14ac:dyDescent="0.25">
      <c r="A507" s="292" t="s">
        <v>697</v>
      </c>
      <c r="B507" s="293">
        <v>2024</v>
      </c>
      <c r="C507" s="293">
        <v>12</v>
      </c>
      <c r="D507" s="292" t="s">
        <v>661</v>
      </c>
      <c r="E507" s="292" t="s">
        <v>382</v>
      </c>
      <c r="F507" s="292" t="s">
        <v>711</v>
      </c>
      <c r="G507" s="289">
        <v>2829.02</v>
      </c>
    </row>
    <row r="508" spans="1:7" x14ac:dyDescent="0.25">
      <c r="A508" s="292" t="s">
        <v>697</v>
      </c>
      <c r="B508" s="293">
        <v>2024</v>
      </c>
      <c r="C508" s="293">
        <v>0</v>
      </c>
      <c r="D508" s="292" t="s">
        <v>661</v>
      </c>
      <c r="E508" s="292" t="s">
        <v>383</v>
      </c>
      <c r="F508" s="292" t="s">
        <v>663</v>
      </c>
      <c r="G508" s="289">
        <v>15137.94</v>
      </c>
    </row>
    <row r="509" spans="1:7" x14ac:dyDescent="0.25">
      <c r="A509" s="292" t="s">
        <v>697</v>
      </c>
      <c r="B509" s="293">
        <v>2024</v>
      </c>
      <c r="C509" s="293">
        <v>1</v>
      </c>
      <c r="D509" s="292" t="s">
        <v>661</v>
      </c>
      <c r="E509" s="292" t="s">
        <v>383</v>
      </c>
      <c r="F509" s="292" t="s">
        <v>663</v>
      </c>
      <c r="G509" s="289">
        <v>-15180.9</v>
      </c>
    </row>
    <row r="510" spans="1:7" x14ac:dyDescent="0.25">
      <c r="A510" s="292" t="s">
        <v>697</v>
      </c>
      <c r="B510" s="293">
        <v>2024</v>
      </c>
      <c r="C510" s="293">
        <v>2</v>
      </c>
      <c r="D510" s="292" t="s">
        <v>661</v>
      </c>
      <c r="E510" s="292" t="s">
        <v>383</v>
      </c>
      <c r="F510" s="292" t="s">
        <v>663</v>
      </c>
      <c r="G510" s="289">
        <v>-107.26</v>
      </c>
    </row>
    <row r="511" spans="1:7" x14ac:dyDescent="0.25">
      <c r="A511" s="292" t="s">
        <v>697</v>
      </c>
      <c r="B511" s="293">
        <v>2024</v>
      </c>
      <c r="C511" s="293">
        <v>3</v>
      </c>
      <c r="D511" s="292" t="s">
        <v>661</v>
      </c>
      <c r="E511" s="292" t="s">
        <v>383</v>
      </c>
      <c r="F511" s="292" t="s">
        <v>663</v>
      </c>
      <c r="G511" s="289">
        <v>-354.09</v>
      </c>
    </row>
    <row r="512" spans="1:7" x14ac:dyDescent="0.25">
      <c r="A512" s="292" t="s">
        <v>697</v>
      </c>
      <c r="B512" s="293">
        <v>2024</v>
      </c>
      <c r="C512" s="293">
        <v>4</v>
      </c>
      <c r="D512" s="292" t="s">
        <v>661</v>
      </c>
      <c r="E512" s="292" t="s">
        <v>383</v>
      </c>
      <c r="F512" s="292" t="s">
        <v>663</v>
      </c>
      <c r="G512" s="289">
        <v>-72.900000000000006</v>
      </c>
    </row>
    <row r="513" spans="1:7" x14ac:dyDescent="0.25">
      <c r="A513" s="292" t="s">
        <v>697</v>
      </c>
      <c r="B513" s="293">
        <v>2024</v>
      </c>
      <c r="C513" s="293">
        <v>5</v>
      </c>
      <c r="D513" s="292" t="s">
        <v>661</v>
      </c>
      <c r="E513" s="292" t="s">
        <v>383</v>
      </c>
      <c r="F513" s="292" t="s">
        <v>663</v>
      </c>
      <c r="G513" s="289">
        <v>117.57</v>
      </c>
    </row>
    <row r="514" spans="1:7" x14ac:dyDescent="0.25">
      <c r="A514" s="292" t="s">
        <v>697</v>
      </c>
      <c r="B514" s="293">
        <v>2024</v>
      </c>
      <c r="C514" s="293">
        <v>6</v>
      </c>
      <c r="D514" s="292" t="s">
        <v>661</v>
      </c>
      <c r="E514" s="292" t="s">
        <v>383</v>
      </c>
      <c r="F514" s="292" t="s">
        <v>663</v>
      </c>
      <c r="G514" s="289">
        <v>-6.7</v>
      </c>
    </row>
    <row r="515" spans="1:7" x14ac:dyDescent="0.25">
      <c r="A515" s="292" t="s">
        <v>697</v>
      </c>
      <c r="B515" s="293">
        <v>2024</v>
      </c>
      <c r="C515" s="293">
        <v>7</v>
      </c>
      <c r="D515" s="292" t="s">
        <v>661</v>
      </c>
      <c r="E515" s="292" t="s">
        <v>383</v>
      </c>
      <c r="F515" s="292" t="s">
        <v>663</v>
      </c>
      <c r="G515" s="289">
        <v>1276.04</v>
      </c>
    </row>
    <row r="516" spans="1:7" x14ac:dyDescent="0.25">
      <c r="A516" s="292" t="s">
        <v>697</v>
      </c>
      <c r="B516" s="293">
        <v>2024</v>
      </c>
      <c r="C516" s="293">
        <v>8</v>
      </c>
      <c r="D516" s="292" t="s">
        <v>661</v>
      </c>
      <c r="E516" s="292" t="s">
        <v>383</v>
      </c>
      <c r="F516" s="292" t="s">
        <v>663</v>
      </c>
      <c r="G516" s="289">
        <v>-2932.6</v>
      </c>
    </row>
    <row r="517" spans="1:7" x14ac:dyDescent="0.25">
      <c r="A517" s="292" t="s">
        <v>697</v>
      </c>
      <c r="B517" s="293">
        <v>2024</v>
      </c>
      <c r="C517" s="293">
        <v>12</v>
      </c>
      <c r="D517" s="292" t="s">
        <v>661</v>
      </c>
      <c r="E517" s="292" t="s">
        <v>383</v>
      </c>
      <c r="F517" s="292" t="s">
        <v>663</v>
      </c>
      <c r="G517" s="289">
        <v>2123.0100000000002</v>
      </c>
    </row>
    <row r="518" spans="1:7" x14ac:dyDescent="0.25">
      <c r="A518" s="292" t="s">
        <v>697</v>
      </c>
      <c r="B518" s="293">
        <v>2024</v>
      </c>
      <c r="C518" s="293">
        <v>0</v>
      </c>
      <c r="D518" s="292" t="s">
        <v>661</v>
      </c>
      <c r="E518" s="292" t="s">
        <v>384</v>
      </c>
      <c r="F518" s="292" t="s">
        <v>712</v>
      </c>
      <c r="G518" s="289">
        <v>82205.56</v>
      </c>
    </row>
    <row r="519" spans="1:7" x14ac:dyDescent="0.25">
      <c r="A519" s="292" t="s">
        <v>697</v>
      </c>
      <c r="B519" s="293">
        <v>2024</v>
      </c>
      <c r="C519" s="293">
        <v>3</v>
      </c>
      <c r="D519" s="292" t="s">
        <v>661</v>
      </c>
      <c r="E519" s="292" t="s">
        <v>384</v>
      </c>
      <c r="F519" s="292" t="s">
        <v>712</v>
      </c>
      <c r="G519" s="289">
        <v>3567.8</v>
      </c>
    </row>
    <row r="520" spans="1:7" x14ac:dyDescent="0.25">
      <c r="A520" s="292" t="s">
        <v>697</v>
      </c>
      <c r="B520" s="293">
        <v>2024</v>
      </c>
      <c r="C520" s="293">
        <v>6</v>
      </c>
      <c r="D520" s="292" t="s">
        <v>661</v>
      </c>
      <c r="E520" s="292" t="s">
        <v>384</v>
      </c>
      <c r="F520" s="292" t="s">
        <v>712</v>
      </c>
      <c r="G520" s="289">
        <v>3567.79</v>
      </c>
    </row>
    <row r="521" spans="1:7" x14ac:dyDescent="0.25">
      <c r="A521" s="292" t="s">
        <v>697</v>
      </c>
      <c r="B521" s="293">
        <v>2024</v>
      </c>
      <c r="C521" s="293">
        <v>9</v>
      </c>
      <c r="D521" s="292" t="s">
        <v>661</v>
      </c>
      <c r="E521" s="292" t="s">
        <v>384</v>
      </c>
      <c r="F521" s="292" t="s">
        <v>712</v>
      </c>
      <c r="G521" s="289">
        <v>3567.8</v>
      </c>
    </row>
    <row r="522" spans="1:7" x14ac:dyDescent="0.25">
      <c r="A522" s="292" t="s">
        <v>697</v>
      </c>
      <c r="B522" s="293">
        <v>2024</v>
      </c>
      <c r="C522" s="293">
        <v>11</v>
      </c>
      <c r="D522" s="292" t="s">
        <v>661</v>
      </c>
      <c r="E522" s="292" t="s">
        <v>384</v>
      </c>
      <c r="F522" s="292" t="s">
        <v>712</v>
      </c>
      <c r="G522" s="289">
        <v>3567.79</v>
      </c>
    </row>
    <row r="523" spans="1:7" x14ac:dyDescent="0.25">
      <c r="A523" s="292" t="s">
        <v>697</v>
      </c>
      <c r="B523" s="293">
        <v>2024</v>
      </c>
      <c r="C523" s="293">
        <v>12</v>
      </c>
      <c r="D523" s="292" t="s">
        <v>661</v>
      </c>
      <c r="E523" s="292" t="s">
        <v>384</v>
      </c>
      <c r="F523" s="292" t="s">
        <v>712</v>
      </c>
      <c r="G523" s="289">
        <v>100915.08</v>
      </c>
    </row>
    <row r="524" spans="1:7" x14ac:dyDescent="0.25">
      <c r="A524" s="292" t="s">
        <v>697</v>
      </c>
      <c r="B524" s="293">
        <v>2024</v>
      </c>
      <c r="C524" s="293">
        <v>0</v>
      </c>
      <c r="D524" s="292" t="s">
        <v>661</v>
      </c>
      <c r="E524" s="292" t="s">
        <v>385</v>
      </c>
      <c r="F524" s="292" t="s">
        <v>686</v>
      </c>
      <c r="G524" s="289">
        <v>-434.04</v>
      </c>
    </row>
    <row r="525" spans="1:7" x14ac:dyDescent="0.25">
      <c r="A525" s="292" t="s">
        <v>697</v>
      </c>
      <c r="B525" s="293">
        <v>2024</v>
      </c>
      <c r="C525" s="293">
        <v>1</v>
      </c>
      <c r="D525" s="292" t="s">
        <v>661</v>
      </c>
      <c r="E525" s="292" t="s">
        <v>385</v>
      </c>
      <c r="F525" s="292" t="s">
        <v>686</v>
      </c>
      <c r="G525" s="289">
        <v>171.78</v>
      </c>
    </row>
    <row r="526" spans="1:7" x14ac:dyDescent="0.25">
      <c r="A526" s="292" t="s">
        <v>697</v>
      </c>
      <c r="B526" s="293">
        <v>2024</v>
      </c>
      <c r="C526" s="293">
        <v>2</v>
      </c>
      <c r="D526" s="292" t="s">
        <v>661</v>
      </c>
      <c r="E526" s="292" t="s">
        <v>385</v>
      </c>
      <c r="F526" s="292" t="s">
        <v>686</v>
      </c>
      <c r="G526" s="289">
        <v>172.55</v>
      </c>
    </row>
    <row r="527" spans="1:7" x14ac:dyDescent="0.25">
      <c r="A527" s="292" t="s">
        <v>697</v>
      </c>
      <c r="B527" s="293">
        <v>2024</v>
      </c>
      <c r="C527" s="293">
        <v>3</v>
      </c>
      <c r="D527" s="292" t="s">
        <v>661</v>
      </c>
      <c r="E527" s="292" t="s">
        <v>385</v>
      </c>
      <c r="F527" s="292" t="s">
        <v>686</v>
      </c>
      <c r="G527" s="289">
        <v>173.28</v>
      </c>
    </row>
    <row r="528" spans="1:7" x14ac:dyDescent="0.25">
      <c r="A528" s="292" t="s">
        <v>697</v>
      </c>
      <c r="B528" s="293">
        <v>2024</v>
      </c>
      <c r="C528" s="293">
        <v>4</v>
      </c>
      <c r="D528" s="292" t="s">
        <v>661</v>
      </c>
      <c r="E528" s="292" t="s">
        <v>385</v>
      </c>
      <c r="F528" s="292" t="s">
        <v>686</v>
      </c>
      <c r="G528" s="289">
        <v>174.01</v>
      </c>
    </row>
    <row r="529" spans="1:7" x14ac:dyDescent="0.25">
      <c r="A529" s="292" t="s">
        <v>697</v>
      </c>
      <c r="B529" s="293">
        <v>2024</v>
      </c>
      <c r="C529" s="293">
        <v>5</v>
      </c>
      <c r="D529" s="292" t="s">
        <v>661</v>
      </c>
      <c r="E529" s="292" t="s">
        <v>385</v>
      </c>
      <c r="F529" s="292" t="s">
        <v>686</v>
      </c>
      <c r="G529" s="289">
        <v>174.77</v>
      </c>
    </row>
    <row r="530" spans="1:7" x14ac:dyDescent="0.25">
      <c r="A530" s="292" t="s">
        <v>697</v>
      </c>
      <c r="B530" s="293">
        <v>2024</v>
      </c>
      <c r="C530" s="293">
        <v>6</v>
      </c>
      <c r="D530" s="292" t="s">
        <v>661</v>
      </c>
      <c r="E530" s="292" t="s">
        <v>385</v>
      </c>
      <c r="F530" s="292" t="s">
        <v>686</v>
      </c>
      <c r="G530" s="289">
        <v>175.5</v>
      </c>
    </row>
    <row r="531" spans="1:7" x14ac:dyDescent="0.25">
      <c r="A531" s="292" t="s">
        <v>697</v>
      </c>
      <c r="B531" s="293">
        <v>2024</v>
      </c>
      <c r="C531" s="293">
        <v>7</v>
      </c>
      <c r="D531" s="292" t="s">
        <v>661</v>
      </c>
      <c r="E531" s="292" t="s">
        <v>385</v>
      </c>
      <c r="F531" s="292" t="s">
        <v>686</v>
      </c>
      <c r="G531" s="289">
        <v>176.26</v>
      </c>
    </row>
    <row r="532" spans="1:7" x14ac:dyDescent="0.25">
      <c r="A532" s="292" t="s">
        <v>697</v>
      </c>
      <c r="B532" s="293">
        <v>2024</v>
      </c>
      <c r="C532" s="293">
        <v>8</v>
      </c>
      <c r="D532" s="292" t="s">
        <v>661</v>
      </c>
      <c r="E532" s="292" t="s">
        <v>385</v>
      </c>
      <c r="F532" s="292" t="s">
        <v>686</v>
      </c>
      <c r="G532" s="289">
        <v>177</v>
      </c>
    </row>
    <row r="533" spans="1:7" x14ac:dyDescent="0.25">
      <c r="A533" s="292" t="s">
        <v>697</v>
      </c>
      <c r="B533" s="293">
        <v>2024</v>
      </c>
      <c r="C533" s="293">
        <v>9</v>
      </c>
      <c r="D533" s="292" t="s">
        <v>661</v>
      </c>
      <c r="E533" s="292" t="s">
        <v>385</v>
      </c>
      <c r="F533" s="292" t="s">
        <v>686</v>
      </c>
      <c r="G533" s="289">
        <v>177.76</v>
      </c>
    </row>
    <row r="534" spans="1:7" x14ac:dyDescent="0.25">
      <c r="A534" s="292" t="s">
        <v>697</v>
      </c>
      <c r="B534" s="293">
        <v>2024</v>
      </c>
      <c r="C534" s="293">
        <v>10</v>
      </c>
      <c r="D534" s="292" t="s">
        <v>661</v>
      </c>
      <c r="E534" s="292" t="s">
        <v>385</v>
      </c>
      <c r="F534" s="292" t="s">
        <v>686</v>
      </c>
      <c r="G534" s="289">
        <v>178.53</v>
      </c>
    </row>
    <row r="535" spans="1:7" x14ac:dyDescent="0.25">
      <c r="A535" s="292" t="s">
        <v>697</v>
      </c>
      <c r="B535" s="293">
        <v>2024</v>
      </c>
      <c r="C535" s="293">
        <v>11</v>
      </c>
      <c r="D535" s="292" t="s">
        <v>661</v>
      </c>
      <c r="E535" s="292" t="s">
        <v>385</v>
      </c>
      <c r="F535" s="292" t="s">
        <v>686</v>
      </c>
      <c r="G535" s="289">
        <v>179.28</v>
      </c>
    </row>
    <row r="536" spans="1:7" x14ac:dyDescent="0.25">
      <c r="A536" s="292" t="s">
        <v>697</v>
      </c>
      <c r="B536" s="293">
        <v>2024</v>
      </c>
      <c r="C536" s="293">
        <v>12</v>
      </c>
      <c r="D536" s="292" t="s">
        <v>661</v>
      </c>
      <c r="E536" s="292" t="s">
        <v>385</v>
      </c>
      <c r="F536" s="292" t="s">
        <v>686</v>
      </c>
      <c r="G536" s="289">
        <v>180.04</v>
      </c>
    </row>
    <row r="537" spans="1:7" x14ac:dyDescent="0.25">
      <c r="A537" s="292" t="s">
        <v>697</v>
      </c>
      <c r="B537" s="293">
        <v>2024</v>
      </c>
      <c r="C537" s="293">
        <v>0</v>
      </c>
      <c r="D537" s="292" t="s">
        <v>661</v>
      </c>
      <c r="E537" s="292" t="s">
        <v>386</v>
      </c>
      <c r="F537" s="292" t="s">
        <v>664</v>
      </c>
      <c r="G537" s="289">
        <v>56295826.979999997</v>
      </c>
    </row>
    <row r="538" spans="1:7" x14ac:dyDescent="0.25">
      <c r="A538" s="292" t="s">
        <v>697</v>
      </c>
      <c r="B538" s="293">
        <v>2024</v>
      </c>
      <c r="C538" s="293">
        <v>3</v>
      </c>
      <c r="D538" s="292" t="s">
        <v>661</v>
      </c>
      <c r="E538" s="292" t="s">
        <v>386</v>
      </c>
      <c r="F538" s="292" t="s">
        <v>664</v>
      </c>
      <c r="G538" s="289">
        <v>-1050192.26</v>
      </c>
    </row>
    <row r="539" spans="1:7" x14ac:dyDescent="0.25">
      <c r="A539" s="292" t="s">
        <v>697</v>
      </c>
      <c r="B539" s="293">
        <v>2024</v>
      </c>
      <c r="C539" s="293">
        <v>4</v>
      </c>
      <c r="D539" s="292" t="s">
        <v>661</v>
      </c>
      <c r="E539" s="292" t="s">
        <v>386</v>
      </c>
      <c r="F539" s="292" t="s">
        <v>664</v>
      </c>
      <c r="G539" s="289">
        <v>-350064.08</v>
      </c>
    </row>
    <row r="540" spans="1:7" x14ac:dyDescent="0.25">
      <c r="A540" s="292" t="s">
        <v>697</v>
      </c>
      <c r="B540" s="293">
        <v>2024</v>
      </c>
      <c r="C540" s="293">
        <v>5</v>
      </c>
      <c r="D540" s="292" t="s">
        <v>661</v>
      </c>
      <c r="E540" s="292" t="s">
        <v>386</v>
      </c>
      <c r="F540" s="292" t="s">
        <v>664</v>
      </c>
      <c r="G540" s="289">
        <v>-350064.09</v>
      </c>
    </row>
    <row r="541" spans="1:7" x14ac:dyDescent="0.25">
      <c r="A541" s="292" t="s">
        <v>697</v>
      </c>
      <c r="B541" s="293">
        <v>2024</v>
      </c>
      <c r="C541" s="293">
        <v>6</v>
      </c>
      <c r="D541" s="292" t="s">
        <v>661</v>
      </c>
      <c r="E541" s="292" t="s">
        <v>386</v>
      </c>
      <c r="F541" s="292" t="s">
        <v>664</v>
      </c>
      <c r="G541" s="289">
        <v>-350064.08</v>
      </c>
    </row>
    <row r="542" spans="1:7" x14ac:dyDescent="0.25">
      <c r="A542" s="292" t="s">
        <v>697</v>
      </c>
      <c r="B542" s="293">
        <v>2024</v>
      </c>
      <c r="C542" s="293">
        <v>7</v>
      </c>
      <c r="D542" s="292" t="s">
        <v>661</v>
      </c>
      <c r="E542" s="292" t="s">
        <v>386</v>
      </c>
      <c r="F542" s="292" t="s">
        <v>664</v>
      </c>
      <c r="G542" s="289">
        <v>-350064.09</v>
      </c>
    </row>
    <row r="543" spans="1:7" x14ac:dyDescent="0.25">
      <c r="A543" s="292" t="s">
        <v>697</v>
      </c>
      <c r="B543" s="293">
        <v>2024</v>
      </c>
      <c r="C543" s="293">
        <v>8</v>
      </c>
      <c r="D543" s="292" t="s">
        <v>661</v>
      </c>
      <c r="E543" s="292" t="s">
        <v>386</v>
      </c>
      <c r="F543" s="292" t="s">
        <v>664</v>
      </c>
      <c r="G543" s="289">
        <v>-350064.08</v>
      </c>
    </row>
    <row r="544" spans="1:7" x14ac:dyDescent="0.25">
      <c r="A544" s="292" t="s">
        <v>697</v>
      </c>
      <c r="B544" s="293">
        <v>2024</v>
      </c>
      <c r="C544" s="293">
        <v>9</v>
      </c>
      <c r="D544" s="292" t="s">
        <v>661</v>
      </c>
      <c r="E544" s="292" t="s">
        <v>386</v>
      </c>
      <c r="F544" s="292" t="s">
        <v>664</v>
      </c>
      <c r="G544" s="289">
        <v>-350064.09</v>
      </c>
    </row>
    <row r="545" spans="1:7" x14ac:dyDescent="0.25">
      <c r="A545" s="292" t="s">
        <v>697</v>
      </c>
      <c r="B545" s="293">
        <v>2024</v>
      </c>
      <c r="C545" s="293">
        <v>10</v>
      </c>
      <c r="D545" s="292" t="s">
        <v>661</v>
      </c>
      <c r="E545" s="292" t="s">
        <v>386</v>
      </c>
      <c r="F545" s="292" t="s">
        <v>664</v>
      </c>
      <c r="G545" s="289">
        <v>-350064.08</v>
      </c>
    </row>
    <row r="546" spans="1:7" x14ac:dyDescent="0.25">
      <c r="A546" s="292" t="s">
        <v>697</v>
      </c>
      <c r="B546" s="293">
        <v>2024</v>
      </c>
      <c r="C546" s="293">
        <v>11</v>
      </c>
      <c r="D546" s="292" t="s">
        <v>661</v>
      </c>
      <c r="E546" s="292" t="s">
        <v>386</v>
      </c>
      <c r="F546" s="292" t="s">
        <v>664</v>
      </c>
      <c r="G546" s="289">
        <v>-350064.09</v>
      </c>
    </row>
    <row r="547" spans="1:7" x14ac:dyDescent="0.25">
      <c r="A547" s="292" t="s">
        <v>697</v>
      </c>
      <c r="B547" s="293">
        <v>2024</v>
      </c>
      <c r="C547" s="293">
        <v>12</v>
      </c>
      <c r="D547" s="292" t="s">
        <v>661</v>
      </c>
      <c r="E547" s="292" t="s">
        <v>386</v>
      </c>
      <c r="F547" s="292" t="s">
        <v>664</v>
      </c>
      <c r="G547" s="289">
        <v>-350064.08</v>
      </c>
    </row>
    <row r="548" spans="1:7" x14ac:dyDescent="0.25">
      <c r="A548" s="292" t="s">
        <v>697</v>
      </c>
      <c r="B548" s="293">
        <v>2024</v>
      </c>
      <c r="C548" s="293">
        <v>0</v>
      </c>
      <c r="D548" s="292" t="s">
        <v>661</v>
      </c>
      <c r="E548" s="292" t="s">
        <v>387</v>
      </c>
      <c r="F548" s="292" t="s">
        <v>713</v>
      </c>
      <c r="G548" s="289">
        <v>-1438550.63</v>
      </c>
    </row>
    <row r="549" spans="1:7" x14ac:dyDescent="0.25">
      <c r="A549" s="292" t="s">
        <v>697</v>
      </c>
      <c r="B549" s="293">
        <v>2024</v>
      </c>
      <c r="C549" s="293">
        <v>1</v>
      </c>
      <c r="D549" s="292" t="s">
        <v>661</v>
      </c>
      <c r="E549" s="292" t="s">
        <v>387</v>
      </c>
      <c r="F549" s="292" t="s">
        <v>713</v>
      </c>
      <c r="G549" s="289">
        <v>-2103.5700000000002</v>
      </c>
    </row>
    <row r="550" spans="1:7" x14ac:dyDescent="0.25">
      <c r="A550" s="292" t="s">
        <v>697</v>
      </c>
      <c r="B550" s="293">
        <v>2024</v>
      </c>
      <c r="C550" s="293">
        <v>12</v>
      </c>
      <c r="D550" s="292" t="s">
        <v>661</v>
      </c>
      <c r="E550" s="292" t="s">
        <v>387</v>
      </c>
      <c r="F550" s="292" t="s">
        <v>713</v>
      </c>
      <c r="G550" s="289">
        <v>1145266.95</v>
      </c>
    </row>
    <row r="551" spans="1:7" x14ac:dyDescent="0.25">
      <c r="A551" s="292" t="s">
        <v>697</v>
      </c>
      <c r="B551" s="293">
        <v>2024</v>
      </c>
      <c r="C551" s="293">
        <v>0</v>
      </c>
      <c r="D551" s="292" t="s">
        <v>661</v>
      </c>
      <c r="E551" s="292" t="s">
        <v>388</v>
      </c>
      <c r="F551" s="292" t="s">
        <v>714</v>
      </c>
      <c r="G551" s="289">
        <v>179228.07</v>
      </c>
    </row>
    <row r="552" spans="1:7" x14ac:dyDescent="0.25">
      <c r="A552" s="292" t="s">
        <v>697</v>
      </c>
      <c r="B552" s="293">
        <v>2024</v>
      </c>
      <c r="C552" s="293">
        <v>1</v>
      </c>
      <c r="D552" s="292" t="s">
        <v>661</v>
      </c>
      <c r="E552" s="292" t="s">
        <v>388</v>
      </c>
      <c r="F552" s="292" t="s">
        <v>714</v>
      </c>
      <c r="G552" s="289">
        <v>80.22</v>
      </c>
    </row>
    <row r="553" spans="1:7" x14ac:dyDescent="0.25">
      <c r="A553" s="292" t="s">
        <v>697</v>
      </c>
      <c r="B553" s="293">
        <v>2024</v>
      </c>
      <c r="C553" s="293">
        <v>2</v>
      </c>
      <c r="D553" s="292" t="s">
        <v>661</v>
      </c>
      <c r="E553" s="292" t="s">
        <v>388</v>
      </c>
      <c r="F553" s="292" t="s">
        <v>714</v>
      </c>
      <c r="G553" s="289">
        <v>80.430000000000007</v>
      </c>
    </row>
    <row r="554" spans="1:7" x14ac:dyDescent="0.25">
      <c r="A554" s="292" t="s">
        <v>697</v>
      </c>
      <c r="B554" s="293">
        <v>2024</v>
      </c>
      <c r="C554" s="293">
        <v>3</v>
      </c>
      <c r="D554" s="292" t="s">
        <v>661</v>
      </c>
      <c r="E554" s="292" t="s">
        <v>388</v>
      </c>
      <c r="F554" s="292" t="s">
        <v>714</v>
      </c>
      <c r="G554" s="289">
        <v>187457.13</v>
      </c>
    </row>
    <row r="555" spans="1:7" x14ac:dyDescent="0.25">
      <c r="A555" s="292" t="s">
        <v>697</v>
      </c>
      <c r="B555" s="293">
        <v>2024</v>
      </c>
      <c r="C555" s="293">
        <v>5</v>
      </c>
      <c r="D555" s="292" t="s">
        <v>661</v>
      </c>
      <c r="E555" s="292" t="s">
        <v>388</v>
      </c>
      <c r="F555" s="292" t="s">
        <v>714</v>
      </c>
      <c r="G555" s="289">
        <v>73.290000000000006</v>
      </c>
    </row>
    <row r="556" spans="1:7" x14ac:dyDescent="0.25">
      <c r="A556" s="292" t="s">
        <v>697</v>
      </c>
      <c r="B556" s="293">
        <v>2024</v>
      </c>
      <c r="C556" s="293">
        <v>6</v>
      </c>
      <c r="D556" s="292" t="s">
        <v>661</v>
      </c>
      <c r="E556" s="292" t="s">
        <v>388</v>
      </c>
      <c r="F556" s="292" t="s">
        <v>714</v>
      </c>
      <c r="G556" s="289">
        <v>47492.55</v>
      </c>
    </row>
    <row r="557" spans="1:7" x14ac:dyDescent="0.25">
      <c r="A557" s="292" t="s">
        <v>697</v>
      </c>
      <c r="B557" s="293">
        <v>2024</v>
      </c>
      <c r="C557" s="293">
        <v>8</v>
      </c>
      <c r="D557" s="292" t="s">
        <v>661</v>
      </c>
      <c r="E557" s="292" t="s">
        <v>388</v>
      </c>
      <c r="F557" s="292" t="s">
        <v>714</v>
      </c>
      <c r="G557" s="289">
        <v>110.67</v>
      </c>
    </row>
    <row r="558" spans="1:7" x14ac:dyDescent="0.25">
      <c r="A558" s="292" t="s">
        <v>697</v>
      </c>
      <c r="B558" s="293">
        <v>2024</v>
      </c>
      <c r="C558" s="293">
        <v>9</v>
      </c>
      <c r="D558" s="292" t="s">
        <v>661</v>
      </c>
      <c r="E558" s="292" t="s">
        <v>388</v>
      </c>
      <c r="F558" s="292" t="s">
        <v>714</v>
      </c>
      <c r="G558" s="289">
        <v>943.95</v>
      </c>
    </row>
    <row r="559" spans="1:7" x14ac:dyDescent="0.25">
      <c r="A559" s="292" t="s">
        <v>697</v>
      </c>
      <c r="B559" s="293">
        <v>2024</v>
      </c>
      <c r="C559" s="293">
        <v>11</v>
      </c>
      <c r="D559" s="292" t="s">
        <v>661</v>
      </c>
      <c r="E559" s="292" t="s">
        <v>388</v>
      </c>
      <c r="F559" s="292" t="s">
        <v>714</v>
      </c>
      <c r="G559" s="289">
        <v>74.760000000000005</v>
      </c>
    </row>
    <row r="560" spans="1:7" x14ac:dyDescent="0.25">
      <c r="A560" s="292" t="s">
        <v>697</v>
      </c>
      <c r="B560" s="293">
        <v>2024</v>
      </c>
      <c r="C560" s="293">
        <v>12</v>
      </c>
      <c r="D560" s="292" t="s">
        <v>661</v>
      </c>
      <c r="E560" s="292" t="s">
        <v>388</v>
      </c>
      <c r="F560" s="292" t="s">
        <v>714</v>
      </c>
      <c r="G560" s="289">
        <v>-257409.39</v>
      </c>
    </row>
    <row r="561" spans="1:7" x14ac:dyDescent="0.25">
      <c r="A561" s="292" t="s">
        <v>697</v>
      </c>
      <c r="B561" s="293">
        <v>2024</v>
      </c>
      <c r="C561" s="293">
        <v>2</v>
      </c>
      <c r="D561" s="292" t="s">
        <v>671</v>
      </c>
      <c r="E561" s="292" t="s">
        <v>715</v>
      </c>
      <c r="F561" s="292" t="s">
        <v>716</v>
      </c>
      <c r="G561" s="289">
        <v>-0.01</v>
      </c>
    </row>
    <row r="562" spans="1:7" x14ac:dyDescent="0.25">
      <c r="A562" s="292" t="s">
        <v>697</v>
      </c>
      <c r="B562" s="293">
        <v>2024</v>
      </c>
      <c r="C562" s="293">
        <v>4</v>
      </c>
      <c r="D562" s="292" t="s">
        <v>671</v>
      </c>
      <c r="E562" s="292" t="s">
        <v>715</v>
      </c>
      <c r="F562" s="292" t="s">
        <v>716</v>
      </c>
      <c r="G562" s="289">
        <v>0.01</v>
      </c>
    </row>
    <row r="563" spans="1:7" x14ac:dyDescent="0.25">
      <c r="A563" s="292" t="s">
        <v>697</v>
      </c>
      <c r="B563" s="293">
        <v>2024</v>
      </c>
      <c r="C563" s="293">
        <v>6</v>
      </c>
      <c r="D563" s="292" t="s">
        <v>671</v>
      </c>
      <c r="E563" s="292" t="s">
        <v>715</v>
      </c>
      <c r="F563" s="292" t="s">
        <v>716</v>
      </c>
      <c r="G563" s="289">
        <v>-0.01</v>
      </c>
    </row>
    <row r="564" spans="1:7" x14ac:dyDescent="0.25">
      <c r="A564" s="292" t="s">
        <v>697</v>
      </c>
      <c r="B564" s="293">
        <v>2024</v>
      </c>
      <c r="C564" s="293">
        <v>8</v>
      </c>
      <c r="D564" s="292" t="s">
        <v>671</v>
      </c>
      <c r="E564" s="292" t="s">
        <v>715</v>
      </c>
      <c r="F564" s="292" t="s">
        <v>716</v>
      </c>
      <c r="G564" s="289">
        <v>0.01</v>
      </c>
    </row>
    <row r="565" spans="1:7" x14ac:dyDescent="0.25">
      <c r="A565" s="292" t="s">
        <v>697</v>
      </c>
      <c r="B565" s="293">
        <v>2024</v>
      </c>
      <c r="C565" s="293">
        <v>10</v>
      </c>
      <c r="D565" s="292" t="s">
        <v>671</v>
      </c>
      <c r="E565" s="292" t="s">
        <v>715</v>
      </c>
      <c r="F565" s="292" t="s">
        <v>716</v>
      </c>
      <c r="G565" s="289">
        <v>-0.01</v>
      </c>
    </row>
    <row r="566" spans="1:7" x14ac:dyDescent="0.25">
      <c r="A566" s="292" t="s">
        <v>697</v>
      </c>
      <c r="B566" s="293">
        <v>2024</v>
      </c>
      <c r="C566" s="293">
        <v>11</v>
      </c>
      <c r="D566" s="292" t="s">
        <v>671</v>
      </c>
      <c r="E566" s="292" t="s">
        <v>715</v>
      </c>
      <c r="F566" s="292" t="s">
        <v>716</v>
      </c>
      <c r="G566" s="289">
        <v>0.01</v>
      </c>
    </row>
    <row r="567" spans="1:7" x14ac:dyDescent="0.25">
      <c r="A567" s="292" t="s">
        <v>697</v>
      </c>
      <c r="B567" s="293">
        <v>2024</v>
      </c>
      <c r="C567" s="293">
        <v>0</v>
      </c>
      <c r="D567" s="292" t="s">
        <v>671</v>
      </c>
      <c r="E567" s="292" t="s">
        <v>389</v>
      </c>
      <c r="F567" s="292" t="s">
        <v>717</v>
      </c>
      <c r="G567" s="289">
        <v>78937091.879999995</v>
      </c>
    </row>
    <row r="568" spans="1:7" x14ac:dyDescent="0.25">
      <c r="A568" s="292" t="s">
        <v>697</v>
      </c>
      <c r="B568" s="293">
        <v>2024</v>
      </c>
      <c r="C568" s="293">
        <v>1</v>
      </c>
      <c r="D568" s="292" t="s">
        <v>671</v>
      </c>
      <c r="E568" s="292" t="s">
        <v>389</v>
      </c>
      <c r="F568" s="292" t="s">
        <v>717</v>
      </c>
      <c r="G568" s="289">
        <v>-232286.75</v>
      </c>
    </row>
    <row r="569" spans="1:7" x14ac:dyDescent="0.25">
      <c r="A569" s="292" t="s">
        <v>697</v>
      </c>
      <c r="B569" s="293">
        <v>2024</v>
      </c>
      <c r="C569" s="293">
        <v>2</v>
      </c>
      <c r="D569" s="292" t="s">
        <v>671</v>
      </c>
      <c r="E569" s="292" t="s">
        <v>389</v>
      </c>
      <c r="F569" s="292" t="s">
        <v>717</v>
      </c>
      <c r="G569" s="289">
        <v>-237349.31</v>
      </c>
    </row>
    <row r="570" spans="1:7" x14ac:dyDescent="0.25">
      <c r="A570" s="292" t="s">
        <v>697</v>
      </c>
      <c r="B570" s="293">
        <v>2024</v>
      </c>
      <c r="C570" s="293">
        <v>3</v>
      </c>
      <c r="D570" s="292" t="s">
        <v>671</v>
      </c>
      <c r="E570" s="292" t="s">
        <v>389</v>
      </c>
      <c r="F570" s="292" t="s">
        <v>717</v>
      </c>
      <c r="G570" s="289">
        <v>-210958.97</v>
      </c>
    </row>
    <row r="571" spans="1:7" x14ac:dyDescent="0.25">
      <c r="A571" s="292" t="s">
        <v>697</v>
      </c>
      <c r="B571" s="293">
        <v>2024</v>
      </c>
      <c r="C571" s="293">
        <v>4</v>
      </c>
      <c r="D571" s="292" t="s">
        <v>671</v>
      </c>
      <c r="E571" s="292" t="s">
        <v>389</v>
      </c>
      <c r="F571" s="292" t="s">
        <v>717</v>
      </c>
      <c r="G571" s="289">
        <v>-198139.01</v>
      </c>
    </row>
    <row r="572" spans="1:7" x14ac:dyDescent="0.25">
      <c r="A572" s="292" t="s">
        <v>697</v>
      </c>
      <c r="B572" s="293">
        <v>2024</v>
      </c>
      <c r="C572" s="293">
        <v>5</v>
      </c>
      <c r="D572" s="292" t="s">
        <v>671</v>
      </c>
      <c r="E572" s="292" t="s">
        <v>389</v>
      </c>
      <c r="F572" s="292" t="s">
        <v>717</v>
      </c>
      <c r="G572" s="289">
        <v>-217297.65</v>
      </c>
    </row>
    <row r="573" spans="1:7" x14ac:dyDescent="0.25">
      <c r="A573" s="292" t="s">
        <v>697</v>
      </c>
      <c r="B573" s="293">
        <v>2024</v>
      </c>
      <c r="C573" s="293">
        <v>6</v>
      </c>
      <c r="D573" s="292" t="s">
        <v>671</v>
      </c>
      <c r="E573" s="292" t="s">
        <v>389</v>
      </c>
      <c r="F573" s="292" t="s">
        <v>717</v>
      </c>
      <c r="G573" s="289">
        <v>-237092.36</v>
      </c>
    </row>
    <row r="574" spans="1:7" x14ac:dyDescent="0.25">
      <c r="A574" s="292" t="s">
        <v>697</v>
      </c>
      <c r="B574" s="293">
        <v>2024</v>
      </c>
      <c r="C574" s="293">
        <v>7</v>
      </c>
      <c r="D574" s="292" t="s">
        <v>671</v>
      </c>
      <c r="E574" s="292" t="s">
        <v>389</v>
      </c>
      <c r="F574" s="292" t="s">
        <v>717</v>
      </c>
      <c r="G574" s="289">
        <v>-245657.7</v>
      </c>
    </row>
    <row r="575" spans="1:7" x14ac:dyDescent="0.25">
      <c r="A575" s="292" t="s">
        <v>697</v>
      </c>
      <c r="B575" s="293">
        <v>2024</v>
      </c>
      <c r="C575" s="293">
        <v>8</v>
      </c>
      <c r="D575" s="292" t="s">
        <v>671</v>
      </c>
      <c r="E575" s="292" t="s">
        <v>389</v>
      </c>
      <c r="F575" s="292" t="s">
        <v>717</v>
      </c>
      <c r="G575" s="289">
        <v>-211735.01</v>
      </c>
    </row>
    <row r="576" spans="1:7" x14ac:dyDescent="0.25">
      <c r="A576" s="292" t="s">
        <v>697</v>
      </c>
      <c r="B576" s="293">
        <v>2024</v>
      </c>
      <c r="C576" s="293">
        <v>9</v>
      </c>
      <c r="D576" s="292" t="s">
        <v>671</v>
      </c>
      <c r="E576" s="292" t="s">
        <v>389</v>
      </c>
      <c r="F576" s="292" t="s">
        <v>717</v>
      </c>
      <c r="G576" s="289">
        <v>-242202.92</v>
      </c>
    </row>
    <row r="577" spans="1:7" x14ac:dyDescent="0.25">
      <c r="A577" s="292" t="s">
        <v>697</v>
      </c>
      <c r="B577" s="293">
        <v>2024</v>
      </c>
      <c r="C577" s="293">
        <v>10</v>
      </c>
      <c r="D577" s="292" t="s">
        <v>671</v>
      </c>
      <c r="E577" s="292" t="s">
        <v>389</v>
      </c>
      <c r="F577" s="292" t="s">
        <v>717</v>
      </c>
      <c r="G577" s="289">
        <v>-234506.4</v>
      </c>
    </row>
    <row r="578" spans="1:7" x14ac:dyDescent="0.25">
      <c r="A578" s="292" t="s">
        <v>697</v>
      </c>
      <c r="B578" s="293">
        <v>2024</v>
      </c>
      <c r="C578" s="293">
        <v>11</v>
      </c>
      <c r="D578" s="292" t="s">
        <v>671</v>
      </c>
      <c r="E578" s="292" t="s">
        <v>389</v>
      </c>
      <c r="F578" s="292" t="s">
        <v>717</v>
      </c>
      <c r="G578" s="289">
        <v>-241437.27</v>
      </c>
    </row>
    <row r="579" spans="1:7" x14ac:dyDescent="0.25">
      <c r="A579" s="292" t="s">
        <v>697</v>
      </c>
      <c r="B579" s="293">
        <v>2024</v>
      </c>
      <c r="C579" s="293">
        <v>12</v>
      </c>
      <c r="D579" s="292" t="s">
        <v>671</v>
      </c>
      <c r="E579" s="292" t="s">
        <v>389</v>
      </c>
      <c r="F579" s="292" t="s">
        <v>717</v>
      </c>
      <c r="G579" s="289">
        <v>-35812.17</v>
      </c>
    </row>
    <row r="580" spans="1:7" x14ac:dyDescent="0.25">
      <c r="A580" s="292" t="s">
        <v>697</v>
      </c>
      <c r="B580" s="293">
        <v>2024</v>
      </c>
      <c r="C580" s="293">
        <v>0</v>
      </c>
      <c r="D580" s="292" t="s">
        <v>671</v>
      </c>
      <c r="E580" s="292" t="s">
        <v>392</v>
      </c>
      <c r="F580" s="292" t="s">
        <v>718</v>
      </c>
      <c r="G580" s="289">
        <v>-80986336.840000004</v>
      </c>
    </row>
    <row r="581" spans="1:7" x14ac:dyDescent="0.25">
      <c r="A581" s="292" t="s">
        <v>697</v>
      </c>
      <c r="B581" s="293">
        <v>2024</v>
      </c>
      <c r="C581" s="293">
        <v>1</v>
      </c>
      <c r="D581" s="292" t="s">
        <v>671</v>
      </c>
      <c r="E581" s="292" t="s">
        <v>392</v>
      </c>
      <c r="F581" s="292" t="s">
        <v>718</v>
      </c>
      <c r="G581" s="289">
        <v>-4317543.84</v>
      </c>
    </row>
    <row r="582" spans="1:7" x14ac:dyDescent="0.25">
      <c r="A582" s="292" t="s">
        <v>697</v>
      </c>
      <c r="B582" s="293">
        <v>2024</v>
      </c>
      <c r="C582" s="293">
        <v>2</v>
      </c>
      <c r="D582" s="292" t="s">
        <v>671</v>
      </c>
      <c r="E582" s="292" t="s">
        <v>392</v>
      </c>
      <c r="F582" s="292" t="s">
        <v>718</v>
      </c>
      <c r="G582" s="289">
        <v>-288025.53999999998</v>
      </c>
    </row>
    <row r="583" spans="1:7" x14ac:dyDescent="0.25">
      <c r="A583" s="292" t="s">
        <v>697</v>
      </c>
      <c r="B583" s="293">
        <v>2024</v>
      </c>
      <c r="C583" s="293">
        <v>3</v>
      </c>
      <c r="D583" s="292" t="s">
        <v>671</v>
      </c>
      <c r="E583" s="292" t="s">
        <v>392</v>
      </c>
      <c r="F583" s="292" t="s">
        <v>718</v>
      </c>
      <c r="G583" s="289">
        <v>-280385.95</v>
      </c>
    </row>
    <row r="584" spans="1:7" x14ac:dyDescent="0.25">
      <c r="A584" s="292" t="s">
        <v>697</v>
      </c>
      <c r="B584" s="293">
        <v>2024</v>
      </c>
      <c r="C584" s="293">
        <v>4</v>
      </c>
      <c r="D584" s="292" t="s">
        <v>671</v>
      </c>
      <c r="E584" s="292" t="s">
        <v>392</v>
      </c>
      <c r="F584" s="292" t="s">
        <v>718</v>
      </c>
      <c r="G584" s="289">
        <v>-273002.46000000002</v>
      </c>
    </row>
    <row r="585" spans="1:7" x14ac:dyDescent="0.25">
      <c r="A585" s="292" t="s">
        <v>697</v>
      </c>
      <c r="B585" s="293">
        <v>2024</v>
      </c>
      <c r="C585" s="293">
        <v>5</v>
      </c>
      <c r="D585" s="292" t="s">
        <v>671</v>
      </c>
      <c r="E585" s="292" t="s">
        <v>392</v>
      </c>
      <c r="F585" s="292" t="s">
        <v>718</v>
      </c>
      <c r="G585" s="289">
        <v>-269522.08</v>
      </c>
    </row>
    <row r="586" spans="1:7" x14ac:dyDescent="0.25">
      <c r="A586" s="292" t="s">
        <v>697</v>
      </c>
      <c r="B586" s="293">
        <v>2024</v>
      </c>
      <c r="C586" s="293">
        <v>6</v>
      </c>
      <c r="D586" s="292" t="s">
        <v>671</v>
      </c>
      <c r="E586" s="292" t="s">
        <v>392</v>
      </c>
      <c r="F586" s="292" t="s">
        <v>718</v>
      </c>
      <c r="G586" s="289">
        <v>-266739.31</v>
      </c>
    </row>
    <row r="587" spans="1:7" x14ac:dyDescent="0.25">
      <c r="A587" s="292" t="s">
        <v>697</v>
      </c>
      <c r="B587" s="293">
        <v>2024</v>
      </c>
      <c r="C587" s="293">
        <v>7</v>
      </c>
      <c r="D587" s="292" t="s">
        <v>671</v>
      </c>
      <c r="E587" s="292" t="s">
        <v>392</v>
      </c>
      <c r="F587" s="292" t="s">
        <v>718</v>
      </c>
      <c r="G587" s="289">
        <v>-263079.78000000003</v>
      </c>
    </row>
    <row r="588" spans="1:7" x14ac:dyDescent="0.25">
      <c r="A588" s="292" t="s">
        <v>697</v>
      </c>
      <c r="B588" s="293">
        <v>2024</v>
      </c>
      <c r="C588" s="293">
        <v>8</v>
      </c>
      <c r="D588" s="292" t="s">
        <v>671</v>
      </c>
      <c r="E588" s="292" t="s">
        <v>392</v>
      </c>
      <c r="F588" s="292" t="s">
        <v>718</v>
      </c>
      <c r="G588" s="289">
        <v>-943663.41</v>
      </c>
    </row>
    <row r="589" spans="1:7" x14ac:dyDescent="0.25">
      <c r="A589" s="292" t="s">
        <v>697</v>
      </c>
      <c r="B589" s="293">
        <v>2024</v>
      </c>
      <c r="C589" s="293">
        <v>9</v>
      </c>
      <c r="D589" s="292" t="s">
        <v>671</v>
      </c>
      <c r="E589" s="292" t="s">
        <v>392</v>
      </c>
      <c r="F589" s="292" t="s">
        <v>718</v>
      </c>
      <c r="G589" s="289">
        <v>-2466137.7000000002</v>
      </c>
    </row>
    <row r="590" spans="1:7" x14ac:dyDescent="0.25">
      <c r="A590" s="292" t="s">
        <v>697</v>
      </c>
      <c r="B590" s="293">
        <v>2024</v>
      </c>
      <c r="C590" s="293">
        <v>10</v>
      </c>
      <c r="D590" s="292" t="s">
        <v>671</v>
      </c>
      <c r="E590" s="292" t="s">
        <v>392</v>
      </c>
      <c r="F590" s="292" t="s">
        <v>718</v>
      </c>
      <c r="G590" s="289">
        <v>-920854.29</v>
      </c>
    </row>
    <row r="591" spans="1:7" x14ac:dyDescent="0.25">
      <c r="A591" s="292" t="s">
        <v>697</v>
      </c>
      <c r="B591" s="293">
        <v>2024</v>
      </c>
      <c r="C591" s="293">
        <v>11</v>
      </c>
      <c r="D591" s="292" t="s">
        <v>671</v>
      </c>
      <c r="E591" s="292" t="s">
        <v>392</v>
      </c>
      <c r="F591" s="292" t="s">
        <v>718</v>
      </c>
      <c r="G591" s="289">
        <v>-639524.22</v>
      </c>
    </row>
    <row r="592" spans="1:7" x14ac:dyDescent="0.25">
      <c r="A592" s="292" t="s">
        <v>697</v>
      </c>
      <c r="B592" s="293">
        <v>2024</v>
      </c>
      <c r="C592" s="293">
        <v>12</v>
      </c>
      <c r="D592" s="292" t="s">
        <v>671</v>
      </c>
      <c r="E592" s="292" t="s">
        <v>392</v>
      </c>
      <c r="F592" s="292" t="s">
        <v>718</v>
      </c>
      <c r="G592" s="289">
        <v>-2956386.99</v>
      </c>
    </row>
    <row r="593" spans="1:7" x14ac:dyDescent="0.25">
      <c r="A593" s="292" t="s">
        <v>697</v>
      </c>
      <c r="B593" s="293">
        <v>2024</v>
      </c>
      <c r="C593" s="293">
        <v>0</v>
      </c>
      <c r="D593" s="292" t="s">
        <v>671</v>
      </c>
      <c r="E593" s="292" t="s">
        <v>395</v>
      </c>
      <c r="F593" s="292" t="s">
        <v>719</v>
      </c>
      <c r="G593" s="289">
        <v>-14430024.890000001</v>
      </c>
    </row>
    <row r="594" spans="1:7" x14ac:dyDescent="0.25">
      <c r="A594" s="292" t="s">
        <v>697</v>
      </c>
      <c r="B594" s="293">
        <v>2024</v>
      </c>
      <c r="C594" s="293">
        <v>1</v>
      </c>
      <c r="D594" s="292" t="s">
        <v>671</v>
      </c>
      <c r="E594" s="292" t="s">
        <v>395</v>
      </c>
      <c r="F594" s="292" t="s">
        <v>719</v>
      </c>
      <c r="G594" s="289">
        <v>3255697.26</v>
      </c>
    </row>
    <row r="595" spans="1:7" x14ac:dyDescent="0.25">
      <c r="A595" s="292" t="s">
        <v>697</v>
      </c>
      <c r="B595" s="293">
        <v>2024</v>
      </c>
      <c r="C595" s="293">
        <v>2</v>
      </c>
      <c r="D595" s="292" t="s">
        <v>671</v>
      </c>
      <c r="E595" s="292" t="s">
        <v>395</v>
      </c>
      <c r="F595" s="292" t="s">
        <v>719</v>
      </c>
      <c r="G595" s="289">
        <v>-552278.74</v>
      </c>
    </row>
    <row r="596" spans="1:7" x14ac:dyDescent="0.25">
      <c r="A596" s="292" t="s">
        <v>697</v>
      </c>
      <c r="B596" s="293">
        <v>2024</v>
      </c>
      <c r="C596" s="293">
        <v>3</v>
      </c>
      <c r="D596" s="292" t="s">
        <v>671</v>
      </c>
      <c r="E596" s="292" t="s">
        <v>395</v>
      </c>
      <c r="F596" s="292" t="s">
        <v>719</v>
      </c>
      <c r="G596" s="289">
        <v>-619969.07999999996</v>
      </c>
    </row>
    <row r="597" spans="1:7" x14ac:dyDescent="0.25">
      <c r="A597" s="292" t="s">
        <v>697</v>
      </c>
      <c r="B597" s="293">
        <v>2024</v>
      </c>
      <c r="C597" s="293">
        <v>4</v>
      </c>
      <c r="D597" s="292" t="s">
        <v>671</v>
      </c>
      <c r="E597" s="292" t="s">
        <v>395</v>
      </c>
      <c r="F597" s="292" t="s">
        <v>719</v>
      </c>
      <c r="G597" s="289">
        <v>-469181.11</v>
      </c>
    </row>
    <row r="598" spans="1:7" x14ac:dyDescent="0.25">
      <c r="A598" s="292" t="s">
        <v>697</v>
      </c>
      <c r="B598" s="293">
        <v>2024</v>
      </c>
      <c r="C598" s="293">
        <v>5</v>
      </c>
      <c r="D598" s="292" t="s">
        <v>671</v>
      </c>
      <c r="E598" s="292" t="s">
        <v>395</v>
      </c>
      <c r="F598" s="292" t="s">
        <v>719</v>
      </c>
      <c r="G598" s="289">
        <v>-925686.87</v>
      </c>
    </row>
    <row r="599" spans="1:7" x14ac:dyDescent="0.25">
      <c r="A599" s="292" t="s">
        <v>697</v>
      </c>
      <c r="B599" s="293">
        <v>2024</v>
      </c>
      <c r="C599" s="293">
        <v>6</v>
      </c>
      <c r="D599" s="292" t="s">
        <v>671</v>
      </c>
      <c r="E599" s="292" t="s">
        <v>395</v>
      </c>
      <c r="F599" s="292" t="s">
        <v>719</v>
      </c>
      <c r="G599" s="289">
        <v>-992213.93</v>
      </c>
    </row>
    <row r="600" spans="1:7" x14ac:dyDescent="0.25">
      <c r="A600" s="292" t="s">
        <v>697</v>
      </c>
      <c r="B600" s="293">
        <v>2024</v>
      </c>
      <c r="C600" s="293">
        <v>7</v>
      </c>
      <c r="D600" s="292" t="s">
        <v>671</v>
      </c>
      <c r="E600" s="292" t="s">
        <v>395</v>
      </c>
      <c r="F600" s="292" t="s">
        <v>719</v>
      </c>
      <c r="G600" s="289">
        <v>-700921.72</v>
      </c>
    </row>
    <row r="601" spans="1:7" x14ac:dyDescent="0.25">
      <c r="A601" s="292" t="s">
        <v>697</v>
      </c>
      <c r="B601" s="293">
        <v>2024</v>
      </c>
      <c r="C601" s="293">
        <v>8</v>
      </c>
      <c r="D601" s="292" t="s">
        <v>671</v>
      </c>
      <c r="E601" s="292" t="s">
        <v>395</v>
      </c>
      <c r="F601" s="292" t="s">
        <v>719</v>
      </c>
      <c r="G601" s="289">
        <v>155672.92000000001</v>
      </c>
    </row>
    <row r="602" spans="1:7" x14ac:dyDescent="0.25">
      <c r="A602" s="292" t="s">
        <v>697</v>
      </c>
      <c r="B602" s="293">
        <v>2024</v>
      </c>
      <c r="C602" s="293">
        <v>9</v>
      </c>
      <c r="D602" s="292" t="s">
        <v>671</v>
      </c>
      <c r="E602" s="292" t="s">
        <v>395</v>
      </c>
      <c r="F602" s="292" t="s">
        <v>719</v>
      </c>
      <c r="G602" s="289">
        <v>646410.76</v>
      </c>
    </row>
    <row r="603" spans="1:7" x14ac:dyDescent="0.25">
      <c r="A603" s="292" t="s">
        <v>697</v>
      </c>
      <c r="B603" s="293">
        <v>2024</v>
      </c>
      <c r="C603" s="293">
        <v>10</v>
      </c>
      <c r="D603" s="292" t="s">
        <v>671</v>
      </c>
      <c r="E603" s="292" t="s">
        <v>395</v>
      </c>
      <c r="F603" s="292" t="s">
        <v>719</v>
      </c>
      <c r="G603" s="289">
        <v>2485008.41</v>
      </c>
    </row>
    <row r="604" spans="1:7" x14ac:dyDescent="0.25">
      <c r="A604" s="292" t="s">
        <v>697</v>
      </c>
      <c r="B604" s="293">
        <v>2024</v>
      </c>
      <c r="C604" s="293">
        <v>11</v>
      </c>
      <c r="D604" s="292" t="s">
        <v>671</v>
      </c>
      <c r="E604" s="292" t="s">
        <v>395</v>
      </c>
      <c r="F604" s="292" t="s">
        <v>719</v>
      </c>
      <c r="G604" s="289">
        <v>-195322.33</v>
      </c>
    </row>
    <row r="605" spans="1:7" x14ac:dyDescent="0.25">
      <c r="A605" s="292" t="s">
        <v>697</v>
      </c>
      <c r="B605" s="293">
        <v>2024</v>
      </c>
      <c r="C605" s="293">
        <v>12</v>
      </c>
      <c r="D605" s="292" t="s">
        <v>671</v>
      </c>
      <c r="E605" s="292" t="s">
        <v>395</v>
      </c>
      <c r="F605" s="292" t="s">
        <v>719</v>
      </c>
      <c r="G605" s="289">
        <v>2281438.09</v>
      </c>
    </row>
    <row r="606" spans="1:7" x14ac:dyDescent="0.25">
      <c r="A606" s="292" t="s">
        <v>697</v>
      </c>
      <c r="B606" s="293">
        <v>2024</v>
      </c>
      <c r="C606" s="293">
        <v>0</v>
      </c>
      <c r="D606" s="292" t="s">
        <v>671</v>
      </c>
      <c r="E606" s="292" t="s">
        <v>398</v>
      </c>
      <c r="F606" s="292" t="s">
        <v>672</v>
      </c>
      <c r="G606" s="289">
        <v>1285.6099999999999</v>
      </c>
    </row>
    <row r="607" spans="1:7" x14ac:dyDescent="0.25">
      <c r="A607" s="292" t="s">
        <v>697</v>
      </c>
      <c r="B607" s="293">
        <v>2024</v>
      </c>
      <c r="C607" s="293">
        <v>1</v>
      </c>
      <c r="D607" s="292" t="s">
        <v>671</v>
      </c>
      <c r="E607" s="292" t="s">
        <v>398</v>
      </c>
      <c r="F607" s="292" t="s">
        <v>672</v>
      </c>
      <c r="G607" s="289">
        <v>135.29</v>
      </c>
    </row>
    <row r="608" spans="1:7" x14ac:dyDescent="0.25">
      <c r="A608" s="292" t="s">
        <v>697</v>
      </c>
      <c r="B608" s="293">
        <v>2024</v>
      </c>
      <c r="C608" s="293">
        <v>2</v>
      </c>
      <c r="D608" s="292" t="s">
        <v>671</v>
      </c>
      <c r="E608" s="292" t="s">
        <v>398</v>
      </c>
      <c r="F608" s="292" t="s">
        <v>672</v>
      </c>
      <c r="G608" s="289">
        <v>135.30000000000001</v>
      </c>
    </row>
    <row r="609" spans="1:7" x14ac:dyDescent="0.25">
      <c r="A609" s="292" t="s">
        <v>697</v>
      </c>
      <c r="B609" s="293">
        <v>2024</v>
      </c>
      <c r="C609" s="293">
        <v>3</v>
      </c>
      <c r="D609" s="292" t="s">
        <v>671</v>
      </c>
      <c r="E609" s="292" t="s">
        <v>398</v>
      </c>
      <c r="F609" s="292" t="s">
        <v>672</v>
      </c>
      <c r="G609" s="289">
        <v>135.29</v>
      </c>
    </row>
    <row r="610" spans="1:7" x14ac:dyDescent="0.25">
      <c r="A610" s="292" t="s">
        <v>697</v>
      </c>
      <c r="B610" s="293">
        <v>2024</v>
      </c>
      <c r="C610" s="293">
        <v>4</v>
      </c>
      <c r="D610" s="292" t="s">
        <v>671</v>
      </c>
      <c r="E610" s="292" t="s">
        <v>398</v>
      </c>
      <c r="F610" s="292" t="s">
        <v>672</v>
      </c>
      <c r="G610" s="289">
        <v>135.29</v>
      </c>
    </row>
    <row r="611" spans="1:7" x14ac:dyDescent="0.25">
      <c r="A611" s="292" t="s">
        <v>697</v>
      </c>
      <c r="B611" s="293">
        <v>2024</v>
      </c>
      <c r="C611" s="293">
        <v>5</v>
      </c>
      <c r="D611" s="292" t="s">
        <v>671</v>
      </c>
      <c r="E611" s="292" t="s">
        <v>398</v>
      </c>
      <c r="F611" s="292" t="s">
        <v>672</v>
      </c>
      <c r="G611" s="289">
        <v>135.29</v>
      </c>
    </row>
    <row r="612" spans="1:7" x14ac:dyDescent="0.25">
      <c r="A612" s="292" t="s">
        <v>697</v>
      </c>
      <c r="B612" s="293">
        <v>2024</v>
      </c>
      <c r="C612" s="293">
        <v>6</v>
      </c>
      <c r="D612" s="292" t="s">
        <v>671</v>
      </c>
      <c r="E612" s="292" t="s">
        <v>398</v>
      </c>
      <c r="F612" s="292" t="s">
        <v>672</v>
      </c>
      <c r="G612" s="289">
        <v>135.30000000000001</v>
      </c>
    </row>
    <row r="613" spans="1:7" x14ac:dyDescent="0.25">
      <c r="A613" s="292" t="s">
        <v>697</v>
      </c>
      <c r="B613" s="293">
        <v>2024</v>
      </c>
      <c r="C613" s="293">
        <v>7</v>
      </c>
      <c r="D613" s="292" t="s">
        <v>671</v>
      </c>
      <c r="E613" s="292" t="s">
        <v>398</v>
      </c>
      <c r="F613" s="292" t="s">
        <v>672</v>
      </c>
      <c r="G613" s="289">
        <v>135.29</v>
      </c>
    </row>
    <row r="614" spans="1:7" x14ac:dyDescent="0.25">
      <c r="A614" s="292" t="s">
        <v>697</v>
      </c>
      <c r="B614" s="293">
        <v>2024</v>
      </c>
      <c r="C614" s="293">
        <v>8</v>
      </c>
      <c r="D614" s="292" t="s">
        <v>671</v>
      </c>
      <c r="E614" s="292" t="s">
        <v>398</v>
      </c>
      <c r="F614" s="292" t="s">
        <v>672</v>
      </c>
      <c r="G614" s="289">
        <v>135.29</v>
      </c>
    </row>
    <row r="615" spans="1:7" x14ac:dyDescent="0.25">
      <c r="A615" s="292" t="s">
        <v>697</v>
      </c>
      <c r="B615" s="293">
        <v>2024</v>
      </c>
      <c r="C615" s="293">
        <v>9</v>
      </c>
      <c r="D615" s="292" t="s">
        <v>671</v>
      </c>
      <c r="E615" s="292" t="s">
        <v>398</v>
      </c>
      <c r="F615" s="292" t="s">
        <v>672</v>
      </c>
      <c r="G615" s="289">
        <v>135.29</v>
      </c>
    </row>
    <row r="616" spans="1:7" x14ac:dyDescent="0.25">
      <c r="A616" s="292" t="s">
        <v>697</v>
      </c>
      <c r="B616" s="293">
        <v>2024</v>
      </c>
      <c r="C616" s="293">
        <v>10</v>
      </c>
      <c r="D616" s="292" t="s">
        <v>671</v>
      </c>
      <c r="E616" s="292" t="s">
        <v>398</v>
      </c>
      <c r="F616" s="292" t="s">
        <v>672</v>
      </c>
      <c r="G616" s="289">
        <v>-1150.31</v>
      </c>
    </row>
    <row r="617" spans="1:7" x14ac:dyDescent="0.25">
      <c r="A617" s="292" t="s">
        <v>697</v>
      </c>
      <c r="B617" s="293">
        <v>2024</v>
      </c>
      <c r="C617" s="293">
        <v>11</v>
      </c>
      <c r="D617" s="292" t="s">
        <v>671</v>
      </c>
      <c r="E617" s="292" t="s">
        <v>398</v>
      </c>
      <c r="F617" s="292" t="s">
        <v>672</v>
      </c>
      <c r="G617" s="289">
        <v>135.29</v>
      </c>
    </row>
    <row r="618" spans="1:7" x14ac:dyDescent="0.25">
      <c r="A618" s="292" t="s">
        <v>697</v>
      </c>
      <c r="B618" s="293">
        <v>2024</v>
      </c>
      <c r="C618" s="293">
        <v>12</v>
      </c>
      <c r="D618" s="292" t="s">
        <v>671</v>
      </c>
      <c r="E618" s="292" t="s">
        <v>398</v>
      </c>
      <c r="F618" s="292" t="s">
        <v>672</v>
      </c>
      <c r="G618" s="289">
        <v>135.29</v>
      </c>
    </row>
    <row r="619" spans="1:7" x14ac:dyDescent="0.25">
      <c r="A619" s="292" t="s">
        <v>697</v>
      </c>
      <c r="B619" s="293">
        <v>2024</v>
      </c>
      <c r="C619" s="293">
        <v>0</v>
      </c>
      <c r="D619" s="292" t="s">
        <v>665</v>
      </c>
      <c r="E619" s="292" t="s">
        <v>399</v>
      </c>
      <c r="F619" s="292" t="s">
        <v>720</v>
      </c>
      <c r="G619" s="289">
        <v>17213969</v>
      </c>
    </row>
    <row r="620" spans="1:7" x14ac:dyDescent="0.25">
      <c r="A620" s="292" t="s">
        <v>697</v>
      </c>
      <c r="B620" s="293">
        <v>2024</v>
      </c>
      <c r="C620" s="293">
        <v>1</v>
      </c>
      <c r="D620" s="292" t="s">
        <v>665</v>
      </c>
      <c r="E620" s="292" t="s">
        <v>399</v>
      </c>
      <c r="F620" s="292" t="s">
        <v>720</v>
      </c>
      <c r="G620" s="289">
        <v>-307189</v>
      </c>
    </row>
    <row r="621" spans="1:7" x14ac:dyDescent="0.25">
      <c r="A621" s="292" t="s">
        <v>697</v>
      </c>
      <c r="B621" s="293">
        <v>2024</v>
      </c>
      <c r="C621" s="293">
        <v>2</v>
      </c>
      <c r="D621" s="292" t="s">
        <v>665</v>
      </c>
      <c r="E621" s="292" t="s">
        <v>399</v>
      </c>
      <c r="F621" s="292" t="s">
        <v>720</v>
      </c>
      <c r="G621" s="289">
        <v>-307189</v>
      </c>
    </row>
    <row r="622" spans="1:7" x14ac:dyDescent="0.25">
      <c r="A622" s="292" t="s">
        <v>697</v>
      </c>
      <c r="B622" s="293">
        <v>2024</v>
      </c>
      <c r="C622" s="293">
        <v>3</v>
      </c>
      <c r="D622" s="292" t="s">
        <v>665</v>
      </c>
      <c r="E622" s="292" t="s">
        <v>399</v>
      </c>
      <c r="F622" s="292" t="s">
        <v>720</v>
      </c>
      <c r="G622" s="289">
        <v>-307189</v>
      </c>
    </row>
    <row r="623" spans="1:7" x14ac:dyDescent="0.25">
      <c r="A623" s="292" t="s">
        <v>697</v>
      </c>
      <c r="B623" s="293">
        <v>2024</v>
      </c>
      <c r="C623" s="293">
        <v>4</v>
      </c>
      <c r="D623" s="292" t="s">
        <v>665</v>
      </c>
      <c r="E623" s="292" t="s">
        <v>399</v>
      </c>
      <c r="F623" s="292" t="s">
        <v>720</v>
      </c>
      <c r="G623" s="289">
        <v>-307189</v>
      </c>
    </row>
    <row r="624" spans="1:7" x14ac:dyDescent="0.25">
      <c r="A624" s="292" t="s">
        <v>697</v>
      </c>
      <c r="B624" s="293">
        <v>2024</v>
      </c>
      <c r="C624" s="293">
        <v>5</v>
      </c>
      <c r="D624" s="292" t="s">
        <v>665</v>
      </c>
      <c r="E624" s="292" t="s">
        <v>399</v>
      </c>
      <c r="F624" s="292" t="s">
        <v>720</v>
      </c>
      <c r="G624" s="289">
        <v>-307189</v>
      </c>
    </row>
    <row r="625" spans="1:7" x14ac:dyDescent="0.25">
      <c r="A625" s="292" t="s">
        <v>697</v>
      </c>
      <c r="B625" s="293">
        <v>2024</v>
      </c>
      <c r="C625" s="293">
        <v>6</v>
      </c>
      <c r="D625" s="292" t="s">
        <v>665</v>
      </c>
      <c r="E625" s="292" t="s">
        <v>399</v>
      </c>
      <c r="F625" s="292" t="s">
        <v>720</v>
      </c>
      <c r="G625" s="289">
        <v>-307189</v>
      </c>
    </row>
    <row r="626" spans="1:7" x14ac:dyDescent="0.25">
      <c r="A626" s="292" t="s">
        <v>697</v>
      </c>
      <c r="B626" s="293">
        <v>2024</v>
      </c>
      <c r="C626" s="293">
        <v>7</v>
      </c>
      <c r="D626" s="292" t="s">
        <v>665</v>
      </c>
      <c r="E626" s="292" t="s">
        <v>399</v>
      </c>
      <c r="F626" s="292" t="s">
        <v>720</v>
      </c>
      <c r="G626" s="289">
        <v>-307189</v>
      </c>
    </row>
    <row r="627" spans="1:7" x14ac:dyDescent="0.25">
      <c r="A627" s="292" t="s">
        <v>697</v>
      </c>
      <c r="B627" s="293">
        <v>2024</v>
      </c>
      <c r="C627" s="293">
        <v>8</v>
      </c>
      <c r="D627" s="292" t="s">
        <v>665</v>
      </c>
      <c r="E627" s="292" t="s">
        <v>399</v>
      </c>
      <c r="F627" s="292" t="s">
        <v>720</v>
      </c>
      <c r="G627" s="289">
        <v>-307189</v>
      </c>
    </row>
    <row r="628" spans="1:7" x14ac:dyDescent="0.25">
      <c r="A628" s="292" t="s">
        <v>697</v>
      </c>
      <c r="B628" s="293">
        <v>2024</v>
      </c>
      <c r="C628" s="293">
        <v>9</v>
      </c>
      <c r="D628" s="292" t="s">
        <v>665</v>
      </c>
      <c r="E628" s="292" t="s">
        <v>399</v>
      </c>
      <c r="F628" s="292" t="s">
        <v>720</v>
      </c>
      <c r="G628" s="289">
        <v>-307189</v>
      </c>
    </row>
    <row r="629" spans="1:7" x14ac:dyDescent="0.25">
      <c r="A629" s="292" t="s">
        <v>697</v>
      </c>
      <c r="B629" s="293">
        <v>2024</v>
      </c>
      <c r="C629" s="293">
        <v>10</v>
      </c>
      <c r="D629" s="292" t="s">
        <v>665</v>
      </c>
      <c r="E629" s="292" t="s">
        <v>399</v>
      </c>
      <c r="F629" s="292" t="s">
        <v>720</v>
      </c>
      <c r="G629" s="289">
        <v>-307189</v>
      </c>
    </row>
    <row r="630" spans="1:7" x14ac:dyDescent="0.25">
      <c r="A630" s="292" t="s">
        <v>697</v>
      </c>
      <c r="B630" s="293">
        <v>2024</v>
      </c>
      <c r="C630" s="293">
        <v>11</v>
      </c>
      <c r="D630" s="292" t="s">
        <v>665</v>
      </c>
      <c r="E630" s="292" t="s">
        <v>399</v>
      </c>
      <c r="F630" s="292" t="s">
        <v>720</v>
      </c>
      <c r="G630" s="289">
        <v>-307189</v>
      </c>
    </row>
    <row r="631" spans="1:7" x14ac:dyDescent="0.25">
      <c r="A631" s="292" t="s">
        <v>697</v>
      </c>
      <c r="B631" s="293">
        <v>2024</v>
      </c>
      <c r="C631" s="293">
        <v>12</v>
      </c>
      <c r="D631" s="292" t="s">
        <v>665</v>
      </c>
      <c r="E631" s="292" t="s">
        <v>399</v>
      </c>
      <c r="F631" s="292" t="s">
        <v>720</v>
      </c>
      <c r="G631" s="289">
        <v>-307189</v>
      </c>
    </row>
    <row r="632" spans="1:7" x14ac:dyDescent="0.25">
      <c r="A632" s="292" t="s">
        <v>697</v>
      </c>
      <c r="B632" s="293">
        <v>2024</v>
      </c>
      <c r="C632" s="293">
        <v>0</v>
      </c>
      <c r="D632" s="292" t="s">
        <v>665</v>
      </c>
      <c r="E632" s="292" t="s">
        <v>400</v>
      </c>
      <c r="F632" s="292" t="s">
        <v>721</v>
      </c>
      <c r="G632" s="289">
        <v>-3198923.89</v>
      </c>
    </row>
    <row r="633" spans="1:7" x14ac:dyDescent="0.25">
      <c r="A633" s="292" t="s">
        <v>697</v>
      </c>
      <c r="B633" s="293">
        <v>2024</v>
      </c>
      <c r="C633" s="293">
        <v>1</v>
      </c>
      <c r="D633" s="292" t="s">
        <v>665</v>
      </c>
      <c r="E633" s="292" t="s">
        <v>400</v>
      </c>
      <c r="F633" s="292" t="s">
        <v>721</v>
      </c>
      <c r="G633" s="289">
        <v>57214.37</v>
      </c>
    </row>
    <row r="634" spans="1:7" x14ac:dyDescent="0.25">
      <c r="A634" s="292" t="s">
        <v>697</v>
      </c>
      <c r="B634" s="293">
        <v>2024</v>
      </c>
      <c r="C634" s="293">
        <v>2</v>
      </c>
      <c r="D634" s="292" t="s">
        <v>665</v>
      </c>
      <c r="E634" s="292" t="s">
        <v>400</v>
      </c>
      <c r="F634" s="292" t="s">
        <v>721</v>
      </c>
      <c r="G634" s="289">
        <v>57214.37</v>
      </c>
    </row>
    <row r="635" spans="1:7" x14ac:dyDescent="0.25">
      <c r="A635" s="292" t="s">
        <v>697</v>
      </c>
      <c r="B635" s="293">
        <v>2024</v>
      </c>
      <c r="C635" s="293">
        <v>3</v>
      </c>
      <c r="D635" s="292" t="s">
        <v>665</v>
      </c>
      <c r="E635" s="292" t="s">
        <v>400</v>
      </c>
      <c r="F635" s="292" t="s">
        <v>721</v>
      </c>
      <c r="G635" s="289">
        <v>57214.37</v>
      </c>
    </row>
    <row r="636" spans="1:7" x14ac:dyDescent="0.25">
      <c r="A636" s="292" t="s">
        <v>697</v>
      </c>
      <c r="B636" s="293">
        <v>2024</v>
      </c>
      <c r="C636" s="293">
        <v>4</v>
      </c>
      <c r="D636" s="292" t="s">
        <v>665</v>
      </c>
      <c r="E636" s="292" t="s">
        <v>400</v>
      </c>
      <c r="F636" s="292" t="s">
        <v>721</v>
      </c>
      <c r="G636" s="289">
        <v>57214.36</v>
      </c>
    </row>
    <row r="637" spans="1:7" x14ac:dyDescent="0.25">
      <c r="A637" s="292" t="s">
        <v>697</v>
      </c>
      <c r="B637" s="293">
        <v>2024</v>
      </c>
      <c r="C637" s="293">
        <v>5</v>
      </c>
      <c r="D637" s="292" t="s">
        <v>665</v>
      </c>
      <c r="E637" s="292" t="s">
        <v>400</v>
      </c>
      <c r="F637" s="292" t="s">
        <v>721</v>
      </c>
      <c r="G637" s="289">
        <v>57214.37</v>
      </c>
    </row>
    <row r="638" spans="1:7" x14ac:dyDescent="0.25">
      <c r="A638" s="292" t="s">
        <v>697</v>
      </c>
      <c r="B638" s="293">
        <v>2024</v>
      </c>
      <c r="C638" s="293">
        <v>6</v>
      </c>
      <c r="D638" s="292" t="s">
        <v>665</v>
      </c>
      <c r="E638" s="292" t="s">
        <v>400</v>
      </c>
      <c r="F638" s="292" t="s">
        <v>721</v>
      </c>
      <c r="G638" s="289">
        <v>57214.37</v>
      </c>
    </row>
    <row r="639" spans="1:7" x14ac:dyDescent="0.25">
      <c r="A639" s="292" t="s">
        <v>697</v>
      </c>
      <c r="B639" s="293">
        <v>2024</v>
      </c>
      <c r="C639" s="293">
        <v>7</v>
      </c>
      <c r="D639" s="292" t="s">
        <v>665</v>
      </c>
      <c r="E639" s="292" t="s">
        <v>400</v>
      </c>
      <c r="F639" s="292" t="s">
        <v>721</v>
      </c>
      <c r="G639" s="289">
        <v>57214.36</v>
      </c>
    </row>
    <row r="640" spans="1:7" x14ac:dyDescent="0.25">
      <c r="A640" s="292" t="s">
        <v>697</v>
      </c>
      <c r="B640" s="293">
        <v>2024</v>
      </c>
      <c r="C640" s="293">
        <v>8</v>
      </c>
      <c r="D640" s="292" t="s">
        <v>665</v>
      </c>
      <c r="E640" s="292" t="s">
        <v>400</v>
      </c>
      <c r="F640" s="292" t="s">
        <v>721</v>
      </c>
      <c r="G640" s="289">
        <v>57214.37</v>
      </c>
    </row>
    <row r="641" spans="1:7" x14ac:dyDescent="0.25">
      <c r="A641" s="292" t="s">
        <v>697</v>
      </c>
      <c r="B641" s="293">
        <v>2024</v>
      </c>
      <c r="C641" s="293">
        <v>9</v>
      </c>
      <c r="D641" s="292" t="s">
        <v>665</v>
      </c>
      <c r="E641" s="292" t="s">
        <v>400</v>
      </c>
      <c r="F641" s="292" t="s">
        <v>721</v>
      </c>
      <c r="G641" s="289">
        <v>57214.37</v>
      </c>
    </row>
    <row r="642" spans="1:7" x14ac:dyDescent="0.25">
      <c r="A642" s="292" t="s">
        <v>697</v>
      </c>
      <c r="B642" s="293">
        <v>2024</v>
      </c>
      <c r="C642" s="293">
        <v>10</v>
      </c>
      <c r="D642" s="292" t="s">
        <v>665</v>
      </c>
      <c r="E642" s="292" t="s">
        <v>400</v>
      </c>
      <c r="F642" s="292" t="s">
        <v>721</v>
      </c>
      <c r="G642" s="289">
        <v>57214.36</v>
      </c>
    </row>
    <row r="643" spans="1:7" x14ac:dyDescent="0.25">
      <c r="A643" s="292" t="s">
        <v>697</v>
      </c>
      <c r="B643" s="293">
        <v>2024</v>
      </c>
      <c r="C643" s="293">
        <v>11</v>
      </c>
      <c r="D643" s="292" t="s">
        <v>665</v>
      </c>
      <c r="E643" s="292" t="s">
        <v>400</v>
      </c>
      <c r="F643" s="292" t="s">
        <v>721</v>
      </c>
      <c r="G643" s="289">
        <v>57214.37</v>
      </c>
    </row>
    <row r="644" spans="1:7" x14ac:dyDescent="0.25">
      <c r="A644" s="292" t="s">
        <v>697</v>
      </c>
      <c r="B644" s="293">
        <v>2024</v>
      </c>
      <c r="C644" s="293">
        <v>12</v>
      </c>
      <c r="D644" s="292" t="s">
        <v>665</v>
      </c>
      <c r="E644" s="292" t="s">
        <v>400</v>
      </c>
      <c r="F644" s="292" t="s">
        <v>721</v>
      </c>
      <c r="G644" s="289">
        <v>57214.37</v>
      </c>
    </row>
    <row r="645" spans="1:7" x14ac:dyDescent="0.25">
      <c r="A645" s="292" t="s">
        <v>697</v>
      </c>
      <c r="B645" s="293">
        <v>2024</v>
      </c>
      <c r="C645" s="293">
        <v>0</v>
      </c>
      <c r="D645" s="292" t="s">
        <v>665</v>
      </c>
      <c r="E645" s="292" t="s">
        <v>401</v>
      </c>
      <c r="F645" s="292" t="s">
        <v>722</v>
      </c>
      <c r="G645" s="289">
        <v>-17213969</v>
      </c>
    </row>
    <row r="646" spans="1:7" x14ac:dyDescent="0.25">
      <c r="A646" s="292" t="s">
        <v>697</v>
      </c>
      <c r="B646" s="293">
        <v>2024</v>
      </c>
      <c r="C646" s="293">
        <v>1</v>
      </c>
      <c r="D646" s="292" t="s">
        <v>665</v>
      </c>
      <c r="E646" s="292" t="s">
        <v>401</v>
      </c>
      <c r="F646" s="292" t="s">
        <v>722</v>
      </c>
      <c r="G646" s="289">
        <v>307189</v>
      </c>
    </row>
    <row r="647" spans="1:7" x14ac:dyDescent="0.25">
      <c r="A647" s="292" t="s">
        <v>697</v>
      </c>
      <c r="B647" s="293">
        <v>2024</v>
      </c>
      <c r="C647" s="293">
        <v>2</v>
      </c>
      <c r="D647" s="292" t="s">
        <v>665</v>
      </c>
      <c r="E647" s="292" t="s">
        <v>401</v>
      </c>
      <c r="F647" s="292" t="s">
        <v>722</v>
      </c>
      <c r="G647" s="289">
        <v>307189</v>
      </c>
    </row>
    <row r="648" spans="1:7" x14ac:dyDescent="0.25">
      <c r="A648" s="292" t="s">
        <v>697</v>
      </c>
      <c r="B648" s="293">
        <v>2024</v>
      </c>
      <c r="C648" s="293">
        <v>3</v>
      </c>
      <c r="D648" s="292" t="s">
        <v>665</v>
      </c>
      <c r="E648" s="292" t="s">
        <v>401</v>
      </c>
      <c r="F648" s="292" t="s">
        <v>722</v>
      </c>
      <c r="G648" s="289">
        <v>307189</v>
      </c>
    </row>
    <row r="649" spans="1:7" x14ac:dyDescent="0.25">
      <c r="A649" s="292" t="s">
        <v>697</v>
      </c>
      <c r="B649" s="293">
        <v>2024</v>
      </c>
      <c r="C649" s="293">
        <v>4</v>
      </c>
      <c r="D649" s="292" t="s">
        <v>665</v>
      </c>
      <c r="E649" s="292" t="s">
        <v>401</v>
      </c>
      <c r="F649" s="292" t="s">
        <v>722</v>
      </c>
      <c r="G649" s="289">
        <v>307189</v>
      </c>
    </row>
    <row r="650" spans="1:7" x14ac:dyDescent="0.25">
      <c r="A650" s="292" t="s">
        <v>697</v>
      </c>
      <c r="B650" s="293">
        <v>2024</v>
      </c>
      <c r="C650" s="293">
        <v>5</v>
      </c>
      <c r="D650" s="292" t="s">
        <v>665</v>
      </c>
      <c r="E650" s="292" t="s">
        <v>401</v>
      </c>
      <c r="F650" s="292" t="s">
        <v>722</v>
      </c>
      <c r="G650" s="289">
        <v>307189</v>
      </c>
    </row>
    <row r="651" spans="1:7" x14ac:dyDescent="0.25">
      <c r="A651" s="292" t="s">
        <v>697</v>
      </c>
      <c r="B651" s="293">
        <v>2024</v>
      </c>
      <c r="C651" s="293">
        <v>6</v>
      </c>
      <c r="D651" s="292" t="s">
        <v>665</v>
      </c>
      <c r="E651" s="292" t="s">
        <v>401</v>
      </c>
      <c r="F651" s="292" t="s">
        <v>722</v>
      </c>
      <c r="G651" s="289">
        <v>307189</v>
      </c>
    </row>
    <row r="652" spans="1:7" x14ac:dyDescent="0.25">
      <c r="A652" s="292" t="s">
        <v>697</v>
      </c>
      <c r="B652" s="293">
        <v>2024</v>
      </c>
      <c r="C652" s="293">
        <v>7</v>
      </c>
      <c r="D652" s="292" t="s">
        <v>665</v>
      </c>
      <c r="E652" s="292" t="s">
        <v>401</v>
      </c>
      <c r="F652" s="292" t="s">
        <v>722</v>
      </c>
      <c r="G652" s="289">
        <v>307189</v>
      </c>
    </row>
    <row r="653" spans="1:7" x14ac:dyDescent="0.25">
      <c r="A653" s="292" t="s">
        <v>697</v>
      </c>
      <c r="B653" s="293">
        <v>2024</v>
      </c>
      <c r="C653" s="293">
        <v>8</v>
      </c>
      <c r="D653" s="292" t="s">
        <v>665</v>
      </c>
      <c r="E653" s="292" t="s">
        <v>401</v>
      </c>
      <c r="F653" s="292" t="s">
        <v>722</v>
      </c>
      <c r="G653" s="289">
        <v>307189</v>
      </c>
    </row>
    <row r="654" spans="1:7" x14ac:dyDescent="0.25">
      <c r="A654" s="292" t="s">
        <v>697</v>
      </c>
      <c r="B654" s="293">
        <v>2024</v>
      </c>
      <c r="C654" s="293">
        <v>9</v>
      </c>
      <c r="D654" s="292" t="s">
        <v>665</v>
      </c>
      <c r="E654" s="292" t="s">
        <v>401</v>
      </c>
      <c r="F654" s="292" t="s">
        <v>722</v>
      </c>
      <c r="G654" s="289">
        <v>307189</v>
      </c>
    </row>
    <row r="655" spans="1:7" x14ac:dyDescent="0.25">
      <c r="A655" s="292" t="s">
        <v>697</v>
      </c>
      <c r="B655" s="293">
        <v>2024</v>
      </c>
      <c r="C655" s="293">
        <v>10</v>
      </c>
      <c r="D655" s="292" t="s">
        <v>665</v>
      </c>
      <c r="E655" s="292" t="s">
        <v>401</v>
      </c>
      <c r="F655" s="292" t="s">
        <v>722</v>
      </c>
      <c r="G655" s="289">
        <v>307189</v>
      </c>
    </row>
    <row r="656" spans="1:7" x14ac:dyDescent="0.25">
      <c r="A656" s="292" t="s">
        <v>697</v>
      </c>
      <c r="B656" s="293">
        <v>2024</v>
      </c>
      <c r="C656" s="293">
        <v>11</v>
      </c>
      <c r="D656" s="292" t="s">
        <v>665</v>
      </c>
      <c r="E656" s="292" t="s">
        <v>401</v>
      </c>
      <c r="F656" s="292" t="s">
        <v>722</v>
      </c>
      <c r="G656" s="289">
        <v>307189</v>
      </c>
    </row>
    <row r="657" spans="1:7" x14ac:dyDescent="0.25">
      <c r="A657" s="292" t="s">
        <v>697</v>
      </c>
      <c r="B657" s="293">
        <v>2024</v>
      </c>
      <c r="C657" s="293">
        <v>12</v>
      </c>
      <c r="D657" s="292" t="s">
        <v>665</v>
      </c>
      <c r="E657" s="292" t="s">
        <v>401</v>
      </c>
      <c r="F657" s="292" t="s">
        <v>722</v>
      </c>
      <c r="G657" s="289">
        <v>307189</v>
      </c>
    </row>
    <row r="658" spans="1:7" x14ac:dyDescent="0.25">
      <c r="A658" s="292" t="s">
        <v>697</v>
      </c>
      <c r="B658" s="293">
        <v>2024</v>
      </c>
      <c r="C658" s="293">
        <v>0</v>
      </c>
      <c r="D658" s="292" t="s">
        <v>665</v>
      </c>
      <c r="E658" s="292" t="s">
        <v>411</v>
      </c>
      <c r="F658" s="292" t="s">
        <v>693</v>
      </c>
      <c r="G658" s="289">
        <v>-1117362.6200000001</v>
      </c>
    </row>
    <row r="659" spans="1:7" x14ac:dyDescent="0.25">
      <c r="A659" s="292" t="s">
        <v>697</v>
      </c>
      <c r="B659" s="293">
        <v>2024</v>
      </c>
      <c r="C659" s="293">
        <v>12</v>
      </c>
      <c r="D659" s="292" t="s">
        <v>665</v>
      </c>
      <c r="E659" s="292" t="s">
        <v>411</v>
      </c>
      <c r="F659" s="292" t="s">
        <v>693</v>
      </c>
      <c r="G659" s="289">
        <v>790324.29</v>
      </c>
    </row>
    <row r="660" spans="1:7" x14ac:dyDescent="0.25">
      <c r="A660" s="292" t="s">
        <v>697</v>
      </c>
      <c r="B660" s="293">
        <v>2024</v>
      </c>
      <c r="C660" s="293">
        <v>0</v>
      </c>
      <c r="D660" s="292" t="s">
        <v>665</v>
      </c>
      <c r="E660" s="292" t="s">
        <v>412</v>
      </c>
      <c r="F660" s="292" t="s">
        <v>723</v>
      </c>
      <c r="G660" s="289">
        <v>-15236300.34</v>
      </c>
    </row>
    <row r="661" spans="1:7" x14ac:dyDescent="0.25">
      <c r="A661" s="292" t="s">
        <v>697</v>
      </c>
      <c r="B661" s="293">
        <v>2024</v>
      </c>
      <c r="C661" s="293">
        <v>1</v>
      </c>
      <c r="D661" s="292" t="s">
        <v>665</v>
      </c>
      <c r="E661" s="292" t="s">
        <v>412</v>
      </c>
      <c r="F661" s="292" t="s">
        <v>723</v>
      </c>
      <c r="G661" s="289">
        <v>-300219.49</v>
      </c>
    </row>
    <row r="662" spans="1:7" x14ac:dyDescent="0.25">
      <c r="A662" s="292" t="s">
        <v>697</v>
      </c>
      <c r="B662" s="293">
        <v>2024</v>
      </c>
      <c r="C662" s="293">
        <v>2</v>
      </c>
      <c r="D662" s="292" t="s">
        <v>665</v>
      </c>
      <c r="E662" s="292" t="s">
        <v>412</v>
      </c>
      <c r="F662" s="292" t="s">
        <v>723</v>
      </c>
      <c r="G662" s="289">
        <v>-148008.98000000001</v>
      </c>
    </row>
    <row r="663" spans="1:7" x14ac:dyDescent="0.25">
      <c r="A663" s="292" t="s">
        <v>697</v>
      </c>
      <c r="B663" s="293">
        <v>2024</v>
      </c>
      <c r="C663" s="293">
        <v>3</v>
      </c>
      <c r="D663" s="292" t="s">
        <v>665</v>
      </c>
      <c r="E663" s="292" t="s">
        <v>412</v>
      </c>
      <c r="F663" s="292" t="s">
        <v>723</v>
      </c>
      <c r="G663" s="289">
        <v>438948.96</v>
      </c>
    </row>
    <row r="664" spans="1:7" x14ac:dyDescent="0.25">
      <c r="A664" s="292" t="s">
        <v>697</v>
      </c>
      <c r="B664" s="293">
        <v>2024</v>
      </c>
      <c r="C664" s="293">
        <v>4</v>
      </c>
      <c r="D664" s="292" t="s">
        <v>665</v>
      </c>
      <c r="E664" s="292" t="s">
        <v>412</v>
      </c>
      <c r="F664" s="292" t="s">
        <v>723</v>
      </c>
      <c r="G664" s="289">
        <v>607649.78</v>
      </c>
    </row>
    <row r="665" spans="1:7" x14ac:dyDescent="0.25">
      <c r="A665" s="292" t="s">
        <v>697</v>
      </c>
      <c r="B665" s="293">
        <v>2024</v>
      </c>
      <c r="C665" s="293">
        <v>5</v>
      </c>
      <c r="D665" s="292" t="s">
        <v>665</v>
      </c>
      <c r="E665" s="292" t="s">
        <v>412</v>
      </c>
      <c r="F665" s="292" t="s">
        <v>723</v>
      </c>
      <c r="G665" s="289">
        <v>340666.78</v>
      </c>
    </row>
    <row r="666" spans="1:7" x14ac:dyDescent="0.25">
      <c r="A666" s="292" t="s">
        <v>697</v>
      </c>
      <c r="B666" s="293">
        <v>2024</v>
      </c>
      <c r="C666" s="293">
        <v>6</v>
      </c>
      <c r="D666" s="292" t="s">
        <v>665</v>
      </c>
      <c r="E666" s="292" t="s">
        <v>412</v>
      </c>
      <c r="F666" s="292" t="s">
        <v>723</v>
      </c>
      <c r="G666" s="289">
        <v>-173518.76</v>
      </c>
    </row>
    <row r="667" spans="1:7" x14ac:dyDescent="0.25">
      <c r="A667" s="292" t="s">
        <v>697</v>
      </c>
      <c r="B667" s="293">
        <v>2024</v>
      </c>
      <c r="C667" s="293">
        <v>7</v>
      </c>
      <c r="D667" s="292" t="s">
        <v>665</v>
      </c>
      <c r="E667" s="292" t="s">
        <v>412</v>
      </c>
      <c r="F667" s="292" t="s">
        <v>723</v>
      </c>
      <c r="G667" s="289">
        <v>1297901.44</v>
      </c>
    </row>
    <row r="668" spans="1:7" x14ac:dyDescent="0.25">
      <c r="A668" s="292" t="s">
        <v>697</v>
      </c>
      <c r="B668" s="293">
        <v>2024</v>
      </c>
      <c r="C668" s="293">
        <v>8</v>
      </c>
      <c r="D668" s="292" t="s">
        <v>665</v>
      </c>
      <c r="E668" s="292" t="s">
        <v>412</v>
      </c>
      <c r="F668" s="292" t="s">
        <v>723</v>
      </c>
      <c r="G668" s="289">
        <v>1484917</v>
      </c>
    </row>
    <row r="669" spans="1:7" x14ac:dyDescent="0.25">
      <c r="A669" s="292" t="s">
        <v>697</v>
      </c>
      <c r="B669" s="293">
        <v>2024</v>
      </c>
      <c r="C669" s="293">
        <v>9</v>
      </c>
      <c r="D669" s="292" t="s">
        <v>665</v>
      </c>
      <c r="E669" s="292" t="s">
        <v>412</v>
      </c>
      <c r="F669" s="292" t="s">
        <v>723</v>
      </c>
      <c r="G669" s="289">
        <v>1228272.3799999999</v>
      </c>
    </row>
    <row r="670" spans="1:7" x14ac:dyDescent="0.25">
      <c r="A670" s="292" t="s">
        <v>697</v>
      </c>
      <c r="B670" s="293">
        <v>2024</v>
      </c>
      <c r="C670" s="293">
        <v>10</v>
      </c>
      <c r="D670" s="292" t="s">
        <v>665</v>
      </c>
      <c r="E670" s="292" t="s">
        <v>412</v>
      </c>
      <c r="F670" s="292" t="s">
        <v>723</v>
      </c>
      <c r="G670" s="289">
        <v>917095.78</v>
      </c>
    </row>
    <row r="671" spans="1:7" x14ac:dyDescent="0.25">
      <c r="A671" s="292" t="s">
        <v>697</v>
      </c>
      <c r="B671" s="293">
        <v>2024</v>
      </c>
      <c r="C671" s="293">
        <v>11</v>
      </c>
      <c r="D671" s="292" t="s">
        <v>665</v>
      </c>
      <c r="E671" s="292" t="s">
        <v>412</v>
      </c>
      <c r="F671" s="292" t="s">
        <v>723</v>
      </c>
      <c r="G671" s="289">
        <v>773207.45</v>
      </c>
    </row>
    <row r="672" spans="1:7" x14ac:dyDescent="0.25">
      <c r="A672" s="292" t="s">
        <v>697</v>
      </c>
      <c r="B672" s="293">
        <v>2024</v>
      </c>
      <c r="C672" s="293">
        <v>12</v>
      </c>
      <c r="D672" s="292" t="s">
        <v>665</v>
      </c>
      <c r="E672" s="292" t="s">
        <v>412</v>
      </c>
      <c r="F672" s="292" t="s">
        <v>723</v>
      </c>
      <c r="G672" s="289">
        <v>1174353.67</v>
      </c>
    </row>
    <row r="673" spans="1:7" x14ac:dyDescent="0.25">
      <c r="A673" s="292" t="s">
        <v>697</v>
      </c>
      <c r="B673" s="293">
        <v>2024</v>
      </c>
      <c r="C673" s="293">
        <v>0</v>
      </c>
      <c r="D673" s="292" t="s">
        <v>665</v>
      </c>
      <c r="E673" s="292" t="s">
        <v>413</v>
      </c>
      <c r="F673" s="292" t="s">
        <v>694</v>
      </c>
      <c r="G673" s="289">
        <v>-24232620.32</v>
      </c>
    </row>
    <row r="674" spans="1:7" x14ac:dyDescent="0.25">
      <c r="A674" s="292" t="s">
        <v>697</v>
      </c>
      <c r="B674" s="293">
        <v>2024</v>
      </c>
      <c r="C674" s="293">
        <v>1</v>
      </c>
      <c r="D674" s="292" t="s">
        <v>665</v>
      </c>
      <c r="E674" s="292" t="s">
        <v>413</v>
      </c>
      <c r="F674" s="292" t="s">
        <v>694</v>
      </c>
      <c r="G674" s="289">
        <v>3662434.61</v>
      </c>
    </row>
    <row r="675" spans="1:7" x14ac:dyDescent="0.25">
      <c r="A675" s="292" t="s">
        <v>697</v>
      </c>
      <c r="B675" s="293">
        <v>2024</v>
      </c>
      <c r="C675" s="293">
        <v>2</v>
      </c>
      <c r="D675" s="292" t="s">
        <v>665</v>
      </c>
      <c r="E675" s="292" t="s">
        <v>413</v>
      </c>
      <c r="F675" s="292" t="s">
        <v>694</v>
      </c>
      <c r="G675" s="289">
        <v>-831148.6</v>
      </c>
    </row>
    <row r="676" spans="1:7" x14ac:dyDescent="0.25">
      <c r="A676" s="292" t="s">
        <v>697</v>
      </c>
      <c r="B676" s="293">
        <v>2024</v>
      </c>
      <c r="C676" s="293">
        <v>3</v>
      </c>
      <c r="D676" s="292" t="s">
        <v>665</v>
      </c>
      <c r="E676" s="292" t="s">
        <v>413</v>
      </c>
      <c r="F676" s="292" t="s">
        <v>694</v>
      </c>
      <c r="G676" s="289">
        <v>-3205762.18</v>
      </c>
    </row>
    <row r="677" spans="1:7" x14ac:dyDescent="0.25">
      <c r="A677" s="292" t="s">
        <v>697</v>
      </c>
      <c r="B677" s="293">
        <v>2024</v>
      </c>
      <c r="C677" s="293">
        <v>4</v>
      </c>
      <c r="D677" s="292" t="s">
        <v>665</v>
      </c>
      <c r="E677" s="292" t="s">
        <v>413</v>
      </c>
      <c r="F677" s="292" t="s">
        <v>694</v>
      </c>
      <c r="G677" s="289">
        <v>1493783.97</v>
      </c>
    </row>
    <row r="678" spans="1:7" x14ac:dyDescent="0.25">
      <c r="A678" s="292" t="s">
        <v>697</v>
      </c>
      <c r="B678" s="293">
        <v>2024</v>
      </c>
      <c r="C678" s="293">
        <v>5</v>
      </c>
      <c r="D678" s="292" t="s">
        <v>665</v>
      </c>
      <c r="E678" s="292" t="s">
        <v>413</v>
      </c>
      <c r="F678" s="292" t="s">
        <v>694</v>
      </c>
      <c r="G678" s="289">
        <v>-300675.81</v>
      </c>
    </row>
    <row r="679" spans="1:7" x14ac:dyDescent="0.25">
      <c r="A679" s="292" t="s">
        <v>697</v>
      </c>
      <c r="B679" s="293">
        <v>2024</v>
      </c>
      <c r="C679" s="293">
        <v>6</v>
      </c>
      <c r="D679" s="292" t="s">
        <v>665</v>
      </c>
      <c r="E679" s="292" t="s">
        <v>413</v>
      </c>
      <c r="F679" s="292" t="s">
        <v>694</v>
      </c>
      <c r="G679" s="289">
        <v>-1373015.97</v>
      </c>
    </row>
    <row r="680" spans="1:7" x14ac:dyDescent="0.25">
      <c r="A680" s="292" t="s">
        <v>697</v>
      </c>
      <c r="B680" s="293">
        <v>2024</v>
      </c>
      <c r="C680" s="293">
        <v>7</v>
      </c>
      <c r="D680" s="292" t="s">
        <v>665</v>
      </c>
      <c r="E680" s="292" t="s">
        <v>413</v>
      </c>
      <c r="F680" s="292" t="s">
        <v>694</v>
      </c>
      <c r="G680" s="289">
        <v>3832477.5</v>
      </c>
    </row>
    <row r="681" spans="1:7" x14ac:dyDescent="0.25">
      <c r="A681" s="292" t="s">
        <v>697</v>
      </c>
      <c r="B681" s="293">
        <v>2024</v>
      </c>
      <c r="C681" s="293">
        <v>8</v>
      </c>
      <c r="D681" s="292" t="s">
        <v>665</v>
      </c>
      <c r="E681" s="292" t="s">
        <v>413</v>
      </c>
      <c r="F681" s="292" t="s">
        <v>694</v>
      </c>
      <c r="G681" s="289">
        <v>1061064.18</v>
      </c>
    </row>
    <row r="682" spans="1:7" x14ac:dyDescent="0.25">
      <c r="A682" s="292" t="s">
        <v>697</v>
      </c>
      <c r="B682" s="293">
        <v>2024</v>
      </c>
      <c r="C682" s="293">
        <v>9</v>
      </c>
      <c r="D682" s="292" t="s">
        <v>665</v>
      </c>
      <c r="E682" s="292" t="s">
        <v>413</v>
      </c>
      <c r="F682" s="292" t="s">
        <v>694</v>
      </c>
      <c r="G682" s="289">
        <v>-2906674.24</v>
      </c>
    </row>
    <row r="683" spans="1:7" x14ac:dyDescent="0.25">
      <c r="A683" s="292" t="s">
        <v>697</v>
      </c>
      <c r="B683" s="293">
        <v>2024</v>
      </c>
      <c r="C683" s="293">
        <v>10</v>
      </c>
      <c r="D683" s="292" t="s">
        <v>665</v>
      </c>
      <c r="E683" s="292" t="s">
        <v>413</v>
      </c>
      <c r="F683" s="292" t="s">
        <v>694</v>
      </c>
      <c r="G683" s="289">
        <v>4683594.09</v>
      </c>
    </row>
    <row r="684" spans="1:7" x14ac:dyDescent="0.25">
      <c r="A684" s="292" t="s">
        <v>697</v>
      </c>
      <c r="B684" s="293">
        <v>2024</v>
      </c>
      <c r="C684" s="293">
        <v>11</v>
      </c>
      <c r="D684" s="292" t="s">
        <v>665</v>
      </c>
      <c r="E684" s="292" t="s">
        <v>413</v>
      </c>
      <c r="F684" s="292" t="s">
        <v>694</v>
      </c>
      <c r="G684" s="289">
        <v>3249864.8</v>
      </c>
    </row>
    <row r="685" spans="1:7" x14ac:dyDescent="0.25">
      <c r="A685" s="292" t="s">
        <v>697</v>
      </c>
      <c r="B685" s="293">
        <v>2024</v>
      </c>
      <c r="C685" s="293">
        <v>12</v>
      </c>
      <c r="D685" s="292" t="s">
        <v>665</v>
      </c>
      <c r="E685" s="292" t="s">
        <v>413</v>
      </c>
      <c r="F685" s="292" t="s">
        <v>694</v>
      </c>
      <c r="G685" s="289">
        <v>-4847366.6100000003</v>
      </c>
    </row>
    <row r="686" spans="1:7" x14ac:dyDescent="0.25">
      <c r="A686" s="292" t="s">
        <v>697</v>
      </c>
      <c r="B686" s="293">
        <v>2024</v>
      </c>
      <c r="C686" s="293">
        <v>0</v>
      </c>
      <c r="D686" s="292" t="s">
        <v>665</v>
      </c>
      <c r="E686" s="292" t="s">
        <v>414</v>
      </c>
      <c r="F686" s="292" t="s">
        <v>724</v>
      </c>
      <c r="G686" s="289">
        <v>-12679036.42</v>
      </c>
    </row>
    <row r="687" spans="1:7" x14ac:dyDescent="0.25">
      <c r="A687" s="292" t="s">
        <v>697</v>
      </c>
      <c r="B687" s="293">
        <v>2024</v>
      </c>
      <c r="C687" s="293">
        <v>1</v>
      </c>
      <c r="D687" s="292" t="s">
        <v>665</v>
      </c>
      <c r="E687" s="292" t="s">
        <v>414</v>
      </c>
      <c r="F687" s="292" t="s">
        <v>724</v>
      </c>
      <c r="G687" s="289">
        <v>29067.11</v>
      </c>
    </row>
    <row r="688" spans="1:7" x14ac:dyDescent="0.25">
      <c r="A688" s="292" t="s">
        <v>697</v>
      </c>
      <c r="B688" s="293">
        <v>2024</v>
      </c>
      <c r="C688" s="293">
        <v>2</v>
      </c>
      <c r="D688" s="292" t="s">
        <v>665</v>
      </c>
      <c r="E688" s="292" t="s">
        <v>414</v>
      </c>
      <c r="F688" s="292" t="s">
        <v>724</v>
      </c>
      <c r="G688" s="289">
        <v>5261.55</v>
      </c>
    </row>
    <row r="689" spans="1:7" x14ac:dyDescent="0.25">
      <c r="A689" s="292" t="s">
        <v>697</v>
      </c>
      <c r="B689" s="293">
        <v>2024</v>
      </c>
      <c r="C689" s="293">
        <v>3</v>
      </c>
      <c r="D689" s="292" t="s">
        <v>665</v>
      </c>
      <c r="E689" s="292" t="s">
        <v>414</v>
      </c>
      <c r="F689" s="292" t="s">
        <v>724</v>
      </c>
      <c r="G689" s="289">
        <v>222839.66</v>
      </c>
    </row>
    <row r="690" spans="1:7" x14ac:dyDescent="0.25">
      <c r="A690" s="292" t="s">
        <v>697</v>
      </c>
      <c r="B690" s="293">
        <v>2024</v>
      </c>
      <c r="C690" s="293">
        <v>4</v>
      </c>
      <c r="D690" s="292" t="s">
        <v>665</v>
      </c>
      <c r="E690" s="292" t="s">
        <v>414</v>
      </c>
      <c r="F690" s="292" t="s">
        <v>724</v>
      </c>
      <c r="G690" s="289">
        <v>-5066.22</v>
      </c>
    </row>
    <row r="691" spans="1:7" x14ac:dyDescent="0.25">
      <c r="A691" s="292" t="s">
        <v>697</v>
      </c>
      <c r="B691" s="293">
        <v>2024</v>
      </c>
      <c r="C691" s="293">
        <v>5</v>
      </c>
      <c r="D691" s="292" t="s">
        <v>665</v>
      </c>
      <c r="E691" s="292" t="s">
        <v>414</v>
      </c>
      <c r="F691" s="292" t="s">
        <v>724</v>
      </c>
      <c r="G691" s="289">
        <v>15260.71</v>
      </c>
    </row>
    <row r="692" spans="1:7" x14ac:dyDescent="0.25">
      <c r="A692" s="292" t="s">
        <v>697</v>
      </c>
      <c r="B692" s="293">
        <v>2024</v>
      </c>
      <c r="C692" s="293">
        <v>6</v>
      </c>
      <c r="D692" s="292" t="s">
        <v>665</v>
      </c>
      <c r="E692" s="292" t="s">
        <v>414</v>
      </c>
      <c r="F692" s="292" t="s">
        <v>724</v>
      </c>
      <c r="G692" s="289">
        <v>-424356.77</v>
      </c>
    </row>
    <row r="693" spans="1:7" x14ac:dyDescent="0.25">
      <c r="A693" s="292" t="s">
        <v>697</v>
      </c>
      <c r="B693" s="293">
        <v>2024</v>
      </c>
      <c r="C693" s="293">
        <v>7</v>
      </c>
      <c r="D693" s="292" t="s">
        <v>665</v>
      </c>
      <c r="E693" s="292" t="s">
        <v>414</v>
      </c>
      <c r="F693" s="292" t="s">
        <v>724</v>
      </c>
      <c r="G693" s="289">
        <v>-15933.34</v>
      </c>
    </row>
    <row r="694" spans="1:7" x14ac:dyDescent="0.25">
      <c r="A694" s="292" t="s">
        <v>697</v>
      </c>
      <c r="B694" s="293">
        <v>2024</v>
      </c>
      <c r="C694" s="293">
        <v>8</v>
      </c>
      <c r="D694" s="292" t="s">
        <v>665</v>
      </c>
      <c r="E694" s="292" t="s">
        <v>414</v>
      </c>
      <c r="F694" s="292" t="s">
        <v>724</v>
      </c>
      <c r="G694" s="289">
        <v>4779.6899999999996</v>
      </c>
    </row>
    <row r="695" spans="1:7" x14ac:dyDescent="0.25">
      <c r="A695" s="292" t="s">
        <v>697</v>
      </c>
      <c r="B695" s="293">
        <v>2024</v>
      </c>
      <c r="C695" s="293">
        <v>9</v>
      </c>
      <c r="D695" s="292" t="s">
        <v>665</v>
      </c>
      <c r="E695" s="292" t="s">
        <v>414</v>
      </c>
      <c r="F695" s="292" t="s">
        <v>724</v>
      </c>
      <c r="G695" s="289">
        <v>240379.61</v>
      </c>
    </row>
    <row r="696" spans="1:7" x14ac:dyDescent="0.25">
      <c r="A696" s="292" t="s">
        <v>697</v>
      </c>
      <c r="B696" s="293">
        <v>2024</v>
      </c>
      <c r="C696" s="293">
        <v>10</v>
      </c>
      <c r="D696" s="292" t="s">
        <v>665</v>
      </c>
      <c r="E696" s="292" t="s">
        <v>414</v>
      </c>
      <c r="F696" s="292" t="s">
        <v>724</v>
      </c>
      <c r="G696" s="289">
        <v>-54652.84</v>
      </c>
    </row>
    <row r="697" spans="1:7" x14ac:dyDescent="0.25">
      <c r="A697" s="292" t="s">
        <v>697</v>
      </c>
      <c r="B697" s="293">
        <v>2024</v>
      </c>
      <c r="C697" s="293">
        <v>11</v>
      </c>
      <c r="D697" s="292" t="s">
        <v>665</v>
      </c>
      <c r="E697" s="292" t="s">
        <v>414</v>
      </c>
      <c r="F697" s="292" t="s">
        <v>724</v>
      </c>
      <c r="G697" s="289">
        <v>24351.4</v>
      </c>
    </row>
    <row r="698" spans="1:7" x14ac:dyDescent="0.25">
      <c r="A698" s="292" t="s">
        <v>697</v>
      </c>
      <c r="B698" s="293">
        <v>2024</v>
      </c>
      <c r="C698" s="293">
        <v>12</v>
      </c>
      <c r="D698" s="292" t="s">
        <v>665</v>
      </c>
      <c r="E698" s="292" t="s">
        <v>414</v>
      </c>
      <c r="F698" s="292" t="s">
        <v>724</v>
      </c>
      <c r="G698" s="289">
        <v>150883.57999999999</v>
      </c>
    </row>
    <row r="699" spans="1:7" x14ac:dyDescent="0.25">
      <c r="A699" s="292" t="s">
        <v>697</v>
      </c>
      <c r="B699" s="293">
        <v>2024</v>
      </c>
      <c r="C699" s="293">
        <v>0</v>
      </c>
      <c r="D699" s="292" t="s">
        <v>665</v>
      </c>
      <c r="E699" s="292" t="s">
        <v>415</v>
      </c>
      <c r="F699" s="292" t="s">
        <v>725</v>
      </c>
      <c r="G699" s="289">
        <v>-23509191.890000001</v>
      </c>
    </row>
    <row r="700" spans="1:7" x14ac:dyDescent="0.25">
      <c r="A700" s="292" t="s">
        <v>697</v>
      </c>
      <c r="B700" s="293">
        <v>2024</v>
      </c>
      <c r="C700" s="293">
        <v>1</v>
      </c>
      <c r="D700" s="292" t="s">
        <v>665</v>
      </c>
      <c r="E700" s="292" t="s">
        <v>415</v>
      </c>
      <c r="F700" s="292" t="s">
        <v>725</v>
      </c>
      <c r="G700" s="289">
        <v>-454196.85</v>
      </c>
    </row>
    <row r="701" spans="1:7" x14ac:dyDescent="0.25">
      <c r="A701" s="292" t="s">
        <v>697</v>
      </c>
      <c r="B701" s="293">
        <v>2024</v>
      </c>
      <c r="C701" s="293">
        <v>2</v>
      </c>
      <c r="D701" s="292" t="s">
        <v>665</v>
      </c>
      <c r="E701" s="292" t="s">
        <v>415</v>
      </c>
      <c r="F701" s="292" t="s">
        <v>725</v>
      </c>
      <c r="G701" s="289">
        <v>-187825.18</v>
      </c>
    </row>
    <row r="702" spans="1:7" x14ac:dyDescent="0.25">
      <c r="A702" s="292" t="s">
        <v>697</v>
      </c>
      <c r="B702" s="293">
        <v>2024</v>
      </c>
      <c r="C702" s="293">
        <v>3</v>
      </c>
      <c r="D702" s="292" t="s">
        <v>665</v>
      </c>
      <c r="E702" s="292" t="s">
        <v>415</v>
      </c>
      <c r="F702" s="292" t="s">
        <v>725</v>
      </c>
      <c r="G702" s="289">
        <v>-1689552.64</v>
      </c>
    </row>
    <row r="703" spans="1:7" x14ac:dyDescent="0.25">
      <c r="A703" s="292" t="s">
        <v>697</v>
      </c>
      <c r="B703" s="293">
        <v>2024</v>
      </c>
      <c r="C703" s="293">
        <v>4</v>
      </c>
      <c r="D703" s="292" t="s">
        <v>665</v>
      </c>
      <c r="E703" s="292" t="s">
        <v>415</v>
      </c>
      <c r="F703" s="292" t="s">
        <v>725</v>
      </c>
      <c r="G703" s="289">
        <v>-1429674.32</v>
      </c>
    </row>
    <row r="704" spans="1:7" x14ac:dyDescent="0.25">
      <c r="A704" s="292" t="s">
        <v>697</v>
      </c>
      <c r="B704" s="293">
        <v>2024</v>
      </c>
      <c r="C704" s="293">
        <v>5</v>
      </c>
      <c r="D704" s="292" t="s">
        <v>665</v>
      </c>
      <c r="E704" s="292" t="s">
        <v>415</v>
      </c>
      <c r="F704" s="292" t="s">
        <v>725</v>
      </c>
      <c r="G704" s="289">
        <v>-1209890.2</v>
      </c>
    </row>
    <row r="705" spans="1:7" x14ac:dyDescent="0.25">
      <c r="A705" s="292" t="s">
        <v>697</v>
      </c>
      <c r="B705" s="293">
        <v>2024</v>
      </c>
      <c r="C705" s="293">
        <v>6</v>
      </c>
      <c r="D705" s="292" t="s">
        <v>665</v>
      </c>
      <c r="E705" s="292" t="s">
        <v>415</v>
      </c>
      <c r="F705" s="292" t="s">
        <v>725</v>
      </c>
      <c r="G705" s="289">
        <v>-1155894.43</v>
      </c>
    </row>
    <row r="706" spans="1:7" x14ac:dyDescent="0.25">
      <c r="A706" s="292" t="s">
        <v>697</v>
      </c>
      <c r="B706" s="293">
        <v>2024</v>
      </c>
      <c r="C706" s="293">
        <v>7</v>
      </c>
      <c r="D706" s="292" t="s">
        <v>665</v>
      </c>
      <c r="E706" s="292" t="s">
        <v>415</v>
      </c>
      <c r="F706" s="292" t="s">
        <v>725</v>
      </c>
      <c r="G706" s="289">
        <v>-136033.46</v>
      </c>
    </row>
    <row r="707" spans="1:7" x14ac:dyDescent="0.25">
      <c r="A707" s="292" t="s">
        <v>697</v>
      </c>
      <c r="B707" s="293">
        <v>2024</v>
      </c>
      <c r="C707" s="293">
        <v>8</v>
      </c>
      <c r="D707" s="292" t="s">
        <v>665</v>
      </c>
      <c r="E707" s="292" t="s">
        <v>415</v>
      </c>
      <c r="F707" s="292" t="s">
        <v>725</v>
      </c>
      <c r="G707" s="289">
        <v>594873.5</v>
      </c>
    </row>
    <row r="708" spans="1:7" x14ac:dyDescent="0.25">
      <c r="A708" s="292" t="s">
        <v>697</v>
      </c>
      <c r="B708" s="293">
        <v>2024</v>
      </c>
      <c r="C708" s="293">
        <v>9</v>
      </c>
      <c r="D708" s="292" t="s">
        <v>665</v>
      </c>
      <c r="E708" s="292" t="s">
        <v>415</v>
      </c>
      <c r="F708" s="292" t="s">
        <v>725</v>
      </c>
      <c r="G708" s="289">
        <v>-177414.81</v>
      </c>
    </row>
    <row r="709" spans="1:7" x14ac:dyDescent="0.25">
      <c r="A709" s="292" t="s">
        <v>697</v>
      </c>
      <c r="B709" s="293">
        <v>2024</v>
      </c>
      <c r="C709" s="293">
        <v>10</v>
      </c>
      <c r="D709" s="292" t="s">
        <v>665</v>
      </c>
      <c r="E709" s="292" t="s">
        <v>415</v>
      </c>
      <c r="F709" s="292" t="s">
        <v>725</v>
      </c>
      <c r="G709" s="289">
        <v>-419146.46</v>
      </c>
    </row>
    <row r="710" spans="1:7" x14ac:dyDescent="0.25">
      <c r="A710" s="292" t="s">
        <v>697</v>
      </c>
      <c r="B710" s="293">
        <v>2024</v>
      </c>
      <c r="C710" s="293">
        <v>11</v>
      </c>
      <c r="D710" s="292" t="s">
        <v>665</v>
      </c>
      <c r="E710" s="292" t="s">
        <v>415</v>
      </c>
      <c r="F710" s="292" t="s">
        <v>725</v>
      </c>
      <c r="G710" s="289">
        <v>-2817969</v>
      </c>
    </row>
    <row r="711" spans="1:7" x14ac:dyDescent="0.25">
      <c r="A711" s="292" t="s">
        <v>697</v>
      </c>
      <c r="B711" s="293">
        <v>2024</v>
      </c>
      <c r="C711" s="293">
        <v>12</v>
      </c>
      <c r="D711" s="292" t="s">
        <v>665</v>
      </c>
      <c r="E711" s="292" t="s">
        <v>415</v>
      </c>
      <c r="F711" s="292" t="s">
        <v>725</v>
      </c>
      <c r="G711" s="289">
        <v>1710883.74</v>
      </c>
    </row>
    <row r="712" spans="1:7" x14ac:dyDescent="0.25">
      <c r="A712" s="292" t="s">
        <v>697</v>
      </c>
      <c r="B712" s="293">
        <v>2024</v>
      </c>
      <c r="C712" s="293">
        <v>11</v>
      </c>
      <c r="D712" s="292" t="s">
        <v>665</v>
      </c>
      <c r="E712" s="292" t="s">
        <v>416</v>
      </c>
      <c r="F712" s="292" t="s">
        <v>726</v>
      </c>
      <c r="G712" s="289">
        <v>7562814.9000000004</v>
      </c>
    </row>
    <row r="713" spans="1:7" x14ac:dyDescent="0.25">
      <c r="A713" s="292" t="s">
        <v>697</v>
      </c>
      <c r="B713" s="293">
        <v>2024</v>
      </c>
      <c r="C713" s="293">
        <v>0</v>
      </c>
      <c r="D713" s="292" t="s">
        <v>665</v>
      </c>
      <c r="E713" s="292" t="s">
        <v>418</v>
      </c>
      <c r="F713" s="292" t="s">
        <v>666</v>
      </c>
      <c r="G713" s="289">
        <v>-2703336.45</v>
      </c>
    </row>
    <row r="714" spans="1:7" x14ac:dyDescent="0.25">
      <c r="A714" s="292" t="s">
        <v>697</v>
      </c>
      <c r="B714" s="293">
        <v>2024</v>
      </c>
      <c r="C714" s="293">
        <v>3</v>
      </c>
      <c r="D714" s="292" t="s">
        <v>665</v>
      </c>
      <c r="E714" s="292" t="s">
        <v>418</v>
      </c>
      <c r="F714" s="292" t="s">
        <v>666</v>
      </c>
      <c r="G714" s="289">
        <v>-92855.27</v>
      </c>
    </row>
    <row r="715" spans="1:7" x14ac:dyDescent="0.25">
      <c r="A715" s="292" t="s">
        <v>697</v>
      </c>
      <c r="B715" s="293">
        <v>2024</v>
      </c>
      <c r="C715" s="293">
        <v>6</v>
      </c>
      <c r="D715" s="292" t="s">
        <v>665</v>
      </c>
      <c r="E715" s="292" t="s">
        <v>418</v>
      </c>
      <c r="F715" s="292" t="s">
        <v>666</v>
      </c>
      <c r="G715" s="289">
        <v>-42513.35</v>
      </c>
    </row>
    <row r="716" spans="1:7" x14ac:dyDescent="0.25">
      <c r="A716" s="292" t="s">
        <v>697</v>
      </c>
      <c r="B716" s="293">
        <v>2024</v>
      </c>
      <c r="C716" s="293">
        <v>9</v>
      </c>
      <c r="D716" s="292" t="s">
        <v>665</v>
      </c>
      <c r="E716" s="292" t="s">
        <v>418</v>
      </c>
      <c r="F716" s="292" t="s">
        <v>666</v>
      </c>
      <c r="G716" s="289">
        <v>-124010.12</v>
      </c>
    </row>
    <row r="717" spans="1:7" x14ac:dyDescent="0.25">
      <c r="A717" s="292" t="s">
        <v>697</v>
      </c>
      <c r="B717" s="293">
        <v>2024</v>
      </c>
      <c r="C717" s="293">
        <v>10</v>
      </c>
      <c r="D717" s="292" t="s">
        <v>665</v>
      </c>
      <c r="E717" s="292" t="s">
        <v>418</v>
      </c>
      <c r="F717" s="292" t="s">
        <v>666</v>
      </c>
      <c r="G717" s="289">
        <v>1373966.79</v>
      </c>
    </row>
    <row r="718" spans="1:7" x14ac:dyDescent="0.25">
      <c r="A718" s="292" t="s">
        <v>697</v>
      </c>
      <c r="B718" s="293">
        <v>2024</v>
      </c>
      <c r="C718" s="293">
        <v>11</v>
      </c>
      <c r="D718" s="292" t="s">
        <v>665</v>
      </c>
      <c r="E718" s="292" t="s">
        <v>418</v>
      </c>
      <c r="F718" s="292" t="s">
        <v>666</v>
      </c>
      <c r="G718" s="289">
        <v>-12417.5</v>
      </c>
    </row>
    <row r="719" spans="1:7" x14ac:dyDescent="0.25">
      <c r="A719" s="292" t="s">
        <v>697</v>
      </c>
      <c r="B719" s="293">
        <v>2024</v>
      </c>
      <c r="C719" s="293">
        <v>12</v>
      </c>
      <c r="D719" s="292" t="s">
        <v>665</v>
      </c>
      <c r="E719" s="292" t="s">
        <v>418</v>
      </c>
      <c r="F719" s="292" t="s">
        <v>666</v>
      </c>
      <c r="G719" s="289">
        <v>487902.46</v>
      </c>
    </row>
    <row r="720" spans="1:7" x14ac:dyDescent="0.25">
      <c r="A720" s="292" t="s">
        <v>697</v>
      </c>
      <c r="B720" s="293">
        <v>2024</v>
      </c>
      <c r="C720" s="293">
        <v>0</v>
      </c>
      <c r="D720" s="292" t="s">
        <v>665</v>
      </c>
      <c r="E720" s="292" t="s">
        <v>419</v>
      </c>
      <c r="F720" s="292" t="s">
        <v>695</v>
      </c>
      <c r="G720" s="289">
        <v>-17939936.859999999</v>
      </c>
    </row>
    <row r="721" spans="1:7" x14ac:dyDescent="0.25">
      <c r="A721" s="292" t="s">
        <v>697</v>
      </c>
      <c r="B721" s="293">
        <v>2024</v>
      </c>
      <c r="C721" s="293">
        <v>1</v>
      </c>
      <c r="D721" s="292" t="s">
        <v>665</v>
      </c>
      <c r="E721" s="292" t="s">
        <v>419</v>
      </c>
      <c r="F721" s="292" t="s">
        <v>695</v>
      </c>
      <c r="G721" s="289">
        <v>57694.14</v>
      </c>
    </row>
    <row r="722" spans="1:7" x14ac:dyDescent="0.25">
      <c r="A722" s="292" t="s">
        <v>697</v>
      </c>
      <c r="B722" s="293">
        <v>2024</v>
      </c>
      <c r="C722" s="293">
        <v>2</v>
      </c>
      <c r="D722" s="292" t="s">
        <v>665</v>
      </c>
      <c r="E722" s="292" t="s">
        <v>419</v>
      </c>
      <c r="F722" s="292" t="s">
        <v>695</v>
      </c>
      <c r="G722" s="289">
        <v>57694.35</v>
      </c>
    </row>
    <row r="723" spans="1:7" x14ac:dyDescent="0.25">
      <c r="A723" s="292" t="s">
        <v>697</v>
      </c>
      <c r="B723" s="293">
        <v>2024</v>
      </c>
      <c r="C723" s="293">
        <v>3</v>
      </c>
      <c r="D723" s="292" t="s">
        <v>665</v>
      </c>
      <c r="E723" s="292" t="s">
        <v>419</v>
      </c>
      <c r="F723" s="292" t="s">
        <v>695</v>
      </c>
      <c r="G723" s="289">
        <v>57694.14</v>
      </c>
    </row>
    <row r="724" spans="1:7" x14ac:dyDescent="0.25">
      <c r="A724" s="292" t="s">
        <v>697</v>
      </c>
      <c r="B724" s="293">
        <v>2024</v>
      </c>
      <c r="C724" s="293">
        <v>4</v>
      </c>
      <c r="D724" s="292" t="s">
        <v>665</v>
      </c>
      <c r="E724" s="292" t="s">
        <v>419</v>
      </c>
      <c r="F724" s="292" t="s">
        <v>695</v>
      </c>
      <c r="G724" s="289">
        <v>57694.35</v>
      </c>
    </row>
    <row r="725" spans="1:7" x14ac:dyDescent="0.25">
      <c r="A725" s="292" t="s">
        <v>697</v>
      </c>
      <c r="B725" s="293">
        <v>2024</v>
      </c>
      <c r="C725" s="293">
        <v>5</v>
      </c>
      <c r="D725" s="292" t="s">
        <v>665</v>
      </c>
      <c r="E725" s="292" t="s">
        <v>419</v>
      </c>
      <c r="F725" s="292" t="s">
        <v>695</v>
      </c>
      <c r="G725" s="289">
        <v>57694.14</v>
      </c>
    </row>
    <row r="726" spans="1:7" x14ac:dyDescent="0.25">
      <c r="A726" s="292" t="s">
        <v>697</v>
      </c>
      <c r="B726" s="293">
        <v>2024</v>
      </c>
      <c r="C726" s="293">
        <v>6</v>
      </c>
      <c r="D726" s="292" t="s">
        <v>665</v>
      </c>
      <c r="E726" s="292" t="s">
        <v>419</v>
      </c>
      <c r="F726" s="292" t="s">
        <v>695</v>
      </c>
      <c r="G726" s="289">
        <v>57694.35</v>
      </c>
    </row>
    <row r="727" spans="1:7" x14ac:dyDescent="0.25">
      <c r="A727" s="292" t="s">
        <v>697</v>
      </c>
      <c r="B727" s="293">
        <v>2024</v>
      </c>
      <c r="C727" s="293">
        <v>7</v>
      </c>
      <c r="D727" s="292" t="s">
        <v>665</v>
      </c>
      <c r="E727" s="292" t="s">
        <v>419</v>
      </c>
      <c r="F727" s="292" t="s">
        <v>695</v>
      </c>
      <c r="G727" s="289">
        <v>57694.14</v>
      </c>
    </row>
    <row r="728" spans="1:7" x14ac:dyDescent="0.25">
      <c r="A728" s="292" t="s">
        <v>697</v>
      </c>
      <c r="B728" s="293">
        <v>2024</v>
      </c>
      <c r="C728" s="293">
        <v>8</v>
      </c>
      <c r="D728" s="292" t="s">
        <v>665</v>
      </c>
      <c r="E728" s="292" t="s">
        <v>419</v>
      </c>
      <c r="F728" s="292" t="s">
        <v>695</v>
      </c>
      <c r="G728" s="289">
        <v>57694.35</v>
      </c>
    </row>
    <row r="729" spans="1:7" x14ac:dyDescent="0.25">
      <c r="A729" s="292" t="s">
        <v>697</v>
      </c>
      <c r="B729" s="293">
        <v>2024</v>
      </c>
      <c r="C729" s="293">
        <v>9</v>
      </c>
      <c r="D729" s="292" t="s">
        <v>665</v>
      </c>
      <c r="E729" s="292" t="s">
        <v>419</v>
      </c>
      <c r="F729" s="292" t="s">
        <v>695</v>
      </c>
      <c r="G729" s="289">
        <v>57694.14</v>
      </c>
    </row>
    <row r="730" spans="1:7" x14ac:dyDescent="0.25">
      <c r="A730" s="292" t="s">
        <v>697</v>
      </c>
      <c r="B730" s="293">
        <v>2024</v>
      </c>
      <c r="C730" s="293">
        <v>10</v>
      </c>
      <c r="D730" s="292" t="s">
        <v>665</v>
      </c>
      <c r="E730" s="292" t="s">
        <v>419</v>
      </c>
      <c r="F730" s="292" t="s">
        <v>695</v>
      </c>
      <c r="G730" s="289">
        <v>57695.99</v>
      </c>
    </row>
    <row r="731" spans="1:7" x14ac:dyDescent="0.25">
      <c r="A731" s="292" t="s">
        <v>697</v>
      </c>
      <c r="B731" s="293">
        <v>2024</v>
      </c>
      <c r="C731" s="293">
        <v>11</v>
      </c>
      <c r="D731" s="292" t="s">
        <v>665</v>
      </c>
      <c r="E731" s="292" t="s">
        <v>419</v>
      </c>
      <c r="F731" s="292" t="s">
        <v>695</v>
      </c>
      <c r="G731" s="289">
        <v>51661.05</v>
      </c>
    </row>
    <row r="732" spans="1:7" x14ac:dyDescent="0.25">
      <c r="A732" s="292" t="s">
        <v>697</v>
      </c>
      <c r="B732" s="293">
        <v>2024</v>
      </c>
      <c r="C732" s="293">
        <v>12</v>
      </c>
      <c r="D732" s="292" t="s">
        <v>665</v>
      </c>
      <c r="E732" s="292" t="s">
        <v>419</v>
      </c>
      <c r="F732" s="292" t="s">
        <v>695</v>
      </c>
      <c r="G732" s="289">
        <v>57694.35</v>
      </c>
    </row>
    <row r="733" spans="1:7" x14ac:dyDescent="0.25">
      <c r="A733" s="292" t="s">
        <v>697</v>
      </c>
      <c r="B733" s="293">
        <v>2024</v>
      </c>
      <c r="C733" s="293">
        <v>0</v>
      </c>
      <c r="D733" s="292" t="s">
        <v>665</v>
      </c>
      <c r="E733" s="292" t="s">
        <v>420</v>
      </c>
      <c r="F733" s="292" t="s">
        <v>727</v>
      </c>
      <c r="G733" s="289">
        <v>-2238436.98</v>
      </c>
    </row>
    <row r="734" spans="1:7" x14ac:dyDescent="0.25">
      <c r="A734" s="292" t="s">
        <v>697</v>
      </c>
      <c r="B734" s="293">
        <v>2024</v>
      </c>
      <c r="C734" s="293">
        <v>3</v>
      </c>
      <c r="D734" s="292" t="s">
        <v>665</v>
      </c>
      <c r="E734" s="292" t="s">
        <v>420</v>
      </c>
      <c r="F734" s="292" t="s">
        <v>727</v>
      </c>
      <c r="G734" s="289">
        <v>-439413.81</v>
      </c>
    </row>
    <row r="735" spans="1:7" x14ac:dyDescent="0.25">
      <c r="A735" s="292" t="s">
        <v>697</v>
      </c>
      <c r="B735" s="293">
        <v>2024</v>
      </c>
      <c r="C735" s="293">
        <v>6</v>
      </c>
      <c r="D735" s="292" t="s">
        <v>665</v>
      </c>
      <c r="E735" s="292" t="s">
        <v>420</v>
      </c>
      <c r="F735" s="292" t="s">
        <v>727</v>
      </c>
      <c r="G735" s="289">
        <v>-439413.81</v>
      </c>
    </row>
    <row r="736" spans="1:7" x14ac:dyDescent="0.25">
      <c r="A736" s="292" t="s">
        <v>697</v>
      </c>
      <c r="B736" s="293">
        <v>2024</v>
      </c>
      <c r="C736" s="293">
        <v>9</v>
      </c>
      <c r="D736" s="292" t="s">
        <v>665</v>
      </c>
      <c r="E736" s="292" t="s">
        <v>420</v>
      </c>
      <c r="F736" s="292" t="s">
        <v>727</v>
      </c>
      <c r="G736" s="289">
        <v>-439413.81</v>
      </c>
    </row>
    <row r="737" spans="1:7" x14ac:dyDescent="0.25">
      <c r="A737" s="292" t="s">
        <v>697</v>
      </c>
      <c r="B737" s="293">
        <v>2024</v>
      </c>
      <c r="C737" s="293">
        <v>11</v>
      </c>
      <c r="D737" s="292" t="s">
        <v>665</v>
      </c>
      <c r="E737" s="292" t="s">
        <v>420</v>
      </c>
      <c r="F737" s="292" t="s">
        <v>727</v>
      </c>
      <c r="G737" s="289">
        <v>-439413.81</v>
      </c>
    </row>
    <row r="738" spans="1:7" x14ac:dyDescent="0.25">
      <c r="A738" s="292" t="s">
        <v>697</v>
      </c>
      <c r="B738" s="293">
        <v>2024</v>
      </c>
      <c r="C738" s="293">
        <v>12</v>
      </c>
      <c r="D738" s="292" t="s">
        <v>665</v>
      </c>
      <c r="E738" s="292" t="s">
        <v>420</v>
      </c>
      <c r="F738" s="292" t="s">
        <v>727</v>
      </c>
      <c r="G738" s="289">
        <v>215245.16</v>
      </c>
    </row>
    <row r="739" spans="1:7" x14ac:dyDescent="0.25">
      <c r="A739" s="292" t="s">
        <v>697</v>
      </c>
      <c r="B739" s="293">
        <v>2024</v>
      </c>
      <c r="C739" s="293">
        <v>0</v>
      </c>
      <c r="D739" s="292" t="s">
        <v>665</v>
      </c>
      <c r="E739" s="292" t="s">
        <v>421</v>
      </c>
      <c r="F739" s="292" t="s">
        <v>728</v>
      </c>
      <c r="G739" s="289">
        <v>-13491777.99</v>
      </c>
    </row>
    <row r="740" spans="1:7" x14ac:dyDescent="0.25">
      <c r="A740" s="292" t="s">
        <v>697</v>
      </c>
      <c r="B740" s="293">
        <v>2024</v>
      </c>
      <c r="C740" s="293">
        <v>3</v>
      </c>
      <c r="D740" s="292" t="s">
        <v>665</v>
      </c>
      <c r="E740" s="292" t="s">
        <v>421</v>
      </c>
      <c r="F740" s="292" t="s">
        <v>728</v>
      </c>
      <c r="G740" s="289">
        <v>846.58</v>
      </c>
    </row>
    <row r="741" spans="1:7" x14ac:dyDescent="0.25">
      <c r="A741" s="292" t="s">
        <v>697</v>
      </c>
      <c r="B741" s="293">
        <v>2024</v>
      </c>
      <c r="C741" s="293">
        <v>6</v>
      </c>
      <c r="D741" s="292" t="s">
        <v>665</v>
      </c>
      <c r="E741" s="292" t="s">
        <v>421</v>
      </c>
      <c r="F741" s="292" t="s">
        <v>728</v>
      </c>
      <c r="G741" s="289">
        <v>846.58</v>
      </c>
    </row>
    <row r="742" spans="1:7" x14ac:dyDescent="0.25">
      <c r="A742" s="292" t="s">
        <v>697</v>
      </c>
      <c r="B742" s="293">
        <v>2024</v>
      </c>
      <c r="C742" s="293">
        <v>9</v>
      </c>
      <c r="D742" s="292" t="s">
        <v>665</v>
      </c>
      <c r="E742" s="292" t="s">
        <v>421</v>
      </c>
      <c r="F742" s="292" t="s">
        <v>728</v>
      </c>
      <c r="G742" s="289">
        <v>846.59</v>
      </c>
    </row>
    <row r="743" spans="1:7" x14ac:dyDescent="0.25">
      <c r="A743" s="292" t="s">
        <v>697</v>
      </c>
      <c r="B743" s="293">
        <v>2024</v>
      </c>
      <c r="C743" s="293">
        <v>11</v>
      </c>
      <c r="D743" s="292" t="s">
        <v>665</v>
      </c>
      <c r="E743" s="292" t="s">
        <v>421</v>
      </c>
      <c r="F743" s="292" t="s">
        <v>728</v>
      </c>
      <c r="G743" s="289">
        <v>846.58</v>
      </c>
    </row>
    <row r="744" spans="1:7" x14ac:dyDescent="0.25">
      <c r="A744" s="292" t="s">
        <v>697</v>
      </c>
      <c r="B744" s="293">
        <v>2024</v>
      </c>
      <c r="C744" s="293">
        <v>12</v>
      </c>
      <c r="D744" s="292" t="s">
        <v>665</v>
      </c>
      <c r="E744" s="292" t="s">
        <v>421</v>
      </c>
      <c r="F744" s="292" t="s">
        <v>728</v>
      </c>
      <c r="G744" s="289">
        <v>-215245.16</v>
      </c>
    </row>
    <row r="745" spans="1:7" x14ac:dyDescent="0.25">
      <c r="A745" s="292" t="s">
        <v>697</v>
      </c>
      <c r="B745" s="293">
        <v>2024</v>
      </c>
      <c r="C745" s="293">
        <v>12</v>
      </c>
      <c r="D745" s="292" t="s">
        <v>665</v>
      </c>
      <c r="E745" s="292" t="s">
        <v>422</v>
      </c>
      <c r="F745" s="292" t="s">
        <v>729</v>
      </c>
      <c r="G745" s="289">
        <v>-95275.11</v>
      </c>
    </row>
    <row r="746" spans="1:7" x14ac:dyDescent="0.25">
      <c r="A746" s="292" t="s">
        <v>697</v>
      </c>
      <c r="B746" s="293">
        <v>2024</v>
      </c>
      <c r="C746" s="293">
        <v>0</v>
      </c>
      <c r="D746" s="292" t="s">
        <v>665</v>
      </c>
      <c r="E746" s="292" t="s">
        <v>423</v>
      </c>
      <c r="F746" s="292" t="s">
        <v>730</v>
      </c>
      <c r="G746" s="289">
        <v>-38357.550000000003</v>
      </c>
    </row>
    <row r="747" spans="1:7" x14ac:dyDescent="0.25">
      <c r="A747" s="292" t="s">
        <v>697</v>
      </c>
      <c r="B747" s="293">
        <v>2024</v>
      </c>
      <c r="C747" s="293">
        <v>2</v>
      </c>
      <c r="D747" s="292" t="s">
        <v>665</v>
      </c>
      <c r="E747" s="292" t="s">
        <v>423</v>
      </c>
      <c r="F747" s="292" t="s">
        <v>730</v>
      </c>
      <c r="G747" s="289">
        <v>216.1</v>
      </c>
    </row>
    <row r="748" spans="1:7" x14ac:dyDescent="0.25">
      <c r="A748" s="292" t="s">
        <v>697</v>
      </c>
      <c r="B748" s="293">
        <v>2024</v>
      </c>
      <c r="C748" s="293">
        <v>3</v>
      </c>
      <c r="D748" s="292" t="s">
        <v>665</v>
      </c>
      <c r="E748" s="292" t="s">
        <v>423</v>
      </c>
      <c r="F748" s="292" t="s">
        <v>730</v>
      </c>
      <c r="G748" s="289">
        <v>108.05</v>
      </c>
    </row>
    <row r="749" spans="1:7" x14ac:dyDescent="0.25">
      <c r="A749" s="292" t="s">
        <v>697</v>
      </c>
      <c r="B749" s="293">
        <v>2024</v>
      </c>
      <c r="C749" s="293">
        <v>4</v>
      </c>
      <c r="D749" s="292" t="s">
        <v>665</v>
      </c>
      <c r="E749" s="292" t="s">
        <v>423</v>
      </c>
      <c r="F749" s="292" t="s">
        <v>730</v>
      </c>
      <c r="G749" s="289">
        <v>108.05</v>
      </c>
    </row>
    <row r="750" spans="1:7" x14ac:dyDescent="0.25">
      <c r="A750" s="292" t="s">
        <v>697</v>
      </c>
      <c r="B750" s="293">
        <v>2024</v>
      </c>
      <c r="C750" s="293">
        <v>5</v>
      </c>
      <c r="D750" s="292" t="s">
        <v>665</v>
      </c>
      <c r="E750" s="292" t="s">
        <v>423</v>
      </c>
      <c r="F750" s="292" t="s">
        <v>730</v>
      </c>
      <c r="G750" s="289">
        <v>108.05</v>
      </c>
    </row>
    <row r="751" spans="1:7" x14ac:dyDescent="0.25">
      <c r="A751" s="292" t="s">
        <v>697</v>
      </c>
      <c r="B751" s="293">
        <v>2024</v>
      </c>
      <c r="C751" s="293">
        <v>6</v>
      </c>
      <c r="D751" s="292" t="s">
        <v>665</v>
      </c>
      <c r="E751" s="292" t="s">
        <v>423</v>
      </c>
      <c r="F751" s="292" t="s">
        <v>730</v>
      </c>
      <c r="G751" s="289">
        <v>108.05</v>
      </c>
    </row>
    <row r="752" spans="1:7" x14ac:dyDescent="0.25">
      <c r="A752" s="292" t="s">
        <v>697</v>
      </c>
      <c r="B752" s="293">
        <v>2024</v>
      </c>
      <c r="C752" s="293">
        <v>7</v>
      </c>
      <c r="D752" s="292" t="s">
        <v>665</v>
      </c>
      <c r="E752" s="292" t="s">
        <v>423</v>
      </c>
      <c r="F752" s="292" t="s">
        <v>730</v>
      </c>
      <c r="G752" s="289">
        <v>108.04</v>
      </c>
    </row>
    <row r="753" spans="1:7" x14ac:dyDescent="0.25">
      <c r="A753" s="292" t="s">
        <v>697</v>
      </c>
      <c r="B753" s="293">
        <v>2024</v>
      </c>
      <c r="C753" s="293">
        <v>8</v>
      </c>
      <c r="D753" s="292" t="s">
        <v>665</v>
      </c>
      <c r="E753" s="292" t="s">
        <v>423</v>
      </c>
      <c r="F753" s="292" t="s">
        <v>730</v>
      </c>
      <c r="G753" s="289">
        <v>108.05</v>
      </c>
    </row>
    <row r="754" spans="1:7" x14ac:dyDescent="0.25">
      <c r="A754" s="292" t="s">
        <v>697</v>
      </c>
      <c r="B754" s="293">
        <v>2024</v>
      </c>
      <c r="C754" s="293">
        <v>9</v>
      </c>
      <c r="D754" s="292" t="s">
        <v>665</v>
      </c>
      <c r="E754" s="292" t="s">
        <v>423</v>
      </c>
      <c r="F754" s="292" t="s">
        <v>730</v>
      </c>
      <c r="G754" s="289">
        <v>108.05</v>
      </c>
    </row>
    <row r="755" spans="1:7" x14ac:dyDescent="0.25">
      <c r="A755" s="292" t="s">
        <v>697</v>
      </c>
      <c r="B755" s="293">
        <v>2024</v>
      </c>
      <c r="C755" s="293">
        <v>10</v>
      </c>
      <c r="D755" s="292" t="s">
        <v>665</v>
      </c>
      <c r="E755" s="292" t="s">
        <v>423</v>
      </c>
      <c r="F755" s="292" t="s">
        <v>730</v>
      </c>
      <c r="G755" s="289">
        <v>108.05</v>
      </c>
    </row>
    <row r="756" spans="1:7" x14ac:dyDescent="0.25">
      <c r="A756" s="292" t="s">
        <v>697</v>
      </c>
      <c r="B756" s="293">
        <v>2024</v>
      </c>
      <c r="C756" s="293">
        <v>11</v>
      </c>
      <c r="D756" s="292" t="s">
        <v>665</v>
      </c>
      <c r="E756" s="292" t="s">
        <v>423</v>
      </c>
      <c r="F756" s="292" t="s">
        <v>730</v>
      </c>
      <c r="G756" s="289">
        <v>108.05</v>
      </c>
    </row>
    <row r="757" spans="1:7" x14ac:dyDescent="0.25">
      <c r="A757" s="292" t="s">
        <v>697</v>
      </c>
      <c r="B757" s="293">
        <v>2024</v>
      </c>
      <c r="C757" s="293">
        <v>12</v>
      </c>
      <c r="D757" s="292" t="s">
        <v>665</v>
      </c>
      <c r="E757" s="292" t="s">
        <v>423</v>
      </c>
      <c r="F757" s="292" t="s">
        <v>730</v>
      </c>
      <c r="G757" s="289">
        <v>108.05</v>
      </c>
    </row>
    <row r="758" spans="1:7" x14ac:dyDescent="0.25">
      <c r="A758" s="292" t="s">
        <v>697</v>
      </c>
      <c r="B758" s="293">
        <v>2024</v>
      </c>
      <c r="C758" s="293">
        <v>0</v>
      </c>
      <c r="D758" s="292" t="s">
        <v>665</v>
      </c>
      <c r="E758" s="292" t="s">
        <v>425</v>
      </c>
      <c r="F758" s="292" t="s">
        <v>731</v>
      </c>
      <c r="G758" s="289">
        <v>1440654.41</v>
      </c>
    </row>
    <row r="759" spans="1:7" x14ac:dyDescent="0.25">
      <c r="A759" s="292" t="s">
        <v>697</v>
      </c>
      <c r="B759" s="293">
        <v>2024</v>
      </c>
      <c r="C759" s="293">
        <v>12</v>
      </c>
      <c r="D759" s="292" t="s">
        <v>665</v>
      </c>
      <c r="E759" s="292" t="s">
        <v>425</v>
      </c>
      <c r="F759" s="292" t="s">
        <v>731</v>
      </c>
      <c r="G759" s="289">
        <v>-2278558.1800000002</v>
      </c>
    </row>
    <row r="760" spans="1:7" x14ac:dyDescent="0.25">
      <c r="A760" s="292" t="s">
        <v>732</v>
      </c>
      <c r="B760" s="293">
        <v>2024</v>
      </c>
      <c r="C760" s="293">
        <v>0</v>
      </c>
      <c r="D760" s="292" t="s">
        <v>661</v>
      </c>
      <c r="E760" s="292" t="s">
        <v>353</v>
      </c>
      <c r="F760" s="292" t="s">
        <v>733</v>
      </c>
      <c r="G760" s="289">
        <v>-22290436.32</v>
      </c>
    </row>
    <row r="761" spans="1:7" x14ac:dyDescent="0.25">
      <c r="A761" s="292" t="s">
        <v>732</v>
      </c>
      <c r="B761" s="293">
        <v>2024</v>
      </c>
      <c r="C761" s="293">
        <v>1</v>
      </c>
      <c r="D761" s="292" t="s">
        <v>661</v>
      </c>
      <c r="E761" s="292" t="s">
        <v>353</v>
      </c>
      <c r="F761" s="292" t="s">
        <v>733</v>
      </c>
      <c r="G761" s="289">
        <v>2244</v>
      </c>
    </row>
    <row r="762" spans="1:7" x14ac:dyDescent="0.25">
      <c r="A762" s="292" t="s">
        <v>732</v>
      </c>
      <c r="B762" s="293">
        <v>2024</v>
      </c>
      <c r="C762" s="293">
        <v>2</v>
      </c>
      <c r="D762" s="292" t="s">
        <v>661</v>
      </c>
      <c r="E762" s="292" t="s">
        <v>353</v>
      </c>
      <c r="F762" s="292" t="s">
        <v>733</v>
      </c>
      <c r="G762" s="289">
        <v>2244</v>
      </c>
    </row>
    <row r="763" spans="1:7" x14ac:dyDescent="0.25">
      <c r="A763" s="292" t="s">
        <v>732</v>
      </c>
      <c r="B763" s="293">
        <v>2024</v>
      </c>
      <c r="C763" s="293">
        <v>3</v>
      </c>
      <c r="D763" s="292" t="s">
        <v>661</v>
      </c>
      <c r="E763" s="292" t="s">
        <v>353</v>
      </c>
      <c r="F763" s="292" t="s">
        <v>733</v>
      </c>
      <c r="G763" s="289">
        <v>2244</v>
      </c>
    </row>
    <row r="764" spans="1:7" x14ac:dyDescent="0.25">
      <c r="A764" s="292" t="s">
        <v>732</v>
      </c>
      <c r="B764" s="293">
        <v>2024</v>
      </c>
      <c r="C764" s="293">
        <v>4</v>
      </c>
      <c r="D764" s="292" t="s">
        <v>661</v>
      </c>
      <c r="E764" s="292" t="s">
        <v>353</v>
      </c>
      <c r="F764" s="292" t="s">
        <v>733</v>
      </c>
      <c r="G764" s="289">
        <v>2244</v>
      </c>
    </row>
    <row r="765" spans="1:7" x14ac:dyDescent="0.25">
      <c r="A765" s="292" t="s">
        <v>732</v>
      </c>
      <c r="B765" s="293">
        <v>2024</v>
      </c>
      <c r="C765" s="293">
        <v>5</v>
      </c>
      <c r="D765" s="292" t="s">
        <v>661</v>
      </c>
      <c r="E765" s="292" t="s">
        <v>353</v>
      </c>
      <c r="F765" s="292" t="s">
        <v>733</v>
      </c>
      <c r="G765" s="289">
        <v>2244</v>
      </c>
    </row>
    <row r="766" spans="1:7" x14ac:dyDescent="0.25">
      <c r="A766" s="292" t="s">
        <v>732</v>
      </c>
      <c r="B766" s="293">
        <v>2024</v>
      </c>
      <c r="C766" s="293">
        <v>6</v>
      </c>
      <c r="D766" s="292" t="s">
        <v>661</v>
      </c>
      <c r="E766" s="292" t="s">
        <v>353</v>
      </c>
      <c r="F766" s="292" t="s">
        <v>733</v>
      </c>
      <c r="G766" s="289">
        <v>2244</v>
      </c>
    </row>
    <row r="767" spans="1:7" x14ac:dyDescent="0.25">
      <c r="A767" s="292" t="s">
        <v>732</v>
      </c>
      <c r="B767" s="293">
        <v>2024</v>
      </c>
      <c r="C767" s="293">
        <v>7</v>
      </c>
      <c r="D767" s="292" t="s">
        <v>661</v>
      </c>
      <c r="E767" s="292" t="s">
        <v>353</v>
      </c>
      <c r="F767" s="292" t="s">
        <v>733</v>
      </c>
      <c r="G767" s="289">
        <v>2244</v>
      </c>
    </row>
    <row r="768" spans="1:7" x14ac:dyDescent="0.25">
      <c r="A768" s="292" t="s">
        <v>732</v>
      </c>
      <c r="B768" s="293">
        <v>2024</v>
      </c>
      <c r="C768" s="293">
        <v>8</v>
      </c>
      <c r="D768" s="292" t="s">
        <v>661</v>
      </c>
      <c r="E768" s="292" t="s">
        <v>353</v>
      </c>
      <c r="F768" s="292" t="s">
        <v>733</v>
      </c>
      <c r="G768" s="289">
        <v>2244</v>
      </c>
    </row>
    <row r="769" spans="1:7" x14ac:dyDescent="0.25">
      <c r="A769" s="292" t="s">
        <v>732</v>
      </c>
      <c r="B769" s="293">
        <v>2024</v>
      </c>
      <c r="C769" s="293">
        <v>9</v>
      </c>
      <c r="D769" s="292" t="s">
        <v>661</v>
      </c>
      <c r="E769" s="292" t="s">
        <v>353</v>
      </c>
      <c r="F769" s="292" t="s">
        <v>733</v>
      </c>
      <c r="G769" s="289">
        <v>2243.9899999999998</v>
      </c>
    </row>
    <row r="770" spans="1:7" x14ac:dyDescent="0.25">
      <c r="A770" s="292" t="s">
        <v>732</v>
      </c>
      <c r="B770" s="293">
        <v>2024</v>
      </c>
      <c r="C770" s="293">
        <v>10</v>
      </c>
      <c r="D770" s="292" t="s">
        <v>661</v>
      </c>
      <c r="E770" s="292" t="s">
        <v>353</v>
      </c>
      <c r="F770" s="292" t="s">
        <v>733</v>
      </c>
      <c r="G770" s="289">
        <v>2244</v>
      </c>
    </row>
    <row r="771" spans="1:7" x14ac:dyDescent="0.25">
      <c r="A771" s="292" t="s">
        <v>732</v>
      </c>
      <c r="B771" s="293">
        <v>2024</v>
      </c>
      <c r="C771" s="293">
        <v>11</v>
      </c>
      <c r="D771" s="292" t="s">
        <v>661</v>
      </c>
      <c r="E771" s="292" t="s">
        <v>353</v>
      </c>
      <c r="F771" s="292" t="s">
        <v>733</v>
      </c>
      <c r="G771" s="289">
        <v>2244.0100000000002</v>
      </c>
    </row>
    <row r="772" spans="1:7" x14ac:dyDescent="0.25">
      <c r="A772" s="292" t="s">
        <v>732</v>
      </c>
      <c r="B772" s="293">
        <v>2024</v>
      </c>
      <c r="C772" s="293">
        <v>12</v>
      </c>
      <c r="D772" s="292" t="s">
        <v>661</v>
      </c>
      <c r="E772" s="292" t="s">
        <v>353</v>
      </c>
      <c r="F772" s="292" t="s">
        <v>733</v>
      </c>
      <c r="G772" s="289">
        <v>2244.0100000000002</v>
      </c>
    </row>
    <row r="773" spans="1:7" x14ac:dyDescent="0.25">
      <c r="A773" s="292" t="s">
        <v>732</v>
      </c>
      <c r="B773" s="293">
        <v>2024</v>
      </c>
      <c r="C773" s="293">
        <v>0</v>
      </c>
      <c r="D773" s="292" t="s">
        <v>661</v>
      </c>
      <c r="E773" s="292" t="s">
        <v>354</v>
      </c>
      <c r="F773" s="292" t="s">
        <v>734</v>
      </c>
      <c r="G773" s="289">
        <v>12772424.18</v>
      </c>
    </row>
    <row r="774" spans="1:7" x14ac:dyDescent="0.25">
      <c r="A774" s="292" t="s">
        <v>732</v>
      </c>
      <c r="B774" s="293">
        <v>2024</v>
      </c>
      <c r="C774" s="293">
        <v>1</v>
      </c>
      <c r="D774" s="292" t="s">
        <v>661</v>
      </c>
      <c r="E774" s="292" t="s">
        <v>354</v>
      </c>
      <c r="F774" s="292" t="s">
        <v>734</v>
      </c>
      <c r="G774" s="289">
        <v>-37934.31</v>
      </c>
    </row>
    <row r="775" spans="1:7" x14ac:dyDescent="0.25">
      <c r="A775" s="292" t="s">
        <v>732</v>
      </c>
      <c r="B775" s="293">
        <v>2024</v>
      </c>
      <c r="C775" s="293">
        <v>2</v>
      </c>
      <c r="D775" s="292" t="s">
        <v>661</v>
      </c>
      <c r="E775" s="292" t="s">
        <v>354</v>
      </c>
      <c r="F775" s="292" t="s">
        <v>734</v>
      </c>
      <c r="G775" s="289">
        <v>-41090.58</v>
      </c>
    </row>
    <row r="776" spans="1:7" x14ac:dyDescent="0.25">
      <c r="A776" s="292" t="s">
        <v>732</v>
      </c>
      <c r="B776" s="293">
        <v>2024</v>
      </c>
      <c r="C776" s="293">
        <v>3</v>
      </c>
      <c r="D776" s="292" t="s">
        <v>661</v>
      </c>
      <c r="E776" s="292" t="s">
        <v>354</v>
      </c>
      <c r="F776" s="292" t="s">
        <v>734</v>
      </c>
      <c r="G776" s="289">
        <v>-37961.14</v>
      </c>
    </row>
    <row r="777" spans="1:7" x14ac:dyDescent="0.25">
      <c r="A777" s="292" t="s">
        <v>732</v>
      </c>
      <c r="B777" s="293">
        <v>2024</v>
      </c>
      <c r="C777" s="293">
        <v>4</v>
      </c>
      <c r="D777" s="292" t="s">
        <v>661</v>
      </c>
      <c r="E777" s="292" t="s">
        <v>354</v>
      </c>
      <c r="F777" s="292" t="s">
        <v>734</v>
      </c>
      <c r="G777" s="289">
        <v>-38185.480000000003</v>
      </c>
    </row>
    <row r="778" spans="1:7" x14ac:dyDescent="0.25">
      <c r="A778" s="292" t="s">
        <v>732</v>
      </c>
      <c r="B778" s="293">
        <v>2024</v>
      </c>
      <c r="C778" s="293">
        <v>5</v>
      </c>
      <c r="D778" s="292" t="s">
        <v>661</v>
      </c>
      <c r="E778" s="292" t="s">
        <v>354</v>
      </c>
      <c r="F778" s="292" t="s">
        <v>734</v>
      </c>
      <c r="G778" s="289">
        <v>-39482.660000000003</v>
      </c>
    </row>
    <row r="779" spans="1:7" x14ac:dyDescent="0.25">
      <c r="A779" s="292" t="s">
        <v>732</v>
      </c>
      <c r="B779" s="293">
        <v>2024</v>
      </c>
      <c r="C779" s="293">
        <v>6</v>
      </c>
      <c r="D779" s="292" t="s">
        <v>661</v>
      </c>
      <c r="E779" s="292" t="s">
        <v>354</v>
      </c>
      <c r="F779" s="292" t="s">
        <v>734</v>
      </c>
      <c r="G779" s="289">
        <v>-41825.29</v>
      </c>
    </row>
    <row r="780" spans="1:7" x14ac:dyDescent="0.25">
      <c r="A780" s="292" t="s">
        <v>732</v>
      </c>
      <c r="B780" s="293">
        <v>2024</v>
      </c>
      <c r="C780" s="293">
        <v>7</v>
      </c>
      <c r="D780" s="292" t="s">
        <v>661</v>
      </c>
      <c r="E780" s="292" t="s">
        <v>354</v>
      </c>
      <c r="F780" s="292" t="s">
        <v>734</v>
      </c>
      <c r="G780" s="289">
        <v>-41048.11</v>
      </c>
    </row>
    <row r="781" spans="1:7" x14ac:dyDescent="0.25">
      <c r="A781" s="292" t="s">
        <v>732</v>
      </c>
      <c r="B781" s="293">
        <v>2024</v>
      </c>
      <c r="C781" s="293">
        <v>8</v>
      </c>
      <c r="D781" s="292" t="s">
        <v>661</v>
      </c>
      <c r="E781" s="292" t="s">
        <v>354</v>
      </c>
      <c r="F781" s="292" t="s">
        <v>734</v>
      </c>
      <c r="G781" s="289">
        <v>-39554.449999999997</v>
      </c>
    </row>
    <row r="782" spans="1:7" x14ac:dyDescent="0.25">
      <c r="A782" s="292" t="s">
        <v>732</v>
      </c>
      <c r="B782" s="293">
        <v>2024</v>
      </c>
      <c r="C782" s="293">
        <v>9</v>
      </c>
      <c r="D782" s="292" t="s">
        <v>661</v>
      </c>
      <c r="E782" s="292" t="s">
        <v>354</v>
      </c>
      <c r="F782" s="292" t="s">
        <v>734</v>
      </c>
      <c r="G782" s="289">
        <v>-39303.11</v>
      </c>
    </row>
    <row r="783" spans="1:7" x14ac:dyDescent="0.25">
      <c r="A783" s="292" t="s">
        <v>732</v>
      </c>
      <c r="B783" s="293">
        <v>2024</v>
      </c>
      <c r="C783" s="293">
        <v>10</v>
      </c>
      <c r="D783" s="292" t="s">
        <v>661</v>
      </c>
      <c r="E783" s="292" t="s">
        <v>354</v>
      </c>
      <c r="F783" s="292" t="s">
        <v>734</v>
      </c>
      <c r="G783" s="289">
        <v>-41869.550000000003</v>
      </c>
    </row>
    <row r="784" spans="1:7" x14ac:dyDescent="0.25">
      <c r="A784" s="292" t="s">
        <v>732</v>
      </c>
      <c r="B784" s="293">
        <v>2024</v>
      </c>
      <c r="C784" s="293">
        <v>11</v>
      </c>
      <c r="D784" s="292" t="s">
        <v>661</v>
      </c>
      <c r="E784" s="292" t="s">
        <v>354</v>
      </c>
      <c r="F784" s="292" t="s">
        <v>734</v>
      </c>
      <c r="G784" s="289">
        <v>-38843.33</v>
      </c>
    </row>
    <row r="785" spans="1:7" x14ac:dyDescent="0.25">
      <c r="A785" s="292" t="s">
        <v>732</v>
      </c>
      <c r="B785" s="293">
        <v>2024</v>
      </c>
      <c r="C785" s="293">
        <v>12</v>
      </c>
      <c r="D785" s="292" t="s">
        <v>661</v>
      </c>
      <c r="E785" s="292" t="s">
        <v>354</v>
      </c>
      <c r="F785" s="292" t="s">
        <v>734</v>
      </c>
      <c r="G785" s="289">
        <v>-46094.09</v>
      </c>
    </row>
    <row r="786" spans="1:7" x14ac:dyDescent="0.25">
      <c r="A786" s="292" t="s">
        <v>732</v>
      </c>
      <c r="B786" s="293">
        <v>2024</v>
      </c>
      <c r="C786" s="293">
        <v>0</v>
      </c>
      <c r="D786" s="292" t="s">
        <v>661</v>
      </c>
      <c r="E786" s="292" t="s">
        <v>355</v>
      </c>
      <c r="F786" s="292" t="s">
        <v>735</v>
      </c>
      <c r="G786" s="289">
        <v>-6418917.29</v>
      </c>
    </row>
    <row r="787" spans="1:7" x14ac:dyDescent="0.25">
      <c r="A787" s="292" t="s">
        <v>732</v>
      </c>
      <c r="B787" s="293">
        <v>2024</v>
      </c>
      <c r="C787" s="293">
        <v>1</v>
      </c>
      <c r="D787" s="292" t="s">
        <v>661</v>
      </c>
      <c r="E787" s="292" t="s">
        <v>355</v>
      </c>
      <c r="F787" s="292" t="s">
        <v>735</v>
      </c>
      <c r="G787" s="289">
        <v>142255</v>
      </c>
    </row>
    <row r="788" spans="1:7" x14ac:dyDescent="0.25">
      <c r="A788" s="292" t="s">
        <v>732</v>
      </c>
      <c r="B788" s="293">
        <v>2024</v>
      </c>
      <c r="C788" s="293">
        <v>2</v>
      </c>
      <c r="D788" s="292" t="s">
        <v>661</v>
      </c>
      <c r="E788" s="292" t="s">
        <v>355</v>
      </c>
      <c r="F788" s="292" t="s">
        <v>735</v>
      </c>
      <c r="G788" s="289">
        <v>142255</v>
      </c>
    </row>
    <row r="789" spans="1:7" x14ac:dyDescent="0.25">
      <c r="A789" s="292" t="s">
        <v>732</v>
      </c>
      <c r="B789" s="293">
        <v>2024</v>
      </c>
      <c r="C789" s="293">
        <v>3</v>
      </c>
      <c r="D789" s="292" t="s">
        <v>661</v>
      </c>
      <c r="E789" s="292" t="s">
        <v>355</v>
      </c>
      <c r="F789" s="292" t="s">
        <v>735</v>
      </c>
      <c r="G789" s="289">
        <v>142255</v>
      </c>
    </row>
    <row r="790" spans="1:7" x14ac:dyDescent="0.25">
      <c r="A790" s="292" t="s">
        <v>732</v>
      </c>
      <c r="B790" s="293">
        <v>2024</v>
      </c>
      <c r="C790" s="293">
        <v>4</v>
      </c>
      <c r="D790" s="292" t="s">
        <v>661</v>
      </c>
      <c r="E790" s="292" t="s">
        <v>355</v>
      </c>
      <c r="F790" s="292" t="s">
        <v>735</v>
      </c>
      <c r="G790" s="289">
        <v>142255</v>
      </c>
    </row>
    <row r="791" spans="1:7" x14ac:dyDescent="0.25">
      <c r="A791" s="292" t="s">
        <v>732</v>
      </c>
      <c r="B791" s="293">
        <v>2024</v>
      </c>
      <c r="C791" s="293">
        <v>5</v>
      </c>
      <c r="D791" s="292" t="s">
        <v>661</v>
      </c>
      <c r="E791" s="292" t="s">
        <v>355</v>
      </c>
      <c r="F791" s="292" t="s">
        <v>735</v>
      </c>
      <c r="G791" s="289">
        <v>142255</v>
      </c>
    </row>
    <row r="792" spans="1:7" x14ac:dyDescent="0.25">
      <c r="A792" s="292" t="s">
        <v>732</v>
      </c>
      <c r="B792" s="293">
        <v>2024</v>
      </c>
      <c r="C792" s="293">
        <v>6</v>
      </c>
      <c r="D792" s="292" t="s">
        <v>661</v>
      </c>
      <c r="E792" s="292" t="s">
        <v>355</v>
      </c>
      <c r="F792" s="292" t="s">
        <v>735</v>
      </c>
      <c r="G792" s="289">
        <v>142255</v>
      </c>
    </row>
    <row r="793" spans="1:7" x14ac:dyDescent="0.25">
      <c r="A793" s="292" t="s">
        <v>732</v>
      </c>
      <c r="B793" s="293">
        <v>2024</v>
      </c>
      <c r="C793" s="293">
        <v>7</v>
      </c>
      <c r="D793" s="292" t="s">
        <v>661</v>
      </c>
      <c r="E793" s="292" t="s">
        <v>355</v>
      </c>
      <c r="F793" s="292" t="s">
        <v>735</v>
      </c>
      <c r="G793" s="289">
        <v>142255</v>
      </c>
    </row>
    <row r="794" spans="1:7" x14ac:dyDescent="0.25">
      <c r="A794" s="292" t="s">
        <v>732</v>
      </c>
      <c r="B794" s="293">
        <v>2024</v>
      </c>
      <c r="C794" s="293">
        <v>8</v>
      </c>
      <c r="D794" s="292" t="s">
        <v>661</v>
      </c>
      <c r="E794" s="292" t="s">
        <v>355</v>
      </c>
      <c r="F794" s="292" t="s">
        <v>735</v>
      </c>
      <c r="G794" s="289">
        <v>142255</v>
      </c>
    </row>
    <row r="795" spans="1:7" x14ac:dyDescent="0.25">
      <c r="A795" s="292" t="s">
        <v>732</v>
      </c>
      <c r="B795" s="293">
        <v>2024</v>
      </c>
      <c r="C795" s="293">
        <v>9</v>
      </c>
      <c r="D795" s="292" t="s">
        <v>661</v>
      </c>
      <c r="E795" s="292" t="s">
        <v>355</v>
      </c>
      <c r="F795" s="292" t="s">
        <v>735</v>
      </c>
      <c r="G795" s="289">
        <v>142255</v>
      </c>
    </row>
    <row r="796" spans="1:7" x14ac:dyDescent="0.25">
      <c r="A796" s="292" t="s">
        <v>732</v>
      </c>
      <c r="B796" s="293">
        <v>2024</v>
      </c>
      <c r="C796" s="293">
        <v>10</v>
      </c>
      <c r="D796" s="292" t="s">
        <v>661</v>
      </c>
      <c r="E796" s="292" t="s">
        <v>355</v>
      </c>
      <c r="F796" s="292" t="s">
        <v>735</v>
      </c>
      <c r="G796" s="289">
        <v>142255</v>
      </c>
    </row>
    <row r="797" spans="1:7" x14ac:dyDescent="0.25">
      <c r="A797" s="292" t="s">
        <v>732</v>
      </c>
      <c r="B797" s="293">
        <v>2024</v>
      </c>
      <c r="C797" s="293">
        <v>11</v>
      </c>
      <c r="D797" s="292" t="s">
        <v>661</v>
      </c>
      <c r="E797" s="292" t="s">
        <v>355</v>
      </c>
      <c r="F797" s="292" t="s">
        <v>735</v>
      </c>
      <c r="G797" s="289">
        <v>142255</v>
      </c>
    </row>
    <row r="798" spans="1:7" x14ac:dyDescent="0.25">
      <c r="A798" s="292" t="s">
        <v>732</v>
      </c>
      <c r="B798" s="293">
        <v>2024</v>
      </c>
      <c r="C798" s="293">
        <v>12</v>
      </c>
      <c r="D798" s="292" t="s">
        <v>661</v>
      </c>
      <c r="E798" s="292" t="s">
        <v>355</v>
      </c>
      <c r="F798" s="292" t="s">
        <v>735</v>
      </c>
      <c r="G798" s="289">
        <v>142255</v>
      </c>
    </row>
    <row r="799" spans="1:7" x14ac:dyDescent="0.25">
      <c r="A799" s="292" t="s">
        <v>732</v>
      </c>
      <c r="B799" s="293">
        <v>2024</v>
      </c>
      <c r="C799" s="293">
        <v>0</v>
      </c>
      <c r="D799" s="292" t="s">
        <v>661</v>
      </c>
      <c r="E799" s="292" t="s">
        <v>356</v>
      </c>
      <c r="F799" s="292" t="s">
        <v>736</v>
      </c>
      <c r="G799" s="289">
        <v>1651322.02</v>
      </c>
    </row>
    <row r="800" spans="1:7" x14ac:dyDescent="0.25">
      <c r="A800" s="292" t="s">
        <v>732</v>
      </c>
      <c r="B800" s="293">
        <v>2024</v>
      </c>
      <c r="C800" s="293">
        <v>1</v>
      </c>
      <c r="D800" s="292" t="s">
        <v>661</v>
      </c>
      <c r="E800" s="292" t="s">
        <v>356</v>
      </c>
      <c r="F800" s="292" t="s">
        <v>736</v>
      </c>
      <c r="G800" s="289">
        <v>-36837.980000000003</v>
      </c>
    </row>
    <row r="801" spans="1:7" x14ac:dyDescent="0.25">
      <c r="A801" s="292" t="s">
        <v>732</v>
      </c>
      <c r="B801" s="293">
        <v>2024</v>
      </c>
      <c r="C801" s="293">
        <v>2</v>
      </c>
      <c r="D801" s="292" t="s">
        <v>661</v>
      </c>
      <c r="E801" s="292" t="s">
        <v>356</v>
      </c>
      <c r="F801" s="292" t="s">
        <v>736</v>
      </c>
      <c r="G801" s="289">
        <v>-36837.99</v>
      </c>
    </row>
    <row r="802" spans="1:7" x14ac:dyDescent="0.25">
      <c r="A802" s="292" t="s">
        <v>732</v>
      </c>
      <c r="B802" s="293">
        <v>2024</v>
      </c>
      <c r="C802" s="293">
        <v>3</v>
      </c>
      <c r="D802" s="292" t="s">
        <v>661</v>
      </c>
      <c r="E802" s="292" t="s">
        <v>356</v>
      </c>
      <c r="F802" s="292" t="s">
        <v>736</v>
      </c>
      <c r="G802" s="289">
        <v>-36837.99</v>
      </c>
    </row>
    <row r="803" spans="1:7" x14ac:dyDescent="0.25">
      <c r="A803" s="292" t="s">
        <v>732</v>
      </c>
      <c r="B803" s="293">
        <v>2024</v>
      </c>
      <c r="C803" s="293">
        <v>4</v>
      </c>
      <c r="D803" s="292" t="s">
        <v>661</v>
      </c>
      <c r="E803" s="292" t="s">
        <v>356</v>
      </c>
      <c r="F803" s="292" t="s">
        <v>736</v>
      </c>
      <c r="G803" s="289">
        <v>-36837.980000000003</v>
      </c>
    </row>
    <row r="804" spans="1:7" x14ac:dyDescent="0.25">
      <c r="A804" s="292" t="s">
        <v>732</v>
      </c>
      <c r="B804" s="293">
        <v>2024</v>
      </c>
      <c r="C804" s="293">
        <v>5</v>
      </c>
      <c r="D804" s="292" t="s">
        <v>661</v>
      </c>
      <c r="E804" s="292" t="s">
        <v>356</v>
      </c>
      <c r="F804" s="292" t="s">
        <v>736</v>
      </c>
      <c r="G804" s="289">
        <v>-36837.99</v>
      </c>
    </row>
    <row r="805" spans="1:7" x14ac:dyDescent="0.25">
      <c r="A805" s="292" t="s">
        <v>732</v>
      </c>
      <c r="B805" s="293">
        <v>2024</v>
      </c>
      <c r="C805" s="293">
        <v>6</v>
      </c>
      <c r="D805" s="292" t="s">
        <v>661</v>
      </c>
      <c r="E805" s="292" t="s">
        <v>356</v>
      </c>
      <c r="F805" s="292" t="s">
        <v>736</v>
      </c>
      <c r="G805" s="289">
        <v>-36837.99</v>
      </c>
    </row>
    <row r="806" spans="1:7" x14ac:dyDescent="0.25">
      <c r="A806" s="292" t="s">
        <v>732</v>
      </c>
      <c r="B806" s="293">
        <v>2024</v>
      </c>
      <c r="C806" s="293">
        <v>7</v>
      </c>
      <c r="D806" s="292" t="s">
        <v>661</v>
      </c>
      <c r="E806" s="292" t="s">
        <v>356</v>
      </c>
      <c r="F806" s="292" t="s">
        <v>736</v>
      </c>
      <c r="G806" s="289">
        <v>-36837.99</v>
      </c>
    </row>
    <row r="807" spans="1:7" x14ac:dyDescent="0.25">
      <c r="A807" s="292" t="s">
        <v>732</v>
      </c>
      <c r="B807" s="293">
        <v>2024</v>
      </c>
      <c r="C807" s="293">
        <v>8</v>
      </c>
      <c r="D807" s="292" t="s">
        <v>661</v>
      </c>
      <c r="E807" s="292" t="s">
        <v>356</v>
      </c>
      <c r="F807" s="292" t="s">
        <v>736</v>
      </c>
      <c r="G807" s="289">
        <v>-36837.980000000003</v>
      </c>
    </row>
    <row r="808" spans="1:7" x14ac:dyDescent="0.25">
      <c r="A808" s="292" t="s">
        <v>732</v>
      </c>
      <c r="B808" s="293">
        <v>2024</v>
      </c>
      <c r="C808" s="293">
        <v>9</v>
      </c>
      <c r="D808" s="292" t="s">
        <v>661</v>
      </c>
      <c r="E808" s="292" t="s">
        <v>356</v>
      </c>
      <c r="F808" s="292" t="s">
        <v>736</v>
      </c>
      <c r="G808" s="289">
        <v>-36837.99</v>
      </c>
    </row>
    <row r="809" spans="1:7" x14ac:dyDescent="0.25">
      <c r="A809" s="292" t="s">
        <v>732</v>
      </c>
      <c r="B809" s="293">
        <v>2024</v>
      </c>
      <c r="C809" s="293">
        <v>10</v>
      </c>
      <c r="D809" s="292" t="s">
        <v>661</v>
      </c>
      <c r="E809" s="292" t="s">
        <v>356</v>
      </c>
      <c r="F809" s="292" t="s">
        <v>736</v>
      </c>
      <c r="G809" s="289">
        <v>-36837.99</v>
      </c>
    </row>
    <row r="810" spans="1:7" x14ac:dyDescent="0.25">
      <c r="A810" s="292" t="s">
        <v>732</v>
      </c>
      <c r="B810" s="293">
        <v>2024</v>
      </c>
      <c r="C810" s="293">
        <v>11</v>
      </c>
      <c r="D810" s="292" t="s">
        <v>661</v>
      </c>
      <c r="E810" s="292" t="s">
        <v>356</v>
      </c>
      <c r="F810" s="292" t="s">
        <v>736</v>
      </c>
      <c r="G810" s="289">
        <v>-36837.99</v>
      </c>
    </row>
    <row r="811" spans="1:7" x14ac:dyDescent="0.25">
      <c r="A811" s="292" t="s">
        <v>732</v>
      </c>
      <c r="B811" s="293">
        <v>2024</v>
      </c>
      <c r="C811" s="293">
        <v>12</v>
      </c>
      <c r="D811" s="292" t="s">
        <v>661</v>
      </c>
      <c r="E811" s="292" t="s">
        <v>356</v>
      </c>
      <c r="F811" s="292" t="s">
        <v>736</v>
      </c>
      <c r="G811" s="289">
        <v>-36837.980000000003</v>
      </c>
    </row>
    <row r="812" spans="1:7" x14ac:dyDescent="0.25">
      <c r="A812" s="292" t="s">
        <v>732</v>
      </c>
      <c r="B812" s="293">
        <v>2024</v>
      </c>
      <c r="C812" s="293">
        <v>0</v>
      </c>
      <c r="D812" s="292" t="s">
        <v>661</v>
      </c>
      <c r="E812" s="292" t="s">
        <v>357</v>
      </c>
      <c r="F812" s="292" t="s">
        <v>737</v>
      </c>
      <c r="G812" s="289">
        <v>6418917.29</v>
      </c>
    </row>
    <row r="813" spans="1:7" x14ac:dyDescent="0.25">
      <c r="A813" s="292" t="s">
        <v>732</v>
      </c>
      <c r="B813" s="293">
        <v>2024</v>
      </c>
      <c r="C813" s="293">
        <v>1</v>
      </c>
      <c r="D813" s="292" t="s">
        <v>661</v>
      </c>
      <c r="E813" s="292" t="s">
        <v>357</v>
      </c>
      <c r="F813" s="292" t="s">
        <v>737</v>
      </c>
      <c r="G813" s="289">
        <v>-142255</v>
      </c>
    </row>
    <row r="814" spans="1:7" x14ac:dyDescent="0.25">
      <c r="A814" s="292" t="s">
        <v>732</v>
      </c>
      <c r="B814" s="293">
        <v>2024</v>
      </c>
      <c r="C814" s="293">
        <v>2</v>
      </c>
      <c r="D814" s="292" t="s">
        <v>661</v>
      </c>
      <c r="E814" s="292" t="s">
        <v>357</v>
      </c>
      <c r="F814" s="292" t="s">
        <v>737</v>
      </c>
      <c r="G814" s="289">
        <v>-142255</v>
      </c>
    </row>
    <row r="815" spans="1:7" x14ac:dyDescent="0.25">
      <c r="A815" s="292" t="s">
        <v>732</v>
      </c>
      <c r="B815" s="293">
        <v>2024</v>
      </c>
      <c r="C815" s="293">
        <v>3</v>
      </c>
      <c r="D815" s="292" t="s">
        <v>661</v>
      </c>
      <c r="E815" s="292" t="s">
        <v>357</v>
      </c>
      <c r="F815" s="292" t="s">
        <v>737</v>
      </c>
      <c r="G815" s="289">
        <v>-142255</v>
      </c>
    </row>
    <row r="816" spans="1:7" x14ac:dyDescent="0.25">
      <c r="A816" s="292" t="s">
        <v>732</v>
      </c>
      <c r="B816" s="293">
        <v>2024</v>
      </c>
      <c r="C816" s="293">
        <v>4</v>
      </c>
      <c r="D816" s="292" t="s">
        <v>661</v>
      </c>
      <c r="E816" s="292" t="s">
        <v>357</v>
      </c>
      <c r="F816" s="292" t="s">
        <v>737</v>
      </c>
      <c r="G816" s="289">
        <v>-142255</v>
      </c>
    </row>
    <row r="817" spans="1:7" x14ac:dyDescent="0.25">
      <c r="A817" s="292" t="s">
        <v>732</v>
      </c>
      <c r="B817" s="293">
        <v>2024</v>
      </c>
      <c r="C817" s="293">
        <v>5</v>
      </c>
      <c r="D817" s="292" t="s">
        <v>661</v>
      </c>
      <c r="E817" s="292" t="s">
        <v>357</v>
      </c>
      <c r="F817" s="292" t="s">
        <v>737</v>
      </c>
      <c r="G817" s="289">
        <v>-142255</v>
      </c>
    </row>
    <row r="818" spans="1:7" x14ac:dyDescent="0.25">
      <c r="A818" s="292" t="s">
        <v>732</v>
      </c>
      <c r="B818" s="293">
        <v>2024</v>
      </c>
      <c r="C818" s="293">
        <v>6</v>
      </c>
      <c r="D818" s="292" t="s">
        <v>661</v>
      </c>
      <c r="E818" s="292" t="s">
        <v>357</v>
      </c>
      <c r="F818" s="292" t="s">
        <v>737</v>
      </c>
      <c r="G818" s="289">
        <v>-142255</v>
      </c>
    </row>
    <row r="819" spans="1:7" x14ac:dyDescent="0.25">
      <c r="A819" s="292" t="s">
        <v>732</v>
      </c>
      <c r="B819" s="293">
        <v>2024</v>
      </c>
      <c r="C819" s="293">
        <v>7</v>
      </c>
      <c r="D819" s="292" t="s">
        <v>661</v>
      </c>
      <c r="E819" s="292" t="s">
        <v>357</v>
      </c>
      <c r="F819" s="292" t="s">
        <v>737</v>
      </c>
      <c r="G819" s="289">
        <v>-142255</v>
      </c>
    </row>
    <row r="820" spans="1:7" x14ac:dyDescent="0.25">
      <c r="A820" s="292" t="s">
        <v>732</v>
      </c>
      <c r="B820" s="293">
        <v>2024</v>
      </c>
      <c r="C820" s="293">
        <v>8</v>
      </c>
      <c r="D820" s="292" t="s">
        <v>661</v>
      </c>
      <c r="E820" s="292" t="s">
        <v>357</v>
      </c>
      <c r="F820" s="292" t="s">
        <v>737</v>
      </c>
      <c r="G820" s="289">
        <v>-142255</v>
      </c>
    </row>
    <row r="821" spans="1:7" x14ac:dyDescent="0.25">
      <c r="A821" s="292" t="s">
        <v>732</v>
      </c>
      <c r="B821" s="293">
        <v>2024</v>
      </c>
      <c r="C821" s="293">
        <v>9</v>
      </c>
      <c r="D821" s="292" t="s">
        <v>661</v>
      </c>
      <c r="E821" s="292" t="s">
        <v>357</v>
      </c>
      <c r="F821" s="292" t="s">
        <v>737</v>
      </c>
      <c r="G821" s="289">
        <v>-142255</v>
      </c>
    </row>
    <row r="822" spans="1:7" x14ac:dyDescent="0.25">
      <c r="A822" s="292" t="s">
        <v>732</v>
      </c>
      <c r="B822" s="293">
        <v>2024</v>
      </c>
      <c r="C822" s="293">
        <v>10</v>
      </c>
      <c r="D822" s="292" t="s">
        <v>661</v>
      </c>
      <c r="E822" s="292" t="s">
        <v>357</v>
      </c>
      <c r="F822" s="292" t="s">
        <v>737</v>
      </c>
      <c r="G822" s="289">
        <v>-142255</v>
      </c>
    </row>
    <row r="823" spans="1:7" x14ac:dyDescent="0.25">
      <c r="A823" s="292" t="s">
        <v>732</v>
      </c>
      <c r="B823" s="293">
        <v>2024</v>
      </c>
      <c r="C823" s="293">
        <v>11</v>
      </c>
      <c r="D823" s="292" t="s">
        <v>661</v>
      </c>
      <c r="E823" s="292" t="s">
        <v>357</v>
      </c>
      <c r="F823" s="292" t="s">
        <v>737</v>
      </c>
      <c r="G823" s="289">
        <v>-142255</v>
      </c>
    </row>
    <row r="824" spans="1:7" x14ac:dyDescent="0.25">
      <c r="A824" s="292" t="s">
        <v>732</v>
      </c>
      <c r="B824" s="293">
        <v>2024</v>
      </c>
      <c r="C824" s="293">
        <v>12</v>
      </c>
      <c r="D824" s="292" t="s">
        <v>661</v>
      </c>
      <c r="E824" s="292" t="s">
        <v>357</v>
      </c>
      <c r="F824" s="292" t="s">
        <v>737</v>
      </c>
      <c r="G824" s="289">
        <v>-142255</v>
      </c>
    </row>
    <row r="825" spans="1:7" x14ac:dyDescent="0.25">
      <c r="A825" s="292" t="s">
        <v>732</v>
      </c>
      <c r="B825" s="293">
        <v>2024</v>
      </c>
      <c r="C825" s="293">
        <v>0</v>
      </c>
      <c r="D825" s="292" t="s">
        <v>661</v>
      </c>
      <c r="E825" s="292" t="s">
        <v>358</v>
      </c>
      <c r="F825" s="292" t="s">
        <v>738</v>
      </c>
      <c r="G825" s="289">
        <v>22290436.32</v>
      </c>
    </row>
    <row r="826" spans="1:7" x14ac:dyDescent="0.25">
      <c r="A826" s="292" t="s">
        <v>732</v>
      </c>
      <c r="B826" s="293">
        <v>2024</v>
      </c>
      <c r="C826" s="293">
        <v>1</v>
      </c>
      <c r="D826" s="292" t="s">
        <v>661</v>
      </c>
      <c r="E826" s="292" t="s">
        <v>358</v>
      </c>
      <c r="F826" s="292" t="s">
        <v>738</v>
      </c>
      <c r="G826" s="289">
        <v>-2244</v>
      </c>
    </row>
    <row r="827" spans="1:7" x14ac:dyDescent="0.25">
      <c r="A827" s="292" t="s">
        <v>732</v>
      </c>
      <c r="B827" s="293">
        <v>2024</v>
      </c>
      <c r="C827" s="293">
        <v>2</v>
      </c>
      <c r="D827" s="292" t="s">
        <v>661</v>
      </c>
      <c r="E827" s="292" t="s">
        <v>358</v>
      </c>
      <c r="F827" s="292" t="s">
        <v>738</v>
      </c>
      <c r="G827" s="289">
        <v>-2244</v>
      </c>
    </row>
    <row r="828" spans="1:7" x14ac:dyDescent="0.25">
      <c r="A828" s="292" t="s">
        <v>732</v>
      </c>
      <c r="B828" s="293">
        <v>2024</v>
      </c>
      <c r="C828" s="293">
        <v>3</v>
      </c>
      <c r="D828" s="292" t="s">
        <v>661</v>
      </c>
      <c r="E828" s="292" t="s">
        <v>358</v>
      </c>
      <c r="F828" s="292" t="s">
        <v>738</v>
      </c>
      <c r="G828" s="289">
        <v>-2244</v>
      </c>
    </row>
    <row r="829" spans="1:7" x14ac:dyDescent="0.25">
      <c r="A829" s="292" t="s">
        <v>732</v>
      </c>
      <c r="B829" s="293">
        <v>2024</v>
      </c>
      <c r="C829" s="293">
        <v>4</v>
      </c>
      <c r="D829" s="292" t="s">
        <v>661</v>
      </c>
      <c r="E829" s="292" t="s">
        <v>358</v>
      </c>
      <c r="F829" s="292" t="s">
        <v>738</v>
      </c>
      <c r="G829" s="289">
        <v>-2244</v>
      </c>
    </row>
    <row r="830" spans="1:7" x14ac:dyDescent="0.25">
      <c r="A830" s="292" t="s">
        <v>732</v>
      </c>
      <c r="B830" s="293">
        <v>2024</v>
      </c>
      <c r="C830" s="293">
        <v>5</v>
      </c>
      <c r="D830" s="292" t="s">
        <v>661</v>
      </c>
      <c r="E830" s="292" t="s">
        <v>358</v>
      </c>
      <c r="F830" s="292" t="s">
        <v>738</v>
      </c>
      <c r="G830" s="289">
        <v>-2244</v>
      </c>
    </row>
    <row r="831" spans="1:7" x14ac:dyDescent="0.25">
      <c r="A831" s="292" t="s">
        <v>732</v>
      </c>
      <c r="B831" s="293">
        <v>2024</v>
      </c>
      <c r="C831" s="293">
        <v>6</v>
      </c>
      <c r="D831" s="292" t="s">
        <v>661</v>
      </c>
      <c r="E831" s="292" t="s">
        <v>358</v>
      </c>
      <c r="F831" s="292" t="s">
        <v>738</v>
      </c>
      <c r="G831" s="289">
        <v>-2244</v>
      </c>
    </row>
    <row r="832" spans="1:7" x14ac:dyDescent="0.25">
      <c r="A832" s="292" t="s">
        <v>732</v>
      </c>
      <c r="B832" s="293">
        <v>2024</v>
      </c>
      <c r="C832" s="293">
        <v>7</v>
      </c>
      <c r="D832" s="292" t="s">
        <v>661</v>
      </c>
      <c r="E832" s="292" t="s">
        <v>358</v>
      </c>
      <c r="F832" s="292" t="s">
        <v>738</v>
      </c>
      <c r="G832" s="289">
        <v>-2244</v>
      </c>
    </row>
    <row r="833" spans="1:7" x14ac:dyDescent="0.25">
      <c r="A833" s="292" t="s">
        <v>732</v>
      </c>
      <c r="B833" s="293">
        <v>2024</v>
      </c>
      <c r="C833" s="293">
        <v>8</v>
      </c>
      <c r="D833" s="292" t="s">
        <v>661</v>
      </c>
      <c r="E833" s="292" t="s">
        <v>358</v>
      </c>
      <c r="F833" s="292" t="s">
        <v>738</v>
      </c>
      <c r="G833" s="289">
        <v>-2244</v>
      </c>
    </row>
    <row r="834" spans="1:7" x14ac:dyDescent="0.25">
      <c r="A834" s="292" t="s">
        <v>732</v>
      </c>
      <c r="B834" s="293">
        <v>2024</v>
      </c>
      <c r="C834" s="293">
        <v>9</v>
      </c>
      <c r="D834" s="292" t="s">
        <v>661</v>
      </c>
      <c r="E834" s="292" t="s">
        <v>358</v>
      </c>
      <c r="F834" s="292" t="s">
        <v>738</v>
      </c>
      <c r="G834" s="289">
        <v>-2244</v>
      </c>
    </row>
    <row r="835" spans="1:7" x14ac:dyDescent="0.25">
      <c r="A835" s="292" t="s">
        <v>732</v>
      </c>
      <c r="B835" s="293">
        <v>2024</v>
      </c>
      <c r="C835" s="293">
        <v>10</v>
      </c>
      <c r="D835" s="292" t="s">
        <v>661</v>
      </c>
      <c r="E835" s="292" t="s">
        <v>358</v>
      </c>
      <c r="F835" s="292" t="s">
        <v>738</v>
      </c>
      <c r="G835" s="289">
        <v>-2244</v>
      </c>
    </row>
    <row r="836" spans="1:7" x14ac:dyDescent="0.25">
      <c r="A836" s="292" t="s">
        <v>732</v>
      </c>
      <c r="B836" s="293">
        <v>2024</v>
      </c>
      <c r="C836" s="293">
        <v>11</v>
      </c>
      <c r="D836" s="292" t="s">
        <v>661</v>
      </c>
      <c r="E836" s="292" t="s">
        <v>358</v>
      </c>
      <c r="F836" s="292" t="s">
        <v>738</v>
      </c>
      <c r="G836" s="289">
        <v>-2244</v>
      </c>
    </row>
    <row r="837" spans="1:7" x14ac:dyDescent="0.25">
      <c r="A837" s="292" t="s">
        <v>732</v>
      </c>
      <c r="B837" s="293">
        <v>2024</v>
      </c>
      <c r="C837" s="293">
        <v>12</v>
      </c>
      <c r="D837" s="292" t="s">
        <v>661</v>
      </c>
      <c r="E837" s="292" t="s">
        <v>358</v>
      </c>
      <c r="F837" s="292" t="s">
        <v>738</v>
      </c>
      <c r="G837" s="289">
        <v>-2244</v>
      </c>
    </row>
    <row r="838" spans="1:7" x14ac:dyDescent="0.25">
      <c r="A838" s="292" t="s">
        <v>732</v>
      </c>
      <c r="B838" s="293">
        <v>2024</v>
      </c>
      <c r="C838" s="293">
        <v>0</v>
      </c>
      <c r="D838" s="292" t="s">
        <v>661</v>
      </c>
      <c r="E838" s="292" t="s">
        <v>359</v>
      </c>
      <c r="F838" s="292" t="s">
        <v>680</v>
      </c>
      <c r="G838" s="289">
        <v>2095780.52</v>
      </c>
    </row>
    <row r="839" spans="1:7" x14ac:dyDescent="0.25">
      <c r="A839" s="292" t="s">
        <v>732</v>
      </c>
      <c r="B839" s="293">
        <v>2024</v>
      </c>
      <c r="C839" s="293">
        <v>3</v>
      </c>
      <c r="D839" s="292" t="s">
        <v>661</v>
      </c>
      <c r="E839" s="292" t="s">
        <v>359</v>
      </c>
      <c r="F839" s="292" t="s">
        <v>680</v>
      </c>
      <c r="G839" s="289">
        <v>827684.82</v>
      </c>
    </row>
    <row r="840" spans="1:7" x14ac:dyDescent="0.25">
      <c r="A840" s="292" t="s">
        <v>732</v>
      </c>
      <c r="B840" s="293">
        <v>2024</v>
      </c>
      <c r="C840" s="293">
        <v>6</v>
      </c>
      <c r="D840" s="292" t="s">
        <v>661</v>
      </c>
      <c r="E840" s="292" t="s">
        <v>359</v>
      </c>
      <c r="F840" s="292" t="s">
        <v>680</v>
      </c>
      <c r="G840" s="289">
        <v>137839.92000000001</v>
      </c>
    </row>
    <row r="841" spans="1:7" x14ac:dyDescent="0.25">
      <c r="A841" s="292" t="s">
        <v>732</v>
      </c>
      <c r="B841" s="293">
        <v>2024</v>
      </c>
      <c r="C841" s="293">
        <v>7</v>
      </c>
      <c r="D841" s="292" t="s">
        <v>661</v>
      </c>
      <c r="E841" s="292" t="s">
        <v>359</v>
      </c>
      <c r="F841" s="292" t="s">
        <v>680</v>
      </c>
      <c r="G841" s="289">
        <v>-137258.07</v>
      </c>
    </row>
    <row r="842" spans="1:7" x14ac:dyDescent="0.25">
      <c r="A842" s="292" t="s">
        <v>732</v>
      </c>
      <c r="B842" s="293">
        <v>2024</v>
      </c>
      <c r="C842" s="293">
        <v>8</v>
      </c>
      <c r="D842" s="292" t="s">
        <v>661</v>
      </c>
      <c r="E842" s="292" t="s">
        <v>359</v>
      </c>
      <c r="F842" s="292" t="s">
        <v>680</v>
      </c>
      <c r="G842" s="289">
        <v>481037.88</v>
      </c>
    </row>
    <row r="843" spans="1:7" x14ac:dyDescent="0.25">
      <c r="A843" s="292" t="s">
        <v>732</v>
      </c>
      <c r="B843" s="293">
        <v>2024</v>
      </c>
      <c r="C843" s="293">
        <v>9</v>
      </c>
      <c r="D843" s="292" t="s">
        <v>661</v>
      </c>
      <c r="E843" s="292" t="s">
        <v>359</v>
      </c>
      <c r="F843" s="292" t="s">
        <v>680</v>
      </c>
      <c r="G843" s="289">
        <v>-640135.77</v>
      </c>
    </row>
    <row r="844" spans="1:7" x14ac:dyDescent="0.25">
      <c r="A844" s="292" t="s">
        <v>732</v>
      </c>
      <c r="B844" s="293">
        <v>2024</v>
      </c>
      <c r="C844" s="293">
        <v>10</v>
      </c>
      <c r="D844" s="292" t="s">
        <v>661</v>
      </c>
      <c r="E844" s="292" t="s">
        <v>359</v>
      </c>
      <c r="F844" s="292" t="s">
        <v>680</v>
      </c>
      <c r="G844" s="289">
        <v>1143685.19</v>
      </c>
    </row>
    <row r="845" spans="1:7" x14ac:dyDescent="0.25">
      <c r="A845" s="292" t="s">
        <v>732</v>
      </c>
      <c r="B845" s="293">
        <v>2024</v>
      </c>
      <c r="C845" s="293">
        <v>11</v>
      </c>
      <c r="D845" s="292" t="s">
        <v>661</v>
      </c>
      <c r="E845" s="292" t="s">
        <v>359</v>
      </c>
      <c r="F845" s="292" t="s">
        <v>680</v>
      </c>
      <c r="G845" s="289">
        <v>138804.75</v>
      </c>
    </row>
    <row r="846" spans="1:7" x14ac:dyDescent="0.25">
      <c r="A846" s="292" t="s">
        <v>732</v>
      </c>
      <c r="B846" s="293">
        <v>2024</v>
      </c>
      <c r="C846" s="293">
        <v>12</v>
      </c>
      <c r="D846" s="292" t="s">
        <v>661</v>
      </c>
      <c r="E846" s="292" t="s">
        <v>359</v>
      </c>
      <c r="F846" s="292" t="s">
        <v>680</v>
      </c>
      <c r="G846" s="289">
        <v>520417.18</v>
      </c>
    </row>
    <row r="847" spans="1:7" x14ac:dyDescent="0.25">
      <c r="A847" s="292" t="s">
        <v>732</v>
      </c>
      <c r="B847" s="293">
        <v>2024</v>
      </c>
      <c r="C847" s="293">
        <v>0</v>
      </c>
      <c r="D847" s="292" t="s">
        <v>661</v>
      </c>
      <c r="E847" s="292" t="s">
        <v>360</v>
      </c>
      <c r="F847" s="292" t="s">
        <v>681</v>
      </c>
      <c r="G847" s="289">
        <v>307057.84000000003</v>
      </c>
    </row>
    <row r="848" spans="1:7" x14ac:dyDescent="0.25">
      <c r="A848" s="292" t="s">
        <v>732</v>
      </c>
      <c r="B848" s="293">
        <v>2024</v>
      </c>
      <c r="C848" s="293">
        <v>1</v>
      </c>
      <c r="D848" s="292" t="s">
        <v>661</v>
      </c>
      <c r="E848" s="292" t="s">
        <v>360</v>
      </c>
      <c r="F848" s="292" t="s">
        <v>681</v>
      </c>
      <c r="G848" s="289">
        <v>79176.09</v>
      </c>
    </row>
    <row r="849" spans="1:7" x14ac:dyDescent="0.25">
      <c r="A849" s="292" t="s">
        <v>732</v>
      </c>
      <c r="B849" s="293">
        <v>2024</v>
      </c>
      <c r="C849" s="293">
        <v>3</v>
      </c>
      <c r="D849" s="292" t="s">
        <v>661</v>
      </c>
      <c r="E849" s="292" t="s">
        <v>360</v>
      </c>
      <c r="F849" s="292" t="s">
        <v>681</v>
      </c>
      <c r="G849" s="289">
        <v>-144237.45000000001</v>
      </c>
    </row>
    <row r="850" spans="1:7" x14ac:dyDescent="0.25">
      <c r="A850" s="292" t="s">
        <v>732</v>
      </c>
      <c r="B850" s="293">
        <v>2024</v>
      </c>
      <c r="C850" s="293">
        <v>6</v>
      </c>
      <c r="D850" s="292" t="s">
        <v>661</v>
      </c>
      <c r="E850" s="292" t="s">
        <v>360</v>
      </c>
      <c r="F850" s="292" t="s">
        <v>681</v>
      </c>
      <c r="G850" s="289">
        <v>133296.24</v>
      </c>
    </row>
    <row r="851" spans="1:7" x14ac:dyDescent="0.25">
      <c r="A851" s="292" t="s">
        <v>732</v>
      </c>
      <c r="B851" s="293">
        <v>2024</v>
      </c>
      <c r="C851" s="293">
        <v>9</v>
      </c>
      <c r="D851" s="292" t="s">
        <v>661</v>
      </c>
      <c r="E851" s="292" t="s">
        <v>360</v>
      </c>
      <c r="F851" s="292" t="s">
        <v>681</v>
      </c>
      <c r="G851" s="289">
        <v>181147.05</v>
      </c>
    </row>
    <row r="852" spans="1:7" x14ac:dyDescent="0.25">
      <c r="A852" s="292" t="s">
        <v>732</v>
      </c>
      <c r="B852" s="293">
        <v>2024</v>
      </c>
      <c r="C852" s="293">
        <v>10</v>
      </c>
      <c r="D852" s="292" t="s">
        <v>661</v>
      </c>
      <c r="E852" s="292" t="s">
        <v>360</v>
      </c>
      <c r="F852" s="292" t="s">
        <v>681</v>
      </c>
      <c r="G852" s="289">
        <v>16102.17</v>
      </c>
    </row>
    <row r="853" spans="1:7" x14ac:dyDescent="0.25">
      <c r="A853" s="292" t="s">
        <v>732</v>
      </c>
      <c r="B853" s="293">
        <v>2024</v>
      </c>
      <c r="C853" s="293">
        <v>12</v>
      </c>
      <c r="D853" s="292" t="s">
        <v>661</v>
      </c>
      <c r="E853" s="292" t="s">
        <v>360</v>
      </c>
      <c r="F853" s="292" t="s">
        <v>681</v>
      </c>
      <c r="G853" s="289">
        <v>-33001.71</v>
      </c>
    </row>
    <row r="854" spans="1:7" x14ac:dyDescent="0.25">
      <c r="A854" s="292" t="s">
        <v>732</v>
      </c>
      <c r="B854" s="293">
        <v>2024</v>
      </c>
      <c r="C854" s="293">
        <v>0</v>
      </c>
      <c r="D854" s="292" t="s">
        <v>661</v>
      </c>
      <c r="E854" s="292" t="s">
        <v>363</v>
      </c>
      <c r="F854" s="292" t="s">
        <v>662</v>
      </c>
      <c r="G854" s="289">
        <v>63154.21</v>
      </c>
    </row>
    <row r="855" spans="1:7" x14ac:dyDescent="0.25">
      <c r="A855" s="292" t="s">
        <v>732</v>
      </c>
      <c r="B855" s="293">
        <v>2024</v>
      </c>
      <c r="C855" s="293">
        <v>7</v>
      </c>
      <c r="D855" s="292" t="s">
        <v>661</v>
      </c>
      <c r="E855" s="292" t="s">
        <v>363</v>
      </c>
      <c r="F855" s="292" t="s">
        <v>662</v>
      </c>
      <c r="G855" s="289">
        <v>53648.94</v>
      </c>
    </row>
    <row r="856" spans="1:7" x14ac:dyDescent="0.25">
      <c r="A856" s="292" t="s">
        <v>732</v>
      </c>
      <c r="B856" s="293">
        <v>2024</v>
      </c>
      <c r="C856" s="293">
        <v>8</v>
      </c>
      <c r="D856" s="292" t="s">
        <v>661</v>
      </c>
      <c r="E856" s="292" t="s">
        <v>363</v>
      </c>
      <c r="F856" s="292" t="s">
        <v>662</v>
      </c>
      <c r="G856" s="289">
        <v>-3076.98</v>
      </c>
    </row>
    <row r="857" spans="1:7" x14ac:dyDescent="0.25">
      <c r="A857" s="292" t="s">
        <v>732</v>
      </c>
      <c r="B857" s="293">
        <v>2024</v>
      </c>
      <c r="C857" s="293">
        <v>9</v>
      </c>
      <c r="D857" s="292" t="s">
        <v>661</v>
      </c>
      <c r="E857" s="292" t="s">
        <v>363</v>
      </c>
      <c r="F857" s="292" t="s">
        <v>662</v>
      </c>
      <c r="G857" s="289">
        <v>-2851.86</v>
      </c>
    </row>
    <row r="858" spans="1:7" x14ac:dyDescent="0.25">
      <c r="A858" s="292" t="s">
        <v>732</v>
      </c>
      <c r="B858" s="293">
        <v>2024</v>
      </c>
      <c r="C858" s="293">
        <v>10</v>
      </c>
      <c r="D858" s="292" t="s">
        <v>661</v>
      </c>
      <c r="E858" s="292" t="s">
        <v>363</v>
      </c>
      <c r="F858" s="292" t="s">
        <v>662</v>
      </c>
      <c r="G858" s="289">
        <v>-79342.080000000002</v>
      </c>
    </row>
    <row r="859" spans="1:7" x14ac:dyDescent="0.25">
      <c r="A859" s="292" t="s">
        <v>732</v>
      </c>
      <c r="B859" s="293">
        <v>2024</v>
      </c>
      <c r="C859" s="293">
        <v>11</v>
      </c>
      <c r="D859" s="292" t="s">
        <v>661</v>
      </c>
      <c r="E859" s="292" t="s">
        <v>363</v>
      </c>
      <c r="F859" s="292" t="s">
        <v>662</v>
      </c>
      <c r="G859" s="289">
        <v>57045.68</v>
      </c>
    </row>
    <row r="860" spans="1:7" x14ac:dyDescent="0.25">
      <c r="A860" s="292" t="s">
        <v>732</v>
      </c>
      <c r="B860" s="293">
        <v>2024</v>
      </c>
      <c r="C860" s="293">
        <v>12</v>
      </c>
      <c r="D860" s="292" t="s">
        <v>661</v>
      </c>
      <c r="E860" s="292" t="s">
        <v>363</v>
      </c>
      <c r="F860" s="292" t="s">
        <v>662</v>
      </c>
      <c r="G860" s="289">
        <v>-4975.57</v>
      </c>
    </row>
    <row r="861" spans="1:7" x14ac:dyDescent="0.25">
      <c r="A861" s="292" t="s">
        <v>732</v>
      </c>
      <c r="B861" s="293">
        <v>2024</v>
      </c>
      <c r="C861" s="293">
        <v>10</v>
      </c>
      <c r="D861" s="292" t="s">
        <v>661</v>
      </c>
      <c r="E861" s="292" t="s">
        <v>669</v>
      </c>
      <c r="F861" s="292" t="s">
        <v>670</v>
      </c>
      <c r="G861" s="289">
        <v>0</v>
      </c>
    </row>
    <row r="862" spans="1:7" x14ac:dyDescent="0.25">
      <c r="A862" s="292" t="s">
        <v>732</v>
      </c>
      <c r="B862" s="293">
        <v>2024</v>
      </c>
      <c r="C862" s="293">
        <v>0</v>
      </c>
      <c r="D862" s="292" t="s">
        <v>661</v>
      </c>
      <c r="E862" s="292" t="s">
        <v>365</v>
      </c>
      <c r="F862" s="292" t="s">
        <v>364</v>
      </c>
      <c r="G862" s="289">
        <v>-28350.07</v>
      </c>
    </row>
    <row r="863" spans="1:7" x14ac:dyDescent="0.25">
      <c r="A863" s="292" t="s">
        <v>732</v>
      </c>
      <c r="B863" s="293">
        <v>2024</v>
      </c>
      <c r="C863" s="293">
        <v>0</v>
      </c>
      <c r="D863" s="292" t="s">
        <v>661</v>
      </c>
      <c r="E863" s="292" t="s">
        <v>367</v>
      </c>
      <c r="F863" s="292" t="s">
        <v>366</v>
      </c>
      <c r="G863" s="289">
        <v>807170.89</v>
      </c>
    </row>
    <row r="864" spans="1:7" x14ac:dyDescent="0.25">
      <c r="A864" s="292" t="s">
        <v>732</v>
      </c>
      <c r="B864" s="293">
        <v>2024</v>
      </c>
      <c r="C864" s="293">
        <v>10</v>
      </c>
      <c r="D864" s="292" t="s">
        <v>661</v>
      </c>
      <c r="E864" s="292" t="s">
        <v>367</v>
      </c>
      <c r="F864" s="292" t="s">
        <v>366</v>
      </c>
      <c r="G864" s="289">
        <v>-72510.789999999994</v>
      </c>
    </row>
    <row r="865" spans="1:7" x14ac:dyDescent="0.25">
      <c r="A865" s="292" t="s">
        <v>732</v>
      </c>
      <c r="B865" s="293">
        <v>2024</v>
      </c>
      <c r="C865" s="293">
        <v>12</v>
      </c>
      <c r="D865" s="292" t="s">
        <v>661</v>
      </c>
      <c r="E865" s="292" t="s">
        <v>367</v>
      </c>
      <c r="F865" s="292" t="s">
        <v>366</v>
      </c>
      <c r="G865" s="289">
        <v>1046395.56</v>
      </c>
    </row>
    <row r="866" spans="1:7" x14ac:dyDescent="0.25">
      <c r="A866" s="292" t="s">
        <v>732</v>
      </c>
      <c r="B866" s="293">
        <v>2024</v>
      </c>
      <c r="C866" s="293">
        <v>0</v>
      </c>
      <c r="D866" s="292" t="s">
        <v>661</v>
      </c>
      <c r="E866" s="292" t="s">
        <v>368</v>
      </c>
      <c r="F866" s="292" t="s">
        <v>682</v>
      </c>
      <c r="G866" s="289">
        <v>-2880.03</v>
      </c>
    </row>
    <row r="867" spans="1:7" x14ac:dyDescent="0.25">
      <c r="A867" s="292" t="s">
        <v>732</v>
      </c>
      <c r="B867" s="293">
        <v>2024</v>
      </c>
      <c r="C867" s="293">
        <v>1</v>
      </c>
      <c r="D867" s="292" t="s">
        <v>661</v>
      </c>
      <c r="E867" s="292" t="s">
        <v>368</v>
      </c>
      <c r="F867" s="292" t="s">
        <v>682</v>
      </c>
      <c r="G867" s="289">
        <v>1375.69</v>
      </c>
    </row>
    <row r="868" spans="1:7" x14ac:dyDescent="0.25">
      <c r="A868" s="292" t="s">
        <v>732</v>
      </c>
      <c r="B868" s="293">
        <v>2024</v>
      </c>
      <c r="C868" s="293">
        <v>2</v>
      </c>
      <c r="D868" s="292" t="s">
        <v>661</v>
      </c>
      <c r="E868" s="292" t="s">
        <v>368</v>
      </c>
      <c r="F868" s="292" t="s">
        <v>682</v>
      </c>
      <c r="G868" s="289">
        <v>10544.12</v>
      </c>
    </row>
    <row r="869" spans="1:7" x14ac:dyDescent="0.25">
      <c r="A869" s="292" t="s">
        <v>732</v>
      </c>
      <c r="B869" s="293">
        <v>2024</v>
      </c>
      <c r="C869" s="293">
        <v>3</v>
      </c>
      <c r="D869" s="292" t="s">
        <v>661</v>
      </c>
      <c r="E869" s="292" t="s">
        <v>368</v>
      </c>
      <c r="F869" s="292" t="s">
        <v>682</v>
      </c>
      <c r="G869" s="289">
        <v>-5319.17</v>
      </c>
    </row>
    <row r="870" spans="1:7" x14ac:dyDescent="0.25">
      <c r="A870" s="292" t="s">
        <v>732</v>
      </c>
      <c r="B870" s="293">
        <v>2024</v>
      </c>
      <c r="C870" s="293">
        <v>4</v>
      </c>
      <c r="D870" s="292" t="s">
        <v>661</v>
      </c>
      <c r="E870" s="292" t="s">
        <v>368</v>
      </c>
      <c r="F870" s="292" t="s">
        <v>682</v>
      </c>
      <c r="G870" s="289">
        <v>1416.96</v>
      </c>
    </row>
    <row r="871" spans="1:7" x14ac:dyDescent="0.25">
      <c r="A871" s="292" t="s">
        <v>732</v>
      </c>
      <c r="B871" s="293">
        <v>2024</v>
      </c>
      <c r="C871" s="293">
        <v>5</v>
      </c>
      <c r="D871" s="292" t="s">
        <v>661</v>
      </c>
      <c r="E871" s="292" t="s">
        <v>368</v>
      </c>
      <c r="F871" s="292" t="s">
        <v>682</v>
      </c>
      <c r="G871" s="289">
        <v>2125.44</v>
      </c>
    </row>
    <row r="872" spans="1:7" x14ac:dyDescent="0.25">
      <c r="A872" s="292" t="s">
        <v>732</v>
      </c>
      <c r="B872" s="293">
        <v>2024</v>
      </c>
      <c r="C872" s="293">
        <v>6</v>
      </c>
      <c r="D872" s="292" t="s">
        <v>661</v>
      </c>
      <c r="E872" s="292" t="s">
        <v>368</v>
      </c>
      <c r="F872" s="292" t="s">
        <v>682</v>
      </c>
      <c r="G872" s="289">
        <v>-2127.65</v>
      </c>
    </row>
    <row r="873" spans="1:7" x14ac:dyDescent="0.25">
      <c r="A873" s="292" t="s">
        <v>732</v>
      </c>
      <c r="B873" s="293">
        <v>2024</v>
      </c>
      <c r="C873" s="293">
        <v>7</v>
      </c>
      <c r="D873" s="292" t="s">
        <v>661</v>
      </c>
      <c r="E873" s="292" t="s">
        <v>368</v>
      </c>
      <c r="F873" s="292" t="s">
        <v>682</v>
      </c>
      <c r="G873" s="289">
        <v>1416.96</v>
      </c>
    </row>
    <row r="874" spans="1:7" x14ac:dyDescent="0.25">
      <c r="A874" s="292" t="s">
        <v>732</v>
      </c>
      <c r="B874" s="293">
        <v>2024</v>
      </c>
      <c r="C874" s="293">
        <v>8</v>
      </c>
      <c r="D874" s="292" t="s">
        <v>661</v>
      </c>
      <c r="E874" s="292" t="s">
        <v>368</v>
      </c>
      <c r="F874" s="292" t="s">
        <v>682</v>
      </c>
      <c r="G874" s="289">
        <v>1416.96</v>
      </c>
    </row>
    <row r="875" spans="1:7" x14ac:dyDescent="0.25">
      <c r="A875" s="292" t="s">
        <v>732</v>
      </c>
      <c r="B875" s="293">
        <v>2024</v>
      </c>
      <c r="C875" s="293">
        <v>9</v>
      </c>
      <c r="D875" s="292" t="s">
        <v>661</v>
      </c>
      <c r="E875" s="292" t="s">
        <v>368</v>
      </c>
      <c r="F875" s="292" t="s">
        <v>682</v>
      </c>
      <c r="G875" s="289">
        <v>-1128.71</v>
      </c>
    </row>
    <row r="876" spans="1:7" x14ac:dyDescent="0.25">
      <c r="A876" s="292" t="s">
        <v>732</v>
      </c>
      <c r="B876" s="293">
        <v>2024</v>
      </c>
      <c r="C876" s="293">
        <v>10</v>
      </c>
      <c r="D876" s="292" t="s">
        <v>661</v>
      </c>
      <c r="E876" s="292" t="s">
        <v>368</v>
      </c>
      <c r="F876" s="292" t="s">
        <v>682</v>
      </c>
      <c r="G876" s="289">
        <v>1428.85</v>
      </c>
    </row>
    <row r="877" spans="1:7" x14ac:dyDescent="0.25">
      <c r="A877" s="292" t="s">
        <v>732</v>
      </c>
      <c r="B877" s="293">
        <v>2024</v>
      </c>
      <c r="C877" s="293">
        <v>11</v>
      </c>
      <c r="D877" s="292" t="s">
        <v>661</v>
      </c>
      <c r="E877" s="292" t="s">
        <v>368</v>
      </c>
      <c r="F877" s="292" t="s">
        <v>682</v>
      </c>
      <c r="G877" s="289">
        <v>-325.14</v>
      </c>
    </row>
    <row r="878" spans="1:7" x14ac:dyDescent="0.25">
      <c r="A878" s="292" t="s">
        <v>732</v>
      </c>
      <c r="B878" s="293">
        <v>2024</v>
      </c>
      <c r="C878" s="293">
        <v>12</v>
      </c>
      <c r="D878" s="292" t="s">
        <v>661</v>
      </c>
      <c r="E878" s="292" t="s">
        <v>368</v>
      </c>
      <c r="F878" s="292" t="s">
        <v>682</v>
      </c>
      <c r="G878" s="289">
        <v>33.22</v>
      </c>
    </row>
    <row r="879" spans="1:7" x14ac:dyDescent="0.25">
      <c r="A879" s="292" t="s">
        <v>732</v>
      </c>
      <c r="B879" s="293">
        <v>2024</v>
      </c>
      <c r="C879" s="293">
        <v>0</v>
      </c>
      <c r="D879" s="292" t="s">
        <v>661</v>
      </c>
      <c r="E879" s="292" t="s">
        <v>371</v>
      </c>
      <c r="F879" s="292" t="s">
        <v>739</v>
      </c>
      <c r="G879" s="289">
        <v>1541982.54</v>
      </c>
    </row>
    <row r="880" spans="1:7" x14ac:dyDescent="0.25">
      <c r="A880" s="292" t="s">
        <v>732</v>
      </c>
      <c r="B880" s="293">
        <v>2024</v>
      </c>
      <c r="C880" s="293">
        <v>1</v>
      </c>
      <c r="D880" s="292" t="s">
        <v>661</v>
      </c>
      <c r="E880" s="292" t="s">
        <v>371</v>
      </c>
      <c r="F880" s="292" t="s">
        <v>739</v>
      </c>
      <c r="G880" s="289">
        <v>-25537.47</v>
      </c>
    </row>
    <row r="881" spans="1:7" x14ac:dyDescent="0.25">
      <c r="A881" s="292" t="s">
        <v>732</v>
      </c>
      <c r="B881" s="293">
        <v>2024</v>
      </c>
      <c r="C881" s="293">
        <v>6</v>
      </c>
      <c r="D881" s="292" t="s">
        <v>661</v>
      </c>
      <c r="E881" s="292" t="s">
        <v>371</v>
      </c>
      <c r="F881" s="292" t="s">
        <v>739</v>
      </c>
      <c r="G881" s="289">
        <v>461355.14</v>
      </c>
    </row>
    <row r="882" spans="1:7" x14ac:dyDescent="0.25">
      <c r="A882" s="292" t="s">
        <v>732</v>
      </c>
      <c r="B882" s="293">
        <v>2024</v>
      </c>
      <c r="C882" s="293">
        <v>8</v>
      </c>
      <c r="D882" s="292" t="s">
        <v>661</v>
      </c>
      <c r="E882" s="292" t="s">
        <v>371</v>
      </c>
      <c r="F882" s="292" t="s">
        <v>739</v>
      </c>
      <c r="G882" s="289">
        <v>-30437.62</v>
      </c>
    </row>
    <row r="883" spans="1:7" x14ac:dyDescent="0.25">
      <c r="A883" s="292" t="s">
        <v>732</v>
      </c>
      <c r="B883" s="293">
        <v>2024</v>
      </c>
      <c r="C883" s="293">
        <v>9</v>
      </c>
      <c r="D883" s="292" t="s">
        <v>661</v>
      </c>
      <c r="E883" s="292" t="s">
        <v>371</v>
      </c>
      <c r="F883" s="292" t="s">
        <v>739</v>
      </c>
      <c r="G883" s="289">
        <v>9682.26</v>
      </c>
    </row>
    <row r="884" spans="1:7" x14ac:dyDescent="0.25">
      <c r="A884" s="292" t="s">
        <v>732</v>
      </c>
      <c r="B884" s="293">
        <v>2024</v>
      </c>
      <c r="C884" s="293">
        <v>10</v>
      </c>
      <c r="D884" s="292" t="s">
        <v>661</v>
      </c>
      <c r="E884" s="292" t="s">
        <v>371</v>
      </c>
      <c r="F884" s="292" t="s">
        <v>739</v>
      </c>
      <c r="G884" s="289">
        <v>-2306.15</v>
      </c>
    </row>
    <row r="885" spans="1:7" x14ac:dyDescent="0.25">
      <c r="A885" s="292" t="s">
        <v>732</v>
      </c>
      <c r="B885" s="293">
        <v>2024</v>
      </c>
      <c r="C885" s="293">
        <v>11</v>
      </c>
      <c r="D885" s="292" t="s">
        <v>661</v>
      </c>
      <c r="E885" s="292" t="s">
        <v>371</v>
      </c>
      <c r="F885" s="292" t="s">
        <v>739</v>
      </c>
      <c r="G885" s="289">
        <v>-2306.15</v>
      </c>
    </row>
    <row r="886" spans="1:7" x14ac:dyDescent="0.25">
      <c r="A886" s="292" t="s">
        <v>732</v>
      </c>
      <c r="B886" s="293">
        <v>2024</v>
      </c>
      <c r="C886" s="293">
        <v>12</v>
      </c>
      <c r="D886" s="292" t="s">
        <v>661</v>
      </c>
      <c r="E886" s="292" t="s">
        <v>371</v>
      </c>
      <c r="F886" s="292" t="s">
        <v>739</v>
      </c>
      <c r="G886" s="289">
        <v>146889.04999999999</v>
      </c>
    </row>
    <row r="887" spans="1:7" x14ac:dyDescent="0.25">
      <c r="A887" s="292" t="s">
        <v>732</v>
      </c>
      <c r="B887" s="293">
        <v>2024</v>
      </c>
      <c r="C887" s="293">
        <v>0</v>
      </c>
      <c r="D887" s="292" t="s">
        <v>661</v>
      </c>
      <c r="E887" s="292" t="s">
        <v>374</v>
      </c>
      <c r="F887" s="292" t="s">
        <v>740</v>
      </c>
      <c r="G887" s="289">
        <v>12554733.08</v>
      </c>
    </row>
    <row r="888" spans="1:7" x14ac:dyDescent="0.25">
      <c r="A888" s="292" t="s">
        <v>732</v>
      </c>
      <c r="B888" s="293">
        <v>2024</v>
      </c>
      <c r="C888" s="293">
        <v>3</v>
      </c>
      <c r="D888" s="292" t="s">
        <v>661</v>
      </c>
      <c r="E888" s="292" t="s">
        <v>374</v>
      </c>
      <c r="F888" s="292" t="s">
        <v>740</v>
      </c>
      <c r="G888" s="289">
        <v>-5501120.6900000004</v>
      </c>
    </row>
    <row r="889" spans="1:7" x14ac:dyDescent="0.25">
      <c r="A889" s="292" t="s">
        <v>732</v>
      </c>
      <c r="B889" s="293">
        <v>2024</v>
      </c>
      <c r="C889" s="293">
        <v>6</v>
      </c>
      <c r="D889" s="292" t="s">
        <v>661</v>
      </c>
      <c r="E889" s="292" t="s">
        <v>374</v>
      </c>
      <c r="F889" s="292" t="s">
        <v>740</v>
      </c>
      <c r="G889" s="289">
        <v>-2416481.9500000002</v>
      </c>
    </row>
    <row r="890" spans="1:7" x14ac:dyDescent="0.25">
      <c r="A890" s="292" t="s">
        <v>732</v>
      </c>
      <c r="B890" s="293">
        <v>2024</v>
      </c>
      <c r="C890" s="293">
        <v>8</v>
      </c>
      <c r="D890" s="292" t="s">
        <v>661</v>
      </c>
      <c r="E890" s="292" t="s">
        <v>374</v>
      </c>
      <c r="F890" s="292" t="s">
        <v>740</v>
      </c>
      <c r="G890" s="289">
        <v>2091395.78</v>
      </c>
    </row>
    <row r="891" spans="1:7" x14ac:dyDescent="0.25">
      <c r="A891" s="292" t="s">
        <v>732</v>
      </c>
      <c r="B891" s="293">
        <v>2024</v>
      </c>
      <c r="C891" s="293">
        <v>9</v>
      </c>
      <c r="D891" s="292" t="s">
        <v>661</v>
      </c>
      <c r="E891" s="292" t="s">
        <v>374</v>
      </c>
      <c r="F891" s="292" t="s">
        <v>740</v>
      </c>
      <c r="G891" s="289">
        <v>-1126644.3400000001</v>
      </c>
    </row>
    <row r="892" spans="1:7" x14ac:dyDescent="0.25">
      <c r="A892" s="292" t="s">
        <v>732</v>
      </c>
      <c r="B892" s="293">
        <v>2024</v>
      </c>
      <c r="C892" s="293">
        <v>10</v>
      </c>
      <c r="D892" s="292" t="s">
        <v>661</v>
      </c>
      <c r="E892" s="292" t="s">
        <v>374</v>
      </c>
      <c r="F892" s="292" t="s">
        <v>740</v>
      </c>
      <c r="G892" s="289">
        <v>1902157.15</v>
      </c>
    </row>
    <row r="893" spans="1:7" x14ac:dyDescent="0.25">
      <c r="A893" s="292" t="s">
        <v>732</v>
      </c>
      <c r="B893" s="293">
        <v>2024</v>
      </c>
      <c r="C893" s="293">
        <v>11</v>
      </c>
      <c r="D893" s="292" t="s">
        <v>661</v>
      </c>
      <c r="E893" s="292" t="s">
        <v>374</v>
      </c>
      <c r="F893" s="292" t="s">
        <v>740</v>
      </c>
      <c r="G893" s="289">
        <v>-2903701.16</v>
      </c>
    </row>
    <row r="894" spans="1:7" x14ac:dyDescent="0.25">
      <c r="A894" s="292" t="s">
        <v>732</v>
      </c>
      <c r="B894" s="293">
        <v>2024</v>
      </c>
      <c r="C894" s="293">
        <v>12</v>
      </c>
      <c r="D894" s="292" t="s">
        <v>661</v>
      </c>
      <c r="E894" s="292" t="s">
        <v>374</v>
      </c>
      <c r="F894" s="292" t="s">
        <v>740</v>
      </c>
      <c r="G894" s="289">
        <v>-1877889.82</v>
      </c>
    </row>
    <row r="895" spans="1:7" x14ac:dyDescent="0.25">
      <c r="A895" s="292" t="s">
        <v>732</v>
      </c>
      <c r="B895" s="293">
        <v>2024</v>
      </c>
      <c r="C895" s="293">
        <v>0</v>
      </c>
      <c r="D895" s="292" t="s">
        <v>661</v>
      </c>
      <c r="E895" s="292" t="s">
        <v>375</v>
      </c>
      <c r="F895" s="292" t="s">
        <v>685</v>
      </c>
      <c r="G895" s="289">
        <v>23391545.649999999</v>
      </c>
    </row>
    <row r="896" spans="1:7" x14ac:dyDescent="0.25">
      <c r="A896" s="292" t="s">
        <v>732</v>
      </c>
      <c r="B896" s="293">
        <v>2024</v>
      </c>
      <c r="C896" s="293">
        <v>1</v>
      </c>
      <c r="D896" s="292" t="s">
        <v>661</v>
      </c>
      <c r="E896" s="292" t="s">
        <v>375</v>
      </c>
      <c r="F896" s="292" t="s">
        <v>685</v>
      </c>
      <c r="G896" s="289">
        <v>1544078.08</v>
      </c>
    </row>
    <row r="897" spans="1:7" x14ac:dyDescent="0.25">
      <c r="A897" s="292" t="s">
        <v>732</v>
      </c>
      <c r="B897" s="293">
        <v>2024</v>
      </c>
      <c r="C897" s="293">
        <v>2</v>
      </c>
      <c r="D897" s="292" t="s">
        <v>661</v>
      </c>
      <c r="E897" s="292" t="s">
        <v>375</v>
      </c>
      <c r="F897" s="292" t="s">
        <v>685</v>
      </c>
      <c r="G897" s="289">
        <v>1534089.54</v>
      </c>
    </row>
    <row r="898" spans="1:7" x14ac:dyDescent="0.25">
      <c r="A898" s="292" t="s">
        <v>732</v>
      </c>
      <c r="B898" s="293">
        <v>2024</v>
      </c>
      <c r="C898" s="293">
        <v>3</v>
      </c>
      <c r="D898" s="292" t="s">
        <v>661</v>
      </c>
      <c r="E898" s="292" t="s">
        <v>375</v>
      </c>
      <c r="F898" s="292" t="s">
        <v>685</v>
      </c>
      <c r="G898" s="289">
        <v>933084.17</v>
      </c>
    </row>
    <row r="899" spans="1:7" x14ac:dyDescent="0.25">
      <c r="A899" s="292" t="s">
        <v>732</v>
      </c>
      <c r="B899" s="293">
        <v>2024</v>
      </c>
      <c r="C899" s="293">
        <v>4</v>
      </c>
      <c r="D899" s="292" t="s">
        <v>661</v>
      </c>
      <c r="E899" s="292" t="s">
        <v>375</v>
      </c>
      <c r="F899" s="292" t="s">
        <v>685</v>
      </c>
      <c r="G899" s="289">
        <v>-5071.05</v>
      </c>
    </row>
    <row r="900" spans="1:7" x14ac:dyDescent="0.25">
      <c r="A900" s="292" t="s">
        <v>732</v>
      </c>
      <c r="B900" s="293">
        <v>2024</v>
      </c>
      <c r="C900" s="293">
        <v>5</v>
      </c>
      <c r="D900" s="292" t="s">
        <v>661</v>
      </c>
      <c r="E900" s="292" t="s">
        <v>375</v>
      </c>
      <c r="F900" s="292" t="s">
        <v>685</v>
      </c>
      <c r="G900" s="289">
        <v>-998661.95</v>
      </c>
    </row>
    <row r="901" spans="1:7" x14ac:dyDescent="0.25">
      <c r="A901" s="292" t="s">
        <v>732</v>
      </c>
      <c r="B901" s="293">
        <v>2024</v>
      </c>
      <c r="C901" s="293">
        <v>6</v>
      </c>
      <c r="D901" s="292" t="s">
        <v>661</v>
      </c>
      <c r="E901" s="292" t="s">
        <v>375</v>
      </c>
      <c r="F901" s="292" t="s">
        <v>685</v>
      </c>
      <c r="G901" s="289">
        <v>-1221782.8999999999</v>
      </c>
    </row>
    <row r="902" spans="1:7" x14ac:dyDescent="0.25">
      <c r="A902" s="292" t="s">
        <v>732</v>
      </c>
      <c r="B902" s="293">
        <v>2024</v>
      </c>
      <c r="C902" s="293">
        <v>7</v>
      </c>
      <c r="D902" s="292" t="s">
        <v>661</v>
      </c>
      <c r="E902" s="292" t="s">
        <v>375</v>
      </c>
      <c r="F902" s="292" t="s">
        <v>685</v>
      </c>
      <c r="G902" s="289">
        <v>-1123859.72</v>
      </c>
    </row>
    <row r="903" spans="1:7" x14ac:dyDescent="0.25">
      <c r="A903" s="292" t="s">
        <v>732</v>
      </c>
      <c r="B903" s="293">
        <v>2024</v>
      </c>
      <c r="C903" s="293">
        <v>8</v>
      </c>
      <c r="D903" s="292" t="s">
        <v>661</v>
      </c>
      <c r="E903" s="292" t="s">
        <v>375</v>
      </c>
      <c r="F903" s="292" t="s">
        <v>685</v>
      </c>
      <c r="G903" s="289">
        <v>215487.2</v>
      </c>
    </row>
    <row r="904" spans="1:7" x14ac:dyDescent="0.25">
      <c r="A904" s="292" t="s">
        <v>732</v>
      </c>
      <c r="B904" s="293">
        <v>2024</v>
      </c>
      <c r="C904" s="293">
        <v>9</v>
      </c>
      <c r="D904" s="292" t="s">
        <v>661</v>
      </c>
      <c r="E904" s="292" t="s">
        <v>375</v>
      </c>
      <c r="F904" s="292" t="s">
        <v>685</v>
      </c>
      <c r="G904" s="289">
        <v>-538853.13</v>
      </c>
    </row>
    <row r="905" spans="1:7" x14ac:dyDescent="0.25">
      <c r="A905" s="292" t="s">
        <v>732</v>
      </c>
      <c r="B905" s="293">
        <v>2024</v>
      </c>
      <c r="C905" s="293">
        <v>10</v>
      </c>
      <c r="D905" s="292" t="s">
        <v>661</v>
      </c>
      <c r="E905" s="292" t="s">
        <v>375</v>
      </c>
      <c r="F905" s="292" t="s">
        <v>685</v>
      </c>
      <c r="G905" s="289">
        <v>-15103270.369999999</v>
      </c>
    </row>
    <row r="906" spans="1:7" x14ac:dyDescent="0.25">
      <c r="A906" s="292" t="s">
        <v>732</v>
      </c>
      <c r="B906" s="293">
        <v>2024</v>
      </c>
      <c r="C906" s="293">
        <v>11</v>
      </c>
      <c r="D906" s="292" t="s">
        <v>661</v>
      </c>
      <c r="E906" s="292" t="s">
        <v>375</v>
      </c>
      <c r="F906" s="292" t="s">
        <v>685</v>
      </c>
      <c r="G906" s="289">
        <v>6135762.6500000004</v>
      </c>
    </row>
    <row r="907" spans="1:7" x14ac:dyDescent="0.25">
      <c r="A907" s="292" t="s">
        <v>732</v>
      </c>
      <c r="B907" s="293">
        <v>2024</v>
      </c>
      <c r="C907" s="293">
        <v>12</v>
      </c>
      <c r="D907" s="292" t="s">
        <v>661</v>
      </c>
      <c r="E907" s="292" t="s">
        <v>375</v>
      </c>
      <c r="F907" s="292" t="s">
        <v>685</v>
      </c>
      <c r="G907" s="289">
        <v>2465287.0299999998</v>
      </c>
    </row>
    <row r="908" spans="1:7" x14ac:dyDescent="0.25">
      <c r="A908" s="292" t="s">
        <v>732</v>
      </c>
      <c r="B908" s="293">
        <v>2024</v>
      </c>
      <c r="C908" s="293">
        <v>9</v>
      </c>
      <c r="D908" s="292" t="s">
        <v>661</v>
      </c>
      <c r="E908" s="292" t="s">
        <v>376</v>
      </c>
      <c r="F908" s="292" t="s">
        <v>741</v>
      </c>
      <c r="G908" s="289">
        <v>0</v>
      </c>
    </row>
    <row r="909" spans="1:7" x14ac:dyDescent="0.25">
      <c r="A909" s="292" t="s">
        <v>732</v>
      </c>
      <c r="B909" s="293">
        <v>2024</v>
      </c>
      <c r="C909" s="293">
        <v>0</v>
      </c>
      <c r="D909" s="292" t="s">
        <v>661</v>
      </c>
      <c r="E909" s="292" t="s">
        <v>377</v>
      </c>
      <c r="F909" s="292" t="s">
        <v>706</v>
      </c>
      <c r="G909" s="289">
        <v>31783.53</v>
      </c>
    </row>
    <row r="910" spans="1:7" x14ac:dyDescent="0.25">
      <c r="A910" s="292" t="s">
        <v>732</v>
      </c>
      <c r="B910" s="293">
        <v>2024</v>
      </c>
      <c r="C910" s="293">
        <v>6</v>
      </c>
      <c r="D910" s="292" t="s">
        <v>661</v>
      </c>
      <c r="E910" s="292" t="s">
        <v>377</v>
      </c>
      <c r="F910" s="292" t="s">
        <v>706</v>
      </c>
      <c r="G910" s="289">
        <v>-48404.480000000003</v>
      </c>
    </row>
    <row r="911" spans="1:7" x14ac:dyDescent="0.25">
      <c r="A911" s="292" t="s">
        <v>732</v>
      </c>
      <c r="B911" s="293">
        <v>2024</v>
      </c>
      <c r="C911" s="293">
        <v>10</v>
      </c>
      <c r="D911" s="292" t="s">
        <v>661</v>
      </c>
      <c r="E911" s="292" t="s">
        <v>377</v>
      </c>
      <c r="F911" s="292" t="s">
        <v>706</v>
      </c>
      <c r="G911" s="289">
        <v>0.02</v>
      </c>
    </row>
    <row r="912" spans="1:7" x14ac:dyDescent="0.25">
      <c r="A912" s="292" t="s">
        <v>732</v>
      </c>
      <c r="B912" s="293">
        <v>2024</v>
      </c>
      <c r="C912" s="293">
        <v>11</v>
      </c>
      <c r="D912" s="292" t="s">
        <v>661</v>
      </c>
      <c r="E912" s="292" t="s">
        <v>377</v>
      </c>
      <c r="F912" s="292" t="s">
        <v>706</v>
      </c>
      <c r="G912" s="289">
        <v>0.01</v>
      </c>
    </row>
    <row r="913" spans="1:7" x14ac:dyDescent="0.25">
      <c r="A913" s="292" t="s">
        <v>732</v>
      </c>
      <c r="B913" s="293">
        <v>2024</v>
      </c>
      <c r="C913" s="293">
        <v>0</v>
      </c>
      <c r="D913" s="292" t="s">
        <v>661</v>
      </c>
      <c r="E913" s="292" t="s">
        <v>378</v>
      </c>
      <c r="F913" s="292" t="s">
        <v>707</v>
      </c>
      <c r="G913" s="289">
        <v>3662134.04</v>
      </c>
    </row>
    <row r="914" spans="1:7" x14ac:dyDescent="0.25">
      <c r="A914" s="292" t="s">
        <v>732</v>
      </c>
      <c r="B914" s="293">
        <v>2024</v>
      </c>
      <c r="C914" s="293">
        <v>3</v>
      </c>
      <c r="D914" s="292" t="s">
        <v>661</v>
      </c>
      <c r="E914" s="292" t="s">
        <v>378</v>
      </c>
      <c r="F914" s="292" t="s">
        <v>707</v>
      </c>
      <c r="G914" s="289">
        <v>-33519.4</v>
      </c>
    </row>
    <row r="915" spans="1:7" x14ac:dyDescent="0.25">
      <c r="A915" s="292" t="s">
        <v>732</v>
      </c>
      <c r="B915" s="293">
        <v>2024</v>
      </c>
      <c r="C915" s="293">
        <v>6</v>
      </c>
      <c r="D915" s="292" t="s">
        <v>661</v>
      </c>
      <c r="E915" s="292" t="s">
        <v>378</v>
      </c>
      <c r="F915" s="292" t="s">
        <v>707</v>
      </c>
      <c r="G915" s="289">
        <v>-33519.4</v>
      </c>
    </row>
    <row r="916" spans="1:7" x14ac:dyDescent="0.25">
      <c r="A916" s="292" t="s">
        <v>732</v>
      </c>
      <c r="B916" s="293">
        <v>2024</v>
      </c>
      <c r="C916" s="293">
        <v>9</v>
      </c>
      <c r="D916" s="292" t="s">
        <v>661</v>
      </c>
      <c r="E916" s="292" t="s">
        <v>378</v>
      </c>
      <c r="F916" s="292" t="s">
        <v>707</v>
      </c>
      <c r="G916" s="289">
        <v>40641.339999999997</v>
      </c>
    </row>
    <row r="917" spans="1:7" x14ac:dyDescent="0.25">
      <c r="A917" s="292" t="s">
        <v>732</v>
      </c>
      <c r="B917" s="293">
        <v>2024</v>
      </c>
      <c r="C917" s="293">
        <v>11</v>
      </c>
      <c r="D917" s="292" t="s">
        <v>661</v>
      </c>
      <c r="E917" s="292" t="s">
        <v>378</v>
      </c>
      <c r="F917" s="292" t="s">
        <v>707</v>
      </c>
      <c r="G917" s="289">
        <v>-33339.769999999997</v>
      </c>
    </row>
    <row r="918" spans="1:7" x14ac:dyDescent="0.25">
      <c r="A918" s="292" t="s">
        <v>732</v>
      </c>
      <c r="B918" s="293">
        <v>2024</v>
      </c>
      <c r="C918" s="293">
        <v>12</v>
      </c>
      <c r="D918" s="292" t="s">
        <v>661</v>
      </c>
      <c r="E918" s="292" t="s">
        <v>378</v>
      </c>
      <c r="F918" s="292" t="s">
        <v>707</v>
      </c>
      <c r="G918" s="289">
        <v>-75222.740000000005</v>
      </c>
    </row>
    <row r="919" spans="1:7" x14ac:dyDescent="0.25">
      <c r="A919" s="292" t="s">
        <v>732</v>
      </c>
      <c r="B919" s="293">
        <v>2024</v>
      </c>
      <c r="C919" s="293">
        <v>0</v>
      </c>
      <c r="D919" s="292" t="s">
        <v>661</v>
      </c>
      <c r="E919" s="292" t="s">
        <v>380</v>
      </c>
      <c r="F919" s="292" t="s">
        <v>709</v>
      </c>
      <c r="G919" s="289">
        <v>546326.94999999995</v>
      </c>
    </row>
    <row r="920" spans="1:7" x14ac:dyDescent="0.25">
      <c r="A920" s="292" t="s">
        <v>732</v>
      </c>
      <c r="B920" s="293">
        <v>2024</v>
      </c>
      <c r="C920" s="293">
        <v>3</v>
      </c>
      <c r="D920" s="292" t="s">
        <v>661</v>
      </c>
      <c r="E920" s="292" t="s">
        <v>380</v>
      </c>
      <c r="F920" s="292" t="s">
        <v>709</v>
      </c>
      <c r="G920" s="289">
        <v>39762.769999999997</v>
      </c>
    </row>
    <row r="921" spans="1:7" x14ac:dyDescent="0.25">
      <c r="A921" s="292" t="s">
        <v>732</v>
      </c>
      <c r="B921" s="293">
        <v>2024</v>
      </c>
      <c r="C921" s="293">
        <v>4</v>
      </c>
      <c r="D921" s="292" t="s">
        <v>661</v>
      </c>
      <c r="E921" s="292" t="s">
        <v>380</v>
      </c>
      <c r="F921" s="292" t="s">
        <v>709</v>
      </c>
      <c r="G921" s="289">
        <v>2583.88</v>
      </c>
    </row>
    <row r="922" spans="1:7" x14ac:dyDescent="0.25">
      <c r="A922" s="292" t="s">
        <v>732</v>
      </c>
      <c r="B922" s="293">
        <v>2024</v>
      </c>
      <c r="C922" s="293">
        <v>6</v>
      </c>
      <c r="D922" s="292" t="s">
        <v>661</v>
      </c>
      <c r="E922" s="292" t="s">
        <v>380</v>
      </c>
      <c r="F922" s="292" t="s">
        <v>709</v>
      </c>
      <c r="G922" s="289">
        <v>-179052.03</v>
      </c>
    </row>
    <row r="923" spans="1:7" x14ac:dyDescent="0.25">
      <c r="A923" s="292" t="s">
        <v>732</v>
      </c>
      <c r="B923" s="293">
        <v>2024</v>
      </c>
      <c r="C923" s="293">
        <v>7</v>
      </c>
      <c r="D923" s="292" t="s">
        <v>661</v>
      </c>
      <c r="E923" s="292" t="s">
        <v>380</v>
      </c>
      <c r="F923" s="292" t="s">
        <v>709</v>
      </c>
      <c r="G923" s="289">
        <v>346.82</v>
      </c>
    </row>
    <row r="924" spans="1:7" x14ac:dyDescent="0.25">
      <c r="A924" s="292" t="s">
        <v>732</v>
      </c>
      <c r="B924" s="293">
        <v>2024</v>
      </c>
      <c r="C924" s="293">
        <v>8</v>
      </c>
      <c r="D924" s="292" t="s">
        <v>661</v>
      </c>
      <c r="E924" s="292" t="s">
        <v>380</v>
      </c>
      <c r="F924" s="292" t="s">
        <v>709</v>
      </c>
      <c r="G924" s="289">
        <v>-970.92</v>
      </c>
    </row>
    <row r="925" spans="1:7" x14ac:dyDescent="0.25">
      <c r="A925" s="292" t="s">
        <v>732</v>
      </c>
      <c r="B925" s="293">
        <v>2024</v>
      </c>
      <c r="C925" s="293">
        <v>9</v>
      </c>
      <c r="D925" s="292" t="s">
        <v>661</v>
      </c>
      <c r="E925" s="292" t="s">
        <v>380</v>
      </c>
      <c r="F925" s="292" t="s">
        <v>709</v>
      </c>
      <c r="G925" s="289">
        <v>48952.07</v>
      </c>
    </row>
    <row r="926" spans="1:7" x14ac:dyDescent="0.25">
      <c r="A926" s="292" t="s">
        <v>732</v>
      </c>
      <c r="B926" s="293">
        <v>2024</v>
      </c>
      <c r="C926" s="293">
        <v>10</v>
      </c>
      <c r="D926" s="292" t="s">
        <v>661</v>
      </c>
      <c r="E926" s="292" t="s">
        <v>380</v>
      </c>
      <c r="F926" s="292" t="s">
        <v>709</v>
      </c>
      <c r="G926" s="289">
        <v>1326831.68</v>
      </c>
    </row>
    <row r="927" spans="1:7" x14ac:dyDescent="0.25">
      <c r="A927" s="292" t="s">
        <v>732</v>
      </c>
      <c r="B927" s="293">
        <v>2024</v>
      </c>
      <c r="C927" s="293">
        <v>12</v>
      </c>
      <c r="D927" s="292" t="s">
        <v>661</v>
      </c>
      <c r="E927" s="292" t="s">
        <v>380</v>
      </c>
      <c r="F927" s="292" t="s">
        <v>709</v>
      </c>
      <c r="G927" s="289">
        <v>92.32</v>
      </c>
    </row>
    <row r="928" spans="1:7" x14ac:dyDescent="0.25">
      <c r="A928" s="292" t="s">
        <v>732</v>
      </c>
      <c r="B928" s="293">
        <v>2024</v>
      </c>
      <c r="C928" s="293">
        <v>0</v>
      </c>
      <c r="D928" s="292" t="s">
        <v>661</v>
      </c>
      <c r="E928" s="292" t="s">
        <v>382</v>
      </c>
      <c r="F928" s="292" t="s">
        <v>711</v>
      </c>
      <c r="G928" s="289">
        <v>386493.41</v>
      </c>
    </row>
    <row r="929" spans="1:7" x14ac:dyDescent="0.25">
      <c r="A929" s="292" t="s">
        <v>732</v>
      </c>
      <c r="B929" s="293">
        <v>2024</v>
      </c>
      <c r="C929" s="293">
        <v>10</v>
      </c>
      <c r="D929" s="292" t="s">
        <v>661</v>
      </c>
      <c r="E929" s="292" t="s">
        <v>382</v>
      </c>
      <c r="F929" s="292" t="s">
        <v>711</v>
      </c>
      <c r="G929" s="289">
        <v>0.04</v>
      </c>
    </row>
    <row r="930" spans="1:7" x14ac:dyDescent="0.25">
      <c r="A930" s="292" t="s">
        <v>732</v>
      </c>
      <c r="B930" s="293">
        <v>2024</v>
      </c>
      <c r="C930" s="293">
        <v>11</v>
      </c>
      <c r="D930" s="292" t="s">
        <v>661</v>
      </c>
      <c r="E930" s="292" t="s">
        <v>382</v>
      </c>
      <c r="F930" s="292" t="s">
        <v>711</v>
      </c>
      <c r="G930" s="289">
        <v>62710.44</v>
      </c>
    </row>
    <row r="931" spans="1:7" x14ac:dyDescent="0.25">
      <c r="A931" s="292" t="s">
        <v>732</v>
      </c>
      <c r="B931" s="293">
        <v>2024</v>
      </c>
      <c r="C931" s="293">
        <v>12</v>
      </c>
      <c r="D931" s="292" t="s">
        <v>661</v>
      </c>
      <c r="E931" s="292" t="s">
        <v>382</v>
      </c>
      <c r="F931" s="292" t="s">
        <v>711</v>
      </c>
      <c r="G931" s="289">
        <v>3680.98</v>
      </c>
    </row>
    <row r="932" spans="1:7" x14ac:dyDescent="0.25">
      <c r="A932" s="292" t="s">
        <v>732</v>
      </c>
      <c r="B932" s="293">
        <v>2024</v>
      </c>
      <c r="C932" s="293">
        <v>0</v>
      </c>
      <c r="D932" s="292" t="s">
        <v>661</v>
      </c>
      <c r="E932" s="292" t="s">
        <v>383</v>
      </c>
      <c r="F932" s="292" t="s">
        <v>663</v>
      </c>
      <c r="G932" s="289">
        <v>-0.03</v>
      </c>
    </row>
    <row r="933" spans="1:7" x14ac:dyDescent="0.25">
      <c r="A933" s="292" t="s">
        <v>732</v>
      </c>
      <c r="B933" s="293">
        <v>2024</v>
      </c>
      <c r="C933" s="293">
        <v>0</v>
      </c>
      <c r="D933" s="292" t="s">
        <v>661</v>
      </c>
      <c r="E933" s="292" t="s">
        <v>384</v>
      </c>
      <c r="F933" s="292" t="s">
        <v>712</v>
      </c>
      <c r="G933" s="289">
        <v>-46917.57</v>
      </c>
    </row>
    <row r="934" spans="1:7" x14ac:dyDescent="0.25">
      <c r="A934" s="292" t="s">
        <v>732</v>
      </c>
      <c r="B934" s="293">
        <v>2024</v>
      </c>
      <c r="C934" s="293">
        <v>12</v>
      </c>
      <c r="D934" s="292" t="s">
        <v>661</v>
      </c>
      <c r="E934" s="292" t="s">
        <v>384</v>
      </c>
      <c r="F934" s="292" t="s">
        <v>712</v>
      </c>
      <c r="G934" s="289">
        <v>7587.09</v>
      </c>
    </row>
    <row r="935" spans="1:7" x14ac:dyDescent="0.25">
      <c r="A935" s="292" t="s">
        <v>732</v>
      </c>
      <c r="B935" s="293">
        <v>2024</v>
      </c>
      <c r="C935" s="293">
        <v>0</v>
      </c>
      <c r="D935" s="292" t="s">
        <v>661</v>
      </c>
      <c r="E935" s="292" t="s">
        <v>385</v>
      </c>
      <c r="F935" s="292" t="s">
        <v>686</v>
      </c>
      <c r="G935" s="289">
        <v>216235.6</v>
      </c>
    </row>
    <row r="936" spans="1:7" x14ac:dyDescent="0.25">
      <c r="A936" s="292" t="s">
        <v>732</v>
      </c>
      <c r="B936" s="293">
        <v>2024</v>
      </c>
      <c r="C936" s="293">
        <v>1</v>
      </c>
      <c r="D936" s="292" t="s">
        <v>661</v>
      </c>
      <c r="E936" s="292" t="s">
        <v>385</v>
      </c>
      <c r="F936" s="292" t="s">
        <v>686</v>
      </c>
      <c r="G936" s="289">
        <v>5668.46</v>
      </c>
    </row>
    <row r="937" spans="1:7" x14ac:dyDescent="0.25">
      <c r="A937" s="292" t="s">
        <v>732</v>
      </c>
      <c r="B937" s="293">
        <v>2024</v>
      </c>
      <c r="C937" s="293">
        <v>2</v>
      </c>
      <c r="D937" s="292" t="s">
        <v>661</v>
      </c>
      <c r="E937" s="292" t="s">
        <v>385</v>
      </c>
      <c r="F937" s="292" t="s">
        <v>686</v>
      </c>
      <c r="G937" s="289">
        <v>5689.71</v>
      </c>
    </row>
    <row r="938" spans="1:7" x14ac:dyDescent="0.25">
      <c r="A938" s="292" t="s">
        <v>732</v>
      </c>
      <c r="B938" s="293">
        <v>2024</v>
      </c>
      <c r="C938" s="293">
        <v>3</v>
      </c>
      <c r="D938" s="292" t="s">
        <v>661</v>
      </c>
      <c r="E938" s="292" t="s">
        <v>385</v>
      </c>
      <c r="F938" s="292" t="s">
        <v>686</v>
      </c>
      <c r="G938" s="289">
        <v>5711.02</v>
      </c>
    </row>
    <row r="939" spans="1:7" x14ac:dyDescent="0.25">
      <c r="A939" s="292" t="s">
        <v>732</v>
      </c>
      <c r="B939" s="293">
        <v>2024</v>
      </c>
      <c r="C939" s="293">
        <v>4</v>
      </c>
      <c r="D939" s="292" t="s">
        <v>661</v>
      </c>
      <c r="E939" s="292" t="s">
        <v>385</v>
      </c>
      <c r="F939" s="292" t="s">
        <v>686</v>
      </c>
      <c r="G939" s="289">
        <v>5732.42</v>
      </c>
    </row>
    <row r="940" spans="1:7" x14ac:dyDescent="0.25">
      <c r="A940" s="292" t="s">
        <v>732</v>
      </c>
      <c r="B940" s="293">
        <v>2024</v>
      </c>
      <c r="C940" s="293">
        <v>5</v>
      </c>
      <c r="D940" s="292" t="s">
        <v>661</v>
      </c>
      <c r="E940" s="292" t="s">
        <v>385</v>
      </c>
      <c r="F940" s="292" t="s">
        <v>686</v>
      </c>
      <c r="G940" s="289">
        <v>5753.91</v>
      </c>
    </row>
    <row r="941" spans="1:7" x14ac:dyDescent="0.25">
      <c r="A941" s="292" t="s">
        <v>732</v>
      </c>
      <c r="B941" s="293">
        <v>2024</v>
      </c>
      <c r="C941" s="293">
        <v>6</v>
      </c>
      <c r="D941" s="292" t="s">
        <v>661</v>
      </c>
      <c r="E941" s="292" t="s">
        <v>385</v>
      </c>
      <c r="F941" s="292" t="s">
        <v>686</v>
      </c>
      <c r="G941" s="289">
        <v>5775.48</v>
      </c>
    </row>
    <row r="942" spans="1:7" x14ac:dyDescent="0.25">
      <c r="A942" s="292" t="s">
        <v>732</v>
      </c>
      <c r="B942" s="293">
        <v>2024</v>
      </c>
      <c r="C942" s="293">
        <v>7</v>
      </c>
      <c r="D942" s="292" t="s">
        <v>661</v>
      </c>
      <c r="E942" s="292" t="s">
        <v>385</v>
      </c>
      <c r="F942" s="292" t="s">
        <v>686</v>
      </c>
      <c r="G942" s="289">
        <v>5797.12</v>
      </c>
    </row>
    <row r="943" spans="1:7" x14ac:dyDescent="0.25">
      <c r="A943" s="292" t="s">
        <v>732</v>
      </c>
      <c r="B943" s="293">
        <v>2024</v>
      </c>
      <c r="C943" s="293">
        <v>8</v>
      </c>
      <c r="D943" s="292" t="s">
        <v>661</v>
      </c>
      <c r="E943" s="292" t="s">
        <v>385</v>
      </c>
      <c r="F943" s="292" t="s">
        <v>686</v>
      </c>
      <c r="G943" s="289">
        <v>5818.87</v>
      </c>
    </row>
    <row r="944" spans="1:7" x14ac:dyDescent="0.25">
      <c r="A944" s="292" t="s">
        <v>732</v>
      </c>
      <c r="B944" s="293">
        <v>2024</v>
      </c>
      <c r="C944" s="293">
        <v>9</v>
      </c>
      <c r="D944" s="292" t="s">
        <v>661</v>
      </c>
      <c r="E944" s="292" t="s">
        <v>385</v>
      </c>
      <c r="F944" s="292" t="s">
        <v>686</v>
      </c>
      <c r="G944" s="289">
        <v>5840.68</v>
      </c>
    </row>
    <row r="945" spans="1:7" x14ac:dyDescent="0.25">
      <c r="A945" s="292" t="s">
        <v>732</v>
      </c>
      <c r="B945" s="293">
        <v>2024</v>
      </c>
      <c r="C945" s="293">
        <v>10</v>
      </c>
      <c r="D945" s="292" t="s">
        <v>661</v>
      </c>
      <c r="E945" s="292" t="s">
        <v>385</v>
      </c>
      <c r="F945" s="292" t="s">
        <v>686</v>
      </c>
      <c r="G945" s="289">
        <v>5862.57</v>
      </c>
    </row>
    <row r="946" spans="1:7" x14ac:dyDescent="0.25">
      <c r="A946" s="292" t="s">
        <v>732</v>
      </c>
      <c r="B946" s="293">
        <v>2024</v>
      </c>
      <c r="C946" s="293">
        <v>11</v>
      </c>
      <c r="D946" s="292" t="s">
        <v>661</v>
      </c>
      <c r="E946" s="292" t="s">
        <v>385</v>
      </c>
      <c r="F946" s="292" t="s">
        <v>686</v>
      </c>
      <c r="G946" s="289">
        <v>5884.55</v>
      </c>
    </row>
    <row r="947" spans="1:7" x14ac:dyDescent="0.25">
      <c r="A947" s="292" t="s">
        <v>732</v>
      </c>
      <c r="B947" s="293">
        <v>2024</v>
      </c>
      <c r="C947" s="293">
        <v>12</v>
      </c>
      <c r="D947" s="292" t="s">
        <v>661</v>
      </c>
      <c r="E947" s="292" t="s">
        <v>385</v>
      </c>
      <c r="F947" s="292" t="s">
        <v>686</v>
      </c>
      <c r="G947" s="289">
        <v>5906.61</v>
      </c>
    </row>
    <row r="948" spans="1:7" x14ac:dyDescent="0.25">
      <c r="A948" s="292" t="s">
        <v>732</v>
      </c>
      <c r="B948" s="293">
        <v>2024</v>
      </c>
      <c r="C948" s="293">
        <v>0</v>
      </c>
      <c r="D948" s="292" t="s">
        <v>661</v>
      </c>
      <c r="E948" s="292" t="s">
        <v>386</v>
      </c>
      <c r="F948" s="292" t="s">
        <v>664</v>
      </c>
      <c r="G948" s="289">
        <v>21963929.57</v>
      </c>
    </row>
    <row r="949" spans="1:7" x14ac:dyDescent="0.25">
      <c r="A949" s="292" t="s">
        <v>732</v>
      </c>
      <c r="B949" s="293">
        <v>2024</v>
      </c>
      <c r="C949" s="293">
        <v>3</v>
      </c>
      <c r="D949" s="292" t="s">
        <v>661</v>
      </c>
      <c r="E949" s="292" t="s">
        <v>386</v>
      </c>
      <c r="F949" s="292" t="s">
        <v>664</v>
      </c>
      <c r="G949" s="289">
        <v>-409858.58</v>
      </c>
    </row>
    <row r="950" spans="1:7" x14ac:dyDescent="0.25">
      <c r="A950" s="292" t="s">
        <v>732</v>
      </c>
      <c r="B950" s="293">
        <v>2024</v>
      </c>
      <c r="C950" s="293">
        <v>4</v>
      </c>
      <c r="D950" s="292" t="s">
        <v>661</v>
      </c>
      <c r="E950" s="292" t="s">
        <v>386</v>
      </c>
      <c r="F950" s="292" t="s">
        <v>664</v>
      </c>
      <c r="G950" s="289">
        <v>-136619.51999999999</v>
      </c>
    </row>
    <row r="951" spans="1:7" x14ac:dyDescent="0.25">
      <c r="A951" s="292" t="s">
        <v>732</v>
      </c>
      <c r="B951" s="293">
        <v>2024</v>
      </c>
      <c r="C951" s="293">
        <v>5</v>
      </c>
      <c r="D951" s="292" t="s">
        <v>661</v>
      </c>
      <c r="E951" s="292" t="s">
        <v>386</v>
      </c>
      <c r="F951" s="292" t="s">
        <v>664</v>
      </c>
      <c r="G951" s="289">
        <v>-136619.53</v>
      </c>
    </row>
    <row r="952" spans="1:7" x14ac:dyDescent="0.25">
      <c r="A952" s="292" t="s">
        <v>732</v>
      </c>
      <c r="B952" s="293">
        <v>2024</v>
      </c>
      <c r="C952" s="293">
        <v>6</v>
      </c>
      <c r="D952" s="292" t="s">
        <v>661</v>
      </c>
      <c r="E952" s="292" t="s">
        <v>386</v>
      </c>
      <c r="F952" s="292" t="s">
        <v>664</v>
      </c>
      <c r="G952" s="289">
        <v>-136619.51999999999</v>
      </c>
    </row>
    <row r="953" spans="1:7" x14ac:dyDescent="0.25">
      <c r="A953" s="292" t="s">
        <v>732</v>
      </c>
      <c r="B953" s="293">
        <v>2024</v>
      </c>
      <c r="C953" s="293">
        <v>7</v>
      </c>
      <c r="D953" s="292" t="s">
        <v>661</v>
      </c>
      <c r="E953" s="292" t="s">
        <v>386</v>
      </c>
      <c r="F953" s="292" t="s">
        <v>664</v>
      </c>
      <c r="G953" s="289">
        <v>-136619.53</v>
      </c>
    </row>
    <row r="954" spans="1:7" x14ac:dyDescent="0.25">
      <c r="A954" s="292" t="s">
        <v>732</v>
      </c>
      <c r="B954" s="293">
        <v>2024</v>
      </c>
      <c r="C954" s="293">
        <v>8</v>
      </c>
      <c r="D954" s="292" t="s">
        <v>661</v>
      </c>
      <c r="E954" s="292" t="s">
        <v>386</v>
      </c>
      <c r="F954" s="292" t="s">
        <v>664</v>
      </c>
      <c r="G954" s="289">
        <v>-136619.51999999999</v>
      </c>
    </row>
    <row r="955" spans="1:7" x14ac:dyDescent="0.25">
      <c r="A955" s="292" t="s">
        <v>732</v>
      </c>
      <c r="B955" s="293">
        <v>2024</v>
      </c>
      <c r="C955" s="293">
        <v>9</v>
      </c>
      <c r="D955" s="292" t="s">
        <v>661</v>
      </c>
      <c r="E955" s="292" t="s">
        <v>386</v>
      </c>
      <c r="F955" s="292" t="s">
        <v>664</v>
      </c>
      <c r="G955" s="289">
        <v>-136619.53</v>
      </c>
    </row>
    <row r="956" spans="1:7" x14ac:dyDescent="0.25">
      <c r="A956" s="292" t="s">
        <v>732</v>
      </c>
      <c r="B956" s="293">
        <v>2024</v>
      </c>
      <c r="C956" s="293">
        <v>10</v>
      </c>
      <c r="D956" s="292" t="s">
        <v>661</v>
      </c>
      <c r="E956" s="292" t="s">
        <v>386</v>
      </c>
      <c r="F956" s="292" t="s">
        <v>664</v>
      </c>
      <c r="G956" s="289">
        <v>-136619.51999999999</v>
      </c>
    </row>
    <row r="957" spans="1:7" x14ac:dyDescent="0.25">
      <c r="A957" s="292" t="s">
        <v>732</v>
      </c>
      <c r="B957" s="293">
        <v>2024</v>
      </c>
      <c r="C957" s="293">
        <v>11</v>
      </c>
      <c r="D957" s="292" t="s">
        <v>661</v>
      </c>
      <c r="E957" s="292" t="s">
        <v>386</v>
      </c>
      <c r="F957" s="292" t="s">
        <v>664</v>
      </c>
      <c r="G957" s="289">
        <v>-136619.53</v>
      </c>
    </row>
    <row r="958" spans="1:7" x14ac:dyDescent="0.25">
      <c r="A958" s="292" t="s">
        <v>732</v>
      </c>
      <c r="B958" s="293">
        <v>2024</v>
      </c>
      <c r="C958" s="293">
        <v>12</v>
      </c>
      <c r="D958" s="292" t="s">
        <v>661</v>
      </c>
      <c r="E958" s="292" t="s">
        <v>386</v>
      </c>
      <c r="F958" s="292" t="s">
        <v>664</v>
      </c>
      <c r="G958" s="289">
        <v>-136619.51999999999</v>
      </c>
    </row>
    <row r="959" spans="1:7" x14ac:dyDescent="0.25">
      <c r="A959" s="292" t="s">
        <v>732</v>
      </c>
      <c r="B959" s="293">
        <v>2024</v>
      </c>
      <c r="C959" s="293">
        <v>0</v>
      </c>
      <c r="D959" s="292" t="s">
        <v>661</v>
      </c>
      <c r="E959" s="292" t="s">
        <v>387</v>
      </c>
      <c r="F959" s="292" t="s">
        <v>713</v>
      </c>
      <c r="G959" s="289">
        <v>1441180.18</v>
      </c>
    </row>
    <row r="960" spans="1:7" x14ac:dyDescent="0.25">
      <c r="A960" s="292" t="s">
        <v>732</v>
      </c>
      <c r="B960" s="293">
        <v>2024</v>
      </c>
      <c r="C960" s="293">
        <v>1</v>
      </c>
      <c r="D960" s="292" t="s">
        <v>661</v>
      </c>
      <c r="E960" s="292" t="s">
        <v>387</v>
      </c>
      <c r="F960" s="292" t="s">
        <v>713</v>
      </c>
      <c r="G960" s="289">
        <v>-525.89</v>
      </c>
    </row>
    <row r="961" spans="1:7" x14ac:dyDescent="0.25">
      <c r="A961" s="292" t="s">
        <v>732</v>
      </c>
      <c r="B961" s="293">
        <v>2024</v>
      </c>
      <c r="C961" s="293">
        <v>12</v>
      </c>
      <c r="D961" s="292" t="s">
        <v>661</v>
      </c>
      <c r="E961" s="292" t="s">
        <v>387</v>
      </c>
      <c r="F961" s="292" t="s">
        <v>713</v>
      </c>
      <c r="G961" s="289">
        <v>1013567.92</v>
      </c>
    </row>
    <row r="962" spans="1:7" x14ac:dyDescent="0.25">
      <c r="A962" s="292" t="s">
        <v>732</v>
      </c>
      <c r="B962" s="293">
        <v>2024</v>
      </c>
      <c r="C962" s="293">
        <v>0</v>
      </c>
      <c r="D962" s="292" t="s">
        <v>671</v>
      </c>
      <c r="E962" s="292" t="s">
        <v>391</v>
      </c>
      <c r="F962" s="292" t="s">
        <v>742</v>
      </c>
      <c r="G962" s="289">
        <v>70339079.670000002</v>
      </c>
    </row>
    <row r="963" spans="1:7" x14ac:dyDescent="0.25">
      <c r="A963" s="292" t="s">
        <v>732</v>
      </c>
      <c r="B963" s="293">
        <v>2024</v>
      </c>
      <c r="C963" s="293">
        <v>1</v>
      </c>
      <c r="D963" s="292" t="s">
        <v>671</v>
      </c>
      <c r="E963" s="292" t="s">
        <v>391</v>
      </c>
      <c r="F963" s="292" t="s">
        <v>742</v>
      </c>
      <c r="G963" s="289">
        <v>-144949.29</v>
      </c>
    </row>
    <row r="964" spans="1:7" x14ac:dyDescent="0.25">
      <c r="A964" s="292" t="s">
        <v>732</v>
      </c>
      <c r="B964" s="293">
        <v>2024</v>
      </c>
      <c r="C964" s="293">
        <v>2</v>
      </c>
      <c r="D964" s="292" t="s">
        <v>671</v>
      </c>
      <c r="E964" s="292" t="s">
        <v>391</v>
      </c>
      <c r="F964" s="292" t="s">
        <v>742</v>
      </c>
      <c r="G964" s="289">
        <v>-156822.84</v>
      </c>
    </row>
    <row r="965" spans="1:7" x14ac:dyDescent="0.25">
      <c r="A965" s="292" t="s">
        <v>732</v>
      </c>
      <c r="B965" s="293">
        <v>2024</v>
      </c>
      <c r="C965" s="293">
        <v>3</v>
      </c>
      <c r="D965" s="292" t="s">
        <v>671</v>
      </c>
      <c r="E965" s="292" t="s">
        <v>391</v>
      </c>
      <c r="F965" s="292" t="s">
        <v>742</v>
      </c>
      <c r="G965" s="289">
        <v>-145050.21</v>
      </c>
    </row>
    <row r="966" spans="1:7" x14ac:dyDescent="0.25">
      <c r="A966" s="292" t="s">
        <v>732</v>
      </c>
      <c r="B966" s="293">
        <v>2024</v>
      </c>
      <c r="C966" s="293">
        <v>4</v>
      </c>
      <c r="D966" s="292" t="s">
        <v>671</v>
      </c>
      <c r="E966" s="292" t="s">
        <v>391</v>
      </c>
      <c r="F966" s="292" t="s">
        <v>742</v>
      </c>
      <c r="G966" s="289">
        <v>-145894.1</v>
      </c>
    </row>
    <row r="967" spans="1:7" x14ac:dyDescent="0.25">
      <c r="A967" s="292" t="s">
        <v>732</v>
      </c>
      <c r="B967" s="293">
        <v>2024</v>
      </c>
      <c r="C967" s="293">
        <v>5</v>
      </c>
      <c r="D967" s="292" t="s">
        <v>671</v>
      </c>
      <c r="E967" s="292" t="s">
        <v>391</v>
      </c>
      <c r="F967" s="292" t="s">
        <v>742</v>
      </c>
      <c r="G967" s="289">
        <v>-150774.03</v>
      </c>
    </row>
    <row r="968" spans="1:7" x14ac:dyDescent="0.25">
      <c r="A968" s="292" t="s">
        <v>732</v>
      </c>
      <c r="B968" s="293">
        <v>2024</v>
      </c>
      <c r="C968" s="293">
        <v>6</v>
      </c>
      <c r="D968" s="292" t="s">
        <v>671</v>
      </c>
      <c r="E968" s="292" t="s">
        <v>391</v>
      </c>
      <c r="F968" s="292" t="s">
        <v>742</v>
      </c>
      <c r="G968" s="289">
        <v>-159586.78</v>
      </c>
    </row>
    <row r="969" spans="1:7" x14ac:dyDescent="0.25">
      <c r="A969" s="292" t="s">
        <v>732</v>
      </c>
      <c r="B969" s="293">
        <v>2024</v>
      </c>
      <c r="C969" s="293">
        <v>7</v>
      </c>
      <c r="D969" s="292" t="s">
        <v>671</v>
      </c>
      <c r="E969" s="292" t="s">
        <v>391</v>
      </c>
      <c r="F969" s="292" t="s">
        <v>742</v>
      </c>
      <c r="G969" s="289">
        <v>-156663.1</v>
      </c>
    </row>
    <row r="970" spans="1:7" x14ac:dyDescent="0.25">
      <c r="A970" s="292" t="s">
        <v>732</v>
      </c>
      <c r="B970" s="293">
        <v>2024</v>
      </c>
      <c r="C970" s="293">
        <v>8</v>
      </c>
      <c r="D970" s="292" t="s">
        <v>671</v>
      </c>
      <c r="E970" s="292" t="s">
        <v>391</v>
      </c>
      <c r="F970" s="292" t="s">
        <v>742</v>
      </c>
      <c r="G970" s="289">
        <v>-151044.04999999999</v>
      </c>
    </row>
    <row r="971" spans="1:7" x14ac:dyDescent="0.25">
      <c r="A971" s="292" t="s">
        <v>732</v>
      </c>
      <c r="B971" s="293">
        <v>2024</v>
      </c>
      <c r="C971" s="293">
        <v>9</v>
      </c>
      <c r="D971" s="292" t="s">
        <v>671</v>
      </c>
      <c r="E971" s="292" t="s">
        <v>391</v>
      </c>
      <c r="F971" s="292" t="s">
        <v>742</v>
      </c>
      <c r="G971" s="289">
        <v>-150098.49</v>
      </c>
    </row>
    <row r="972" spans="1:7" x14ac:dyDescent="0.25">
      <c r="A972" s="292" t="s">
        <v>732</v>
      </c>
      <c r="B972" s="293">
        <v>2024</v>
      </c>
      <c r="C972" s="293">
        <v>10</v>
      </c>
      <c r="D972" s="292" t="s">
        <v>671</v>
      </c>
      <c r="E972" s="292" t="s">
        <v>391</v>
      </c>
      <c r="F972" s="292" t="s">
        <v>742</v>
      </c>
      <c r="G972" s="289">
        <v>-159753.29999999999</v>
      </c>
    </row>
    <row r="973" spans="1:7" x14ac:dyDescent="0.25">
      <c r="A973" s="292" t="s">
        <v>732</v>
      </c>
      <c r="B973" s="293">
        <v>2024</v>
      </c>
      <c r="C973" s="293">
        <v>11</v>
      </c>
      <c r="D973" s="292" t="s">
        <v>671</v>
      </c>
      <c r="E973" s="292" t="s">
        <v>391</v>
      </c>
      <c r="F973" s="292" t="s">
        <v>742</v>
      </c>
      <c r="G973" s="289">
        <v>-148368.94</v>
      </c>
    </row>
    <row r="974" spans="1:7" x14ac:dyDescent="0.25">
      <c r="A974" s="292" t="s">
        <v>732</v>
      </c>
      <c r="B974" s="293">
        <v>2024</v>
      </c>
      <c r="C974" s="293">
        <v>12</v>
      </c>
      <c r="D974" s="292" t="s">
        <v>671</v>
      </c>
      <c r="E974" s="292" t="s">
        <v>391</v>
      </c>
      <c r="F974" s="292" t="s">
        <v>742</v>
      </c>
      <c r="G974" s="289">
        <v>-175645.57</v>
      </c>
    </row>
    <row r="975" spans="1:7" x14ac:dyDescent="0.25">
      <c r="A975" s="292" t="s">
        <v>732</v>
      </c>
      <c r="B975" s="293">
        <v>2024</v>
      </c>
      <c r="C975" s="293">
        <v>0</v>
      </c>
      <c r="D975" s="292" t="s">
        <v>671</v>
      </c>
      <c r="E975" s="292" t="s">
        <v>394</v>
      </c>
      <c r="F975" s="292" t="s">
        <v>743</v>
      </c>
      <c r="G975" s="289">
        <v>-57148390.109999999</v>
      </c>
    </row>
    <row r="976" spans="1:7" x14ac:dyDescent="0.25">
      <c r="A976" s="292" t="s">
        <v>732</v>
      </c>
      <c r="B976" s="293">
        <v>2024</v>
      </c>
      <c r="C976" s="293">
        <v>1</v>
      </c>
      <c r="D976" s="292" t="s">
        <v>671</v>
      </c>
      <c r="E976" s="292" t="s">
        <v>394</v>
      </c>
      <c r="F976" s="292" t="s">
        <v>743</v>
      </c>
      <c r="G976" s="289">
        <v>-5353782.51</v>
      </c>
    </row>
    <row r="977" spans="1:7" x14ac:dyDescent="0.25">
      <c r="A977" s="292" t="s">
        <v>732</v>
      </c>
      <c r="B977" s="293">
        <v>2024</v>
      </c>
      <c r="C977" s="293">
        <v>2</v>
      </c>
      <c r="D977" s="292" t="s">
        <v>671</v>
      </c>
      <c r="E977" s="292" t="s">
        <v>394</v>
      </c>
      <c r="F977" s="292" t="s">
        <v>743</v>
      </c>
      <c r="G977" s="289">
        <v>-918799.07</v>
      </c>
    </row>
    <row r="978" spans="1:7" x14ac:dyDescent="0.25">
      <c r="A978" s="292" t="s">
        <v>732</v>
      </c>
      <c r="B978" s="293">
        <v>2024</v>
      </c>
      <c r="C978" s="293">
        <v>3</v>
      </c>
      <c r="D978" s="292" t="s">
        <v>671</v>
      </c>
      <c r="E978" s="292" t="s">
        <v>394</v>
      </c>
      <c r="F978" s="292" t="s">
        <v>743</v>
      </c>
      <c r="G978" s="289">
        <v>-932430.75</v>
      </c>
    </row>
    <row r="979" spans="1:7" x14ac:dyDescent="0.25">
      <c r="A979" s="292" t="s">
        <v>732</v>
      </c>
      <c r="B979" s="293">
        <v>2024</v>
      </c>
      <c r="C979" s="293">
        <v>4</v>
      </c>
      <c r="D979" s="292" t="s">
        <v>671</v>
      </c>
      <c r="E979" s="292" t="s">
        <v>394</v>
      </c>
      <c r="F979" s="292" t="s">
        <v>743</v>
      </c>
      <c r="G979" s="289">
        <v>-929530.25</v>
      </c>
    </row>
    <row r="980" spans="1:7" x14ac:dyDescent="0.25">
      <c r="A980" s="292" t="s">
        <v>732</v>
      </c>
      <c r="B980" s="293">
        <v>2024</v>
      </c>
      <c r="C980" s="293">
        <v>5</v>
      </c>
      <c r="D980" s="292" t="s">
        <v>671</v>
      </c>
      <c r="E980" s="292" t="s">
        <v>394</v>
      </c>
      <c r="F980" s="292" t="s">
        <v>743</v>
      </c>
      <c r="G980" s="289">
        <v>-923382.1</v>
      </c>
    </row>
    <row r="981" spans="1:7" x14ac:dyDescent="0.25">
      <c r="A981" s="292" t="s">
        <v>732</v>
      </c>
      <c r="B981" s="293">
        <v>2024</v>
      </c>
      <c r="C981" s="293">
        <v>6</v>
      </c>
      <c r="D981" s="292" t="s">
        <v>671</v>
      </c>
      <c r="E981" s="292" t="s">
        <v>394</v>
      </c>
      <c r="F981" s="292" t="s">
        <v>743</v>
      </c>
      <c r="G981" s="289">
        <v>-914578.61</v>
      </c>
    </row>
    <row r="982" spans="1:7" x14ac:dyDescent="0.25">
      <c r="A982" s="292" t="s">
        <v>732</v>
      </c>
      <c r="B982" s="293">
        <v>2024</v>
      </c>
      <c r="C982" s="293">
        <v>7</v>
      </c>
      <c r="D982" s="292" t="s">
        <v>671</v>
      </c>
      <c r="E982" s="292" t="s">
        <v>394</v>
      </c>
      <c r="F982" s="292" t="s">
        <v>743</v>
      </c>
      <c r="G982" s="289">
        <v>-904421.47</v>
      </c>
    </row>
    <row r="983" spans="1:7" x14ac:dyDescent="0.25">
      <c r="A983" s="292" t="s">
        <v>732</v>
      </c>
      <c r="B983" s="293">
        <v>2024</v>
      </c>
      <c r="C983" s="293">
        <v>8</v>
      </c>
      <c r="D983" s="292" t="s">
        <v>671</v>
      </c>
      <c r="E983" s="292" t="s">
        <v>394</v>
      </c>
      <c r="F983" s="292" t="s">
        <v>743</v>
      </c>
      <c r="G983" s="289">
        <v>-1892952.59</v>
      </c>
    </row>
    <row r="984" spans="1:7" x14ac:dyDescent="0.25">
      <c r="A984" s="292" t="s">
        <v>732</v>
      </c>
      <c r="B984" s="293">
        <v>2024</v>
      </c>
      <c r="C984" s="293">
        <v>9</v>
      </c>
      <c r="D984" s="292" t="s">
        <v>671</v>
      </c>
      <c r="E984" s="292" t="s">
        <v>394</v>
      </c>
      <c r="F984" s="292" t="s">
        <v>743</v>
      </c>
      <c r="G984" s="289">
        <v>-4271115.84</v>
      </c>
    </row>
    <row r="985" spans="1:7" x14ac:dyDescent="0.25">
      <c r="A985" s="292" t="s">
        <v>732</v>
      </c>
      <c r="B985" s="293">
        <v>2024</v>
      </c>
      <c r="C985" s="293">
        <v>10</v>
      </c>
      <c r="D985" s="292" t="s">
        <v>671</v>
      </c>
      <c r="E985" s="292" t="s">
        <v>394</v>
      </c>
      <c r="F985" s="292" t="s">
        <v>743</v>
      </c>
      <c r="G985" s="289">
        <v>-2244998.13</v>
      </c>
    </row>
    <row r="986" spans="1:7" x14ac:dyDescent="0.25">
      <c r="A986" s="292" t="s">
        <v>732</v>
      </c>
      <c r="B986" s="293">
        <v>2024</v>
      </c>
      <c r="C986" s="293">
        <v>11</v>
      </c>
      <c r="D986" s="292" t="s">
        <v>671</v>
      </c>
      <c r="E986" s="292" t="s">
        <v>394</v>
      </c>
      <c r="F986" s="292" t="s">
        <v>743</v>
      </c>
      <c r="G986" s="289">
        <v>-1388865.7</v>
      </c>
    </row>
    <row r="987" spans="1:7" x14ac:dyDescent="0.25">
      <c r="A987" s="292" t="s">
        <v>732</v>
      </c>
      <c r="B987" s="293">
        <v>2024</v>
      </c>
      <c r="C987" s="293">
        <v>12</v>
      </c>
      <c r="D987" s="292" t="s">
        <v>671</v>
      </c>
      <c r="E987" s="292" t="s">
        <v>394</v>
      </c>
      <c r="F987" s="292" t="s">
        <v>743</v>
      </c>
      <c r="G987" s="289">
        <v>-2928508.43</v>
      </c>
    </row>
    <row r="988" spans="1:7" x14ac:dyDescent="0.25">
      <c r="A988" s="292" t="s">
        <v>732</v>
      </c>
      <c r="B988" s="293">
        <v>2024</v>
      </c>
      <c r="C988" s="293">
        <v>0</v>
      </c>
      <c r="D988" s="292" t="s">
        <v>671</v>
      </c>
      <c r="E988" s="292" t="s">
        <v>397</v>
      </c>
      <c r="F988" s="292" t="s">
        <v>744</v>
      </c>
      <c r="G988" s="289">
        <v>-42284177.520000003</v>
      </c>
    </row>
    <row r="989" spans="1:7" x14ac:dyDescent="0.25">
      <c r="A989" s="292" t="s">
        <v>732</v>
      </c>
      <c r="B989" s="293">
        <v>2024</v>
      </c>
      <c r="C989" s="293">
        <v>1</v>
      </c>
      <c r="D989" s="292" t="s">
        <v>671</v>
      </c>
      <c r="E989" s="292" t="s">
        <v>397</v>
      </c>
      <c r="F989" s="292" t="s">
        <v>744</v>
      </c>
      <c r="G989" s="289">
        <v>3512653.85</v>
      </c>
    </row>
    <row r="990" spans="1:7" x14ac:dyDescent="0.25">
      <c r="A990" s="292" t="s">
        <v>732</v>
      </c>
      <c r="B990" s="293">
        <v>2024</v>
      </c>
      <c r="C990" s="293">
        <v>2</v>
      </c>
      <c r="D990" s="292" t="s">
        <v>671</v>
      </c>
      <c r="E990" s="292" t="s">
        <v>397</v>
      </c>
      <c r="F990" s="292" t="s">
        <v>744</v>
      </c>
      <c r="G990" s="289">
        <v>-1266949.52</v>
      </c>
    </row>
    <row r="991" spans="1:7" x14ac:dyDescent="0.25">
      <c r="A991" s="292" t="s">
        <v>732</v>
      </c>
      <c r="B991" s="293">
        <v>2024</v>
      </c>
      <c r="C991" s="293">
        <v>3</v>
      </c>
      <c r="D991" s="292" t="s">
        <v>671</v>
      </c>
      <c r="E991" s="292" t="s">
        <v>397</v>
      </c>
      <c r="F991" s="292" t="s">
        <v>744</v>
      </c>
      <c r="G991" s="289">
        <v>-852000.64</v>
      </c>
    </row>
    <row r="992" spans="1:7" x14ac:dyDescent="0.25">
      <c r="A992" s="292" t="s">
        <v>732</v>
      </c>
      <c r="B992" s="293">
        <v>2024</v>
      </c>
      <c r="C992" s="293">
        <v>4</v>
      </c>
      <c r="D992" s="292" t="s">
        <v>671</v>
      </c>
      <c r="E992" s="292" t="s">
        <v>397</v>
      </c>
      <c r="F992" s="292" t="s">
        <v>744</v>
      </c>
      <c r="G992" s="289">
        <v>-1328118.53</v>
      </c>
    </row>
    <row r="993" spans="1:7" x14ac:dyDescent="0.25">
      <c r="A993" s="292" t="s">
        <v>732</v>
      </c>
      <c r="B993" s="293">
        <v>2024</v>
      </c>
      <c r="C993" s="293">
        <v>5</v>
      </c>
      <c r="D993" s="292" t="s">
        <v>671</v>
      </c>
      <c r="E993" s="292" t="s">
        <v>397</v>
      </c>
      <c r="F993" s="292" t="s">
        <v>744</v>
      </c>
      <c r="G993" s="289">
        <v>-917552.78</v>
      </c>
    </row>
    <row r="994" spans="1:7" x14ac:dyDescent="0.25">
      <c r="A994" s="292" t="s">
        <v>732</v>
      </c>
      <c r="B994" s="293">
        <v>2024</v>
      </c>
      <c r="C994" s="293">
        <v>6</v>
      </c>
      <c r="D994" s="292" t="s">
        <v>671</v>
      </c>
      <c r="E994" s="292" t="s">
        <v>397</v>
      </c>
      <c r="F994" s="292" t="s">
        <v>744</v>
      </c>
      <c r="G994" s="289">
        <v>-1210295.08</v>
      </c>
    </row>
    <row r="995" spans="1:7" x14ac:dyDescent="0.25">
      <c r="A995" s="292" t="s">
        <v>732</v>
      </c>
      <c r="B995" s="293">
        <v>2024</v>
      </c>
      <c r="C995" s="293">
        <v>7</v>
      </c>
      <c r="D995" s="292" t="s">
        <v>671</v>
      </c>
      <c r="E995" s="292" t="s">
        <v>397</v>
      </c>
      <c r="F995" s="292" t="s">
        <v>744</v>
      </c>
      <c r="G995" s="289">
        <v>-1801950.97</v>
      </c>
    </row>
    <row r="996" spans="1:7" x14ac:dyDescent="0.25">
      <c r="A996" s="292" t="s">
        <v>732</v>
      </c>
      <c r="B996" s="293">
        <v>2024</v>
      </c>
      <c r="C996" s="293">
        <v>8</v>
      </c>
      <c r="D996" s="292" t="s">
        <v>671</v>
      </c>
      <c r="E996" s="292" t="s">
        <v>397</v>
      </c>
      <c r="F996" s="292" t="s">
        <v>744</v>
      </c>
      <c r="G996" s="289">
        <v>-63519.51</v>
      </c>
    </row>
    <row r="997" spans="1:7" x14ac:dyDescent="0.25">
      <c r="A997" s="292" t="s">
        <v>732</v>
      </c>
      <c r="B997" s="293">
        <v>2024</v>
      </c>
      <c r="C997" s="293">
        <v>9</v>
      </c>
      <c r="D997" s="292" t="s">
        <v>671</v>
      </c>
      <c r="E997" s="292" t="s">
        <v>397</v>
      </c>
      <c r="F997" s="292" t="s">
        <v>744</v>
      </c>
      <c r="G997" s="289">
        <v>2168621.52</v>
      </c>
    </row>
    <row r="998" spans="1:7" x14ac:dyDescent="0.25">
      <c r="A998" s="292" t="s">
        <v>732</v>
      </c>
      <c r="B998" s="293">
        <v>2024</v>
      </c>
      <c r="C998" s="293">
        <v>10</v>
      </c>
      <c r="D998" s="292" t="s">
        <v>671</v>
      </c>
      <c r="E998" s="292" t="s">
        <v>397</v>
      </c>
      <c r="F998" s="292" t="s">
        <v>744</v>
      </c>
      <c r="G998" s="289">
        <v>17962901.780000001</v>
      </c>
    </row>
    <row r="999" spans="1:7" x14ac:dyDescent="0.25">
      <c r="A999" s="292" t="s">
        <v>732</v>
      </c>
      <c r="B999" s="293">
        <v>2024</v>
      </c>
      <c r="C999" s="293">
        <v>11</v>
      </c>
      <c r="D999" s="292" t="s">
        <v>671</v>
      </c>
      <c r="E999" s="292" t="s">
        <v>397</v>
      </c>
      <c r="F999" s="292" t="s">
        <v>744</v>
      </c>
      <c r="G999" s="289">
        <v>-1779284.57</v>
      </c>
    </row>
    <row r="1000" spans="1:7" x14ac:dyDescent="0.25">
      <c r="A1000" s="292" t="s">
        <v>732</v>
      </c>
      <c r="B1000" s="293">
        <v>2024</v>
      </c>
      <c r="C1000" s="293">
        <v>12</v>
      </c>
      <c r="D1000" s="292" t="s">
        <v>671</v>
      </c>
      <c r="E1000" s="292" t="s">
        <v>397</v>
      </c>
      <c r="F1000" s="292" t="s">
        <v>744</v>
      </c>
      <c r="G1000" s="289">
        <v>-9473464.4499999993</v>
      </c>
    </row>
    <row r="1001" spans="1:7" x14ac:dyDescent="0.25">
      <c r="A1001" s="292" t="s">
        <v>732</v>
      </c>
      <c r="B1001" s="293">
        <v>2024</v>
      </c>
      <c r="C1001" s="293">
        <v>0</v>
      </c>
      <c r="D1001" s="292" t="s">
        <v>665</v>
      </c>
      <c r="E1001" s="292" t="s">
        <v>407</v>
      </c>
      <c r="F1001" s="292" t="s">
        <v>745</v>
      </c>
      <c r="G1001" s="289">
        <v>6212116.1900000004</v>
      </c>
    </row>
    <row r="1002" spans="1:7" x14ac:dyDescent="0.25">
      <c r="A1002" s="292" t="s">
        <v>732</v>
      </c>
      <c r="B1002" s="293">
        <v>2024</v>
      </c>
      <c r="C1002" s="293">
        <v>1</v>
      </c>
      <c r="D1002" s="292" t="s">
        <v>665</v>
      </c>
      <c r="E1002" s="292" t="s">
        <v>407</v>
      </c>
      <c r="F1002" s="292" t="s">
        <v>745</v>
      </c>
      <c r="G1002" s="289">
        <v>-138581</v>
      </c>
    </row>
    <row r="1003" spans="1:7" x14ac:dyDescent="0.25">
      <c r="A1003" s="292" t="s">
        <v>732</v>
      </c>
      <c r="B1003" s="293">
        <v>2024</v>
      </c>
      <c r="C1003" s="293">
        <v>2</v>
      </c>
      <c r="D1003" s="292" t="s">
        <v>665</v>
      </c>
      <c r="E1003" s="292" t="s">
        <v>407</v>
      </c>
      <c r="F1003" s="292" t="s">
        <v>745</v>
      </c>
      <c r="G1003" s="289">
        <v>-138581</v>
      </c>
    </row>
    <row r="1004" spans="1:7" x14ac:dyDescent="0.25">
      <c r="A1004" s="292" t="s">
        <v>732</v>
      </c>
      <c r="B1004" s="293">
        <v>2024</v>
      </c>
      <c r="C1004" s="293">
        <v>3</v>
      </c>
      <c r="D1004" s="292" t="s">
        <v>665</v>
      </c>
      <c r="E1004" s="292" t="s">
        <v>407</v>
      </c>
      <c r="F1004" s="292" t="s">
        <v>745</v>
      </c>
      <c r="G1004" s="289">
        <v>-138581</v>
      </c>
    </row>
    <row r="1005" spans="1:7" x14ac:dyDescent="0.25">
      <c r="A1005" s="292" t="s">
        <v>732</v>
      </c>
      <c r="B1005" s="293">
        <v>2024</v>
      </c>
      <c r="C1005" s="293">
        <v>4</v>
      </c>
      <c r="D1005" s="292" t="s">
        <v>665</v>
      </c>
      <c r="E1005" s="292" t="s">
        <v>407</v>
      </c>
      <c r="F1005" s="292" t="s">
        <v>745</v>
      </c>
      <c r="G1005" s="289">
        <v>-138581</v>
      </c>
    </row>
    <row r="1006" spans="1:7" x14ac:dyDescent="0.25">
      <c r="A1006" s="292" t="s">
        <v>732</v>
      </c>
      <c r="B1006" s="293">
        <v>2024</v>
      </c>
      <c r="C1006" s="293">
        <v>5</v>
      </c>
      <c r="D1006" s="292" t="s">
        <v>665</v>
      </c>
      <c r="E1006" s="292" t="s">
        <v>407</v>
      </c>
      <c r="F1006" s="292" t="s">
        <v>745</v>
      </c>
      <c r="G1006" s="289">
        <v>-138581</v>
      </c>
    </row>
    <row r="1007" spans="1:7" x14ac:dyDescent="0.25">
      <c r="A1007" s="292" t="s">
        <v>732</v>
      </c>
      <c r="B1007" s="293">
        <v>2024</v>
      </c>
      <c r="C1007" s="293">
        <v>6</v>
      </c>
      <c r="D1007" s="292" t="s">
        <v>665</v>
      </c>
      <c r="E1007" s="292" t="s">
        <v>407</v>
      </c>
      <c r="F1007" s="292" t="s">
        <v>745</v>
      </c>
      <c r="G1007" s="289">
        <v>-138581</v>
      </c>
    </row>
    <row r="1008" spans="1:7" x14ac:dyDescent="0.25">
      <c r="A1008" s="292" t="s">
        <v>732</v>
      </c>
      <c r="B1008" s="293">
        <v>2024</v>
      </c>
      <c r="C1008" s="293">
        <v>7</v>
      </c>
      <c r="D1008" s="292" t="s">
        <v>665</v>
      </c>
      <c r="E1008" s="292" t="s">
        <v>407</v>
      </c>
      <c r="F1008" s="292" t="s">
        <v>745</v>
      </c>
      <c r="G1008" s="289">
        <v>-138581</v>
      </c>
    </row>
    <row r="1009" spans="1:7" x14ac:dyDescent="0.25">
      <c r="A1009" s="292" t="s">
        <v>732</v>
      </c>
      <c r="B1009" s="293">
        <v>2024</v>
      </c>
      <c r="C1009" s="293">
        <v>8</v>
      </c>
      <c r="D1009" s="292" t="s">
        <v>665</v>
      </c>
      <c r="E1009" s="292" t="s">
        <v>407</v>
      </c>
      <c r="F1009" s="292" t="s">
        <v>745</v>
      </c>
      <c r="G1009" s="289">
        <v>-138581</v>
      </c>
    </row>
    <row r="1010" spans="1:7" x14ac:dyDescent="0.25">
      <c r="A1010" s="292" t="s">
        <v>732</v>
      </c>
      <c r="B1010" s="293">
        <v>2024</v>
      </c>
      <c r="C1010" s="293">
        <v>9</v>
      </c>
      <c r="D1010" s="292" t="s">
        <v>665</v>
      </c>
      <c r="E1010" s="292" t="s">
        <v>407</v>
      </c>
      <c r="F1010" s="292" t="s">
        <v>745</v>
      </c>
      <c r="G1010" s="289">
        <v>-138581</v>
      </c>
    </row>
    <row r="1011" spans="1:7" x14ac:dyDescent="0.25">
      <c r="A1011" s="292" t="s">
        <v>732</v>
      </c>
      <c r="B1011" s="293">
        <v>2024</v>
      </c>
      <c r="C1011" s="293">
        <v>10</v>
      </c>
      <c r="D1011" s="292" t="s">
        <v>665</v>
      </c>
      <c r="E1011" s="292" t="s">
        <v>407</v>
      </c>
      <c r="F1011" s="292" t="s">
        <v>745</v>
      </c>
      <c r="G1011" s="289">
        <v>-138581</v>
      </c>
    </row>
    <row r="1012" spans="1:7" x14ac:dyDescent="0.25">
      <c r="A1012" s="292" t="s">
        <v>732</v>
      </c>
      <c r="B1012" s="293">
        <v>2024</v>
      </c>
      <c r="C1012" s="293">
        <v>11</v>
      </c>
      <c r="D1012" s="292" t="s">
        <v>665</v>
      </c>
      <c r="E1012" s="292" t="s">
        <v>407</v>
      </c>
      <c r="F1012" s="292" t="s">
        <v>745</v>
      </c>
      <c r="G1012" s="289">
        <v>-138581</v>
      </c>
    </row>
    <row r="1013" spans="1:7" x14ac:dyDescent="0.25">
      <c r="A1013" s="292" t="s">
        <v>732</v>
      </c>
      <c r="B1013" s="293">
        <v>2024</v>
      </c>
      <c r="C1013" s="293">
        <v>12</v>
      </c>
      <c r="D1013" s="292" t="s">
        <v>665</v>
      </c>
      <c r="E1013" s="292" t="s">
        <v>407</v>
      </c>
      <c r="F1013" s="292" t="s">
        <v>745</v>
      </c>
      <c r="G1013" s="289">
        <v>-138581</v>
      </c>
    </row>
    <row r="1014" spans="1:7" x14ac:dyDescent="0.25">
      <c r="A1014" s="292" t="s">
        <v>732</v>
      </c>
      <c r="B1014" s="293">
        <v>2024</v>
      </c>
      <c r="C1014" s="293">
        <v>0</v>
      </c>
      <c r="D1014" s="292" t="s">
        <v>665</v>
      </c>
      <c r="E1014" s="292" t="s">
        <v>408</v>
      </c>
      <c r="F1014" s="292" t="s">
        <v>746</v>
      </c>
      <c r="G1014" s="289">
        <v>-1706294.46</v>
      </c>
    </row>
    <row r="1015" spans="1:7" x14ac:dyDescent="0.25">
      <c r="A1015" s="292" t="s">
        <v>732</v>
      </c>
      <c r="B1015" s="293">
        <v>2024</v>
      </c>
      <c r="C1015" s="293">
        <v>1</v>
      </c>
      <c r="D1015" s="292" t="s">
        <v>665</v>
      </c>
      <c r="E1015" s="292" t="s">
        <v>408</v>
      </c>
      <c r="F1015" s="292" t="s">
        <v>746</v>
      </c>
      <c r="G1015" s="289">
        <v>37814.620000000003</v>
      </c>
    </row>
    <row r="1016" spans="1:7" x14ac:dyDescent="0.25">
      <c r="A1016" s="292" t="s">
        <v>732</v>
      </c>
      <c r="B1016" s="293">
        <v>2024</v>
      </c>
      <c r="C1016" s="293">
        <v>2</v>
      </c>
      <c r="D1016" s="292" t="s">
        <v>665</v>
      </c>
      <c r="E1016" s="292" t="s">
        <v>408</v>
      </c>
      <c r="F1016" s="292" t="s">
        <v>746</v>
      </c>
      <c r="G1016" s="289">
        <v>37814.620000000003</v>
      </c>
    </row>
    <row r="1017" spans="1:7" x14ac:dyDescent="0.25">
      <c r="A1017" s="292" t="s">
        <v>732</v>
      </c>
      <c r="B1017" s="293">
        <v>2024</v>
      </c>
      <c r="C1017" s="293">
        <v>3</v>
      </c>
      <c r="D1017" s="292" t="s">
        <v>665</v>
      </c>
      <c r="E1017" s="292" t="s">
        <v>408</v>
      </c>
      <c r="F1017" s="292" t="s">
        <v>746</v>
      </c>
      <c r="G1017" s="289">
        <v>37814.620000000003</v>
      </c>
    </row>
    <row r="1018" spans="1:7" x14ac:dyDescent="0.25">
      <c r="A1018" s="292" t="s">
        <v>732</v>
      </c>
      <c r="B1018" s="293">
        <v>2024</v>
      </c>
      <c r="C1018" s="293">
        <v>4</v>
      </c>
      <c r="D1018" s="292" t="s">
        <v>665</v>
      </c>
      <c r="E1018" s="292" t="s">
        <v>408</v>
      </c>
      <c r="F1018" s="292" t="s">
        <v>746</v>
      </c>
      <c r="G1018" s="289">
        <v>37814.620000000003</v>
      </c>
    </row>
    <row r="1019" spans="1:7" x14ac:dyDescent="0.25">
      <c r="A1019" s="292" t="s">
        <v>732</v>
      </c>
      <c r="B1019" s="293">
        <v>2024</v>
      </c>
      <c r="C1019" s="293">
        <v>5</v>
      </c>
      <c r="D1019" s="292" t="s">
        <v>665</v>
      </c>
      <c r="E1019" s="292" t="s">
        <v>408</v>
      </c>
      <c r="F1019" s="292" t="s">
        <v>746</v>
      </c>
      <c r="G1019" s="289">
        <v>37814.620000000003</v>
      </c>
    </row>
    <row r="1020" spans="1:7" x14ac:dyDescent="0.25">
      <c r="A1020" s="292" t="s">
        <v>732</v>
      </c>
      <c r="B1020" s="293">
        <v>2024</v>
      </c>
      <c r="C1020" s="293">
        <v>6</v>
      </c>
      <c r="D1020" s="292" t="s">
        <v>665</v>
      </c>
      <c r="E1020" s="292" t="s">
        <v>408</v>
      </c>
      <c r="F1020" s="292" t="s">
        <v>746</v>
      </c>
      <c r="G1020" s="289">
        <v>37814.620000000003</v>
      </c>
    </row>
    <row r="1021" spans="1:7" x14ac:dyDescent="0.25">
      <c r="A1021" s="292" t="s">
        <v>732</v>
      </c>
      <c r="B1021" s="293">
        <v>2024</v>
      </c>
      <c r="C1021" s="293">
        <v>7</v>
      </c>
      <c r="D1021" s="292" t="s">
        <v>665</v>
      </c>
      <c r="E1021" s="292" t="s">
        <v>408</v>
      </c>
      <c r="F1021" s="292" t="s">
        <v>746</v>
      </c>
      <c r="G1021" s="289">
        <v>37814.620000000003</v>
      </c>
    </row>
    <row r="1022" spans="1:7" x14ac:dyDescent="0.25">
      <c r="A1022" s="292" t="s">
        <v>732</v>
      </c>
      <c r="B1022" s="293">
        <v>2024</v>
      </c>
      <c r="C1022" s="293">
        <v>8</v>
      </c>
      <c r="D1022" s="292" t="s">
        <v>665</v>
      </c>
      <c r="E1022" s="292" t="s">
        <v>408</v>
      </c>
      <c r="F1022" s="292" t="s">
        <v>746</v>
      </c>
      <c r="G1022" s="289">
        <v>37814.620000000003</v>
      </c>
    </row>
    <row r="1023" spans="1:7" x14ac:dyDescent="0.25">
      <c r="A1023" s="292" t="s">
        <v>732</v>
      </c>
      <c r="B1023" s="293">
        <v>2024</v>
      </c>
      <c r="C1023" s="293">
        <v>9</v>
      </c>
      <c r="D1023" s="292" t="s">
        <v>665</v>
      </c>
      <c r="E1023" s="292" t="s">
        <v>408</v>
      </c>
      <c r="F1023" s="292" t="s">
        <v>746</v>
      </c>
      <c r="G1023" s="289">
        <v>37814.620000000003</v>
      </c>
    </row>
    <row r="1024" spans="1:7" x14ac:dyDescent="0.25">
      <c r="A1024" s="292" t="s">
        <v>732</v>
      </c>
      <c r="B1024" s="293">
        <v>2024</v>
      </c>
      <c r="C1024" s="293">
        <v>10</v>
      </c>
      <c r="D1024" s="292" t="s">
        <v>665</v>
      </c>
      <c r="E1024" s="292" t="s">
        <v>408</v>
      </c>
      <c r="F1024" s="292" t="s">
        <v>746</v>
      </c>
      <c r="G1024" s="289">
        <v>37814.620000000003</v>
      </c>
    </row>
    <row r="1025" spans="1:7" x14ac:dyDescent="0.25">
      <c r="A1025" s="292" t="s">
        <v>732</v>
      </c>
      <c r="B1025" s="293">
        <v>2024</v>
      </c>
      <c r="C1025" s="293">
        <v>11</v>
      </c>
      <c r="D1025" s="292" t="s">
        <v>665</v>
      </c>
      <c r="E1025" s="292" t="s">
        <v>408</v>
      </c>
      <c r="F1025" s="292" t="s">
        <v>746</v>
      </c>
      <c r="G1025" s="289">
        <v>37814.620000000003</v>
      </c>
    </row>
    <row r="1026" spans="1:7" x14ac:dyDescent="0.25">
      <c r="A1026" s="292" t="s">
        <v>732</v>
      </c>
      <c r="B1026" s="293">
        <v>2024</v>
      </c>
      <c r="C1026" s="293">
        <v>12</v>
      </c>
      <c r="D1026" s="292" t="s">
        <v>665</v>
      </c>
      <c r="E1026" s="292" t="s">
        <v>408</v>
      </c>
      <c r="F1026" s="292" t="s">
        <v>746</v>
      </c>
      <c r="G1026" s="289">
        <v>37814.620000000003</v>
      </c>
    </row>
    <row r="1027" spans="1:7" x14ac:dyDescent="0.25">
      <c r="A1027" s="292" t="s">
        <v>732</v>
      </c>
      <c r="B1027" s="293">
        <v>2024</v>
      </c>
      <c r="C1027" s="293">
        <v>0</v>
      </c>
      <c r="D1027" s="292" t="s">
        <v>665</v>
      </c>
      <c r="E1027" s="292" t="s">
        <v>409</v>
      </c>
      <c r="F1027" s="292" t="s">
        <v>747</v>
      </c>
      <c r="G1027" s="289">
        <v>-6212116.1900000004</v>
      </c>
    </row>
    <row r="1028" spans="1:7" x14ac:dyDescent="0.25">
      <c r="A1028" s="292" t="s">
        <v>732</v>
      </c>
      <c r="B1028" s="293">
        <v>2024</v>
      </c>
      <c r="C1028" s="293">
        <v>1</v>
      </c>
      <c r="D1028" s="292" t="s">
        <v>665</v>
      </c>
      <c r="E1028" s="292" t="s">
        <v>409</v>
      </c>
      <c r="F1028" s="292" t="s">
        <v>747</v>
      </c>
      <c r="G1028" s="289">
        <v>138581</v>
      </c>
    </row>
    <row r="1029" spans="1:7" x14ac:dyDescent="0.25">
      <c r="A1029" s="292" t="s">
        <v>732</v>
      </c>
      <c r="B1029" s="293">
        <v>2024</v>
      </c>
      <c r="C1029" s="293">
        <v>2</v>
      </c>
      <c r="D1029" s="292" t="s">
        <v>665</v>
      </c>
      <c r="E1029" s="292" t="s">
        <v>409</v>
      </c>
      <c r="F1029" s="292" t="s">
        <v>747</v>
      </c>
      <c r="G1029" s="289">
        <v>138581</v>
      </c>
    </row>
    <row r="1030" spans="1:7" x14ac:dyDescent="0.25">
      <c r="A1030" s="292" t="s">
        <v>732</v>
      </c>
      <c r="B1030" s="293">
        <v>2024</v>
      </c>
      <c r="C1030" s="293">
        <v>3</v>
      </c>
      <c r="D1030" s="292" t="s">
        <v>665</v>
      </c>
      <c r="E1030" s="292" t="s">
        <v>409</v>
      </c>
      <c r="F1030" s="292" t="s">
        <v>747</v>
      </c>
      <c r="G1030" s="289">
        <v>138581</v>
      </c>
    </row>
    <row r="1031" spans="1:7" x14ac:dyDescent="0.25">
      <c r="A1031" s="292" t="s">
        <v>732</v>
      </c>
      <c r="B1031" s="293">
        <v>2024</v>
      </c>
      <c r="C1031" s="293">
        <v>4</v>
      </c>
      <c r="D1031" s="292" t="s">
        <v>665</v>
      </c>
      <c r="E1031" s="292" t="s">
        <v>409</v>
      </c>
      <c r="F1031" s="292" t="s">
        <v>747</v>
      </c>
      <c r="G1031" s="289">
        <v>138581</v>
      </c>
    </row>
    <row r="1032" spans="1:7" x14ac:dyDescent="0.25">
      <c r="A1032" s="292" t="s">
        <v>732</v>
      </c>
      <c r="B1032" s="293">
        <v>2024</v>
      </c>
      <c r="C1032" s="293">
        <v>5</v>
      </c>
      <c r="D1032" s="292" t="s">
        <v>665</v>
      </c>
      <c r="E1032" s="292" t="s">
        <v>409</v>
      </c>
      <c r="F1032" s="292" t="s">
        <v>747</v>
      </c>
      <c r="G1032" s="289">
        <v>138581</v>
      </c>
    </row>
    <row r="1033" spans="1:7" x14ac:dyDescent="0.25">
      <c r="A1033" s="292" t="s">
        <v>732</v>
      </c>
      <c r="B1033" s="293">
        <v>2024</v>
      </c>
      <c r="C1033" s="293">
        <v>6</v>
      </c>
      <c r="D1033" s="292" t="s">
        <v>665</v>
      </c>
      <c r="E1033" s="292" t="s">
        <v>409</v>
      </c>
      <c r="F1033" s="292" t="s">
        <v>747</v>
      </c>
      <c r="G1033" s="289">
        <v>138581</v>
      </c>
    </row>
    <row r="1034" spans="1:7" x14ac:dyDescent="0.25">
      <c r="A1034" s="292" t="s">
        <v>732</v>
      </c>
      <c r="B1034" s="293">
        <v>2024</v>
      </c>
      <c r="C1034" s="293">
        <v>7</v>
      </c>
      <c r="D1034" s="292" t="s">
        <v>665</v>
      </c>
      <c r="E1034" s="292" t="s">
        <v>409</v>
      </c>
      <c r="F1034" s="292" t="s">
        <v>747</v>
      </c>
      <c r="G1034" s="289">
        <v>138581</v>
      </c>
    </row>
    <row r="1035" spans="1:7" x14ac:dyDescent="0.25">
      <c r="A1035" s="292" t="s">
        <v>732</v>
      </c>
      <c r="B1035" s="293">
        <v>2024</v>
      </c>
      <c r="C1035" s="293">
        <v>8</v>
      </c>
      <c r="D1035" s="292" t="s">
        <v>665</v>
      </c>
      <c r="E1035" s="292" t="s">
        <v>409</v>
      </c>
      <c r="F1035" s="292" t="s">
        <v>747</v>
      </c>
      <c r="G1035" s="289">
        <v>138581</v>
      </c>
    </row>
    <row r="1036" spans="1:7" x14ac:dyDescent="0.25">
      <c r="A1036" s="292" t="s">
        <v>732</v>
      </c>
      <c r="B1036" s="293">
        <v>2024</v>
      </c>
      <c r="C1036" s="293">
        <v>9</v>
      </c>
      <c r="D1036" s="292" t="s">
        <v>665</v>
      </c>
      <c r="E1036" s="292" t="s">
        <v>409</v>
      </c>
      <c r="F1036" s="292" t="s">
        <v>747</v>
      </c>
      <c r="G1036" s="289">
        <v>138581</v>
      </c>
    </row>
    <row r="1037" spans="1:7" x14ac:dyDescent="0.25">
      <c r="A1037" s="292" t="s">
        <v>732</v>
      </c>
      <c r="B1037" s="293">
        <v>2024</v>
      </c>
      <c r="C1037" s="293">
        <v>10</v>
      </c>
      <c r="D1037" s="292" t="s">
        <v>665</v>
      </c>
      <c r="E1037" s="292" t="s">
        <v>409</v>
      </c>
      <c r="F1037" s="292" t="s">
        <v>747</v>
      </c>
      <c r="G1037" s="289">
        <v>138581</v>
      </c>
    </row>
    <row r="1038" spans="1:7" x14ac:dyDescent="0.25">
      <c r="A1038" s="292" t="s">
        <v>732</v>
      </c>
      <c r="B1038" s="293">
        <v>2024</v>
      </c>
      <c r="C1038" s="293">
        <v>11</v>
      </c>
      <c r="D1038" s="292" t="s">
        <v>665</v>
      </c>
      <c r="E1038" s="292" t="s">
        <v>409</v>
      </c>
      <c r="F1038" s="292" t="s">
        <v>747</v>
      </c>
      <c r="G1038" s="289">
        <v>138581</v>
      </c>
    </row>
    <row r="1039" spans="1:7" x14ac:dyDescent="0.25">
      <c r="A1039" s="292" t="s">
        <v>732</v>
      </c>
      <c r="B1039" s="293">
        <v>2024</v>
      </c>
      <c r="C1039" s="293">
        <v>12</v>
      </c>
      <c r="D1039" s="292" t="s">
        <v>665</v>
      </c>
      <c r="E1039" s="292" t="s">
        <v>409</v>
      </c>
      <c r="F1039" s="292" t="s">
        <v>747</v>
      </c>
      <c r="G1039" s="289">
        <v>138581</v>
      </c>
    </row>
    <row r="1040" spans="1:7" x14ac:dyDescent="0.25">
      <c r="A1040" s="292" t="s">
        <v>732</v>
      </c>
      <c r="B1040" s="293">
        <v>2024</v>
      </c>
      <c r="C1040" s="293">
        <v>0</v>
      </c>
      <c r="D1040" s="292" t="s">
        <v>665</v>
      </c>
      <c r="E1040" s="292" t="s">
        <v>410</v>
      </c>
      <c r="F1040" s="292" t="s">
        <v>748</v>
      </c>
      <c r="G1040" s="289">
        <v>1488678.88</v>
      </c>
    </row>
    <row r="1041" spans="1:7" x14ac:dyDescent="0.25">
      <c r="A1041" s="292" t="s">
        <v>732</v>
      </c>
      <c r="B1041" s="293">
        <v>2024</v>
      </c>
      <c r="C1041" s="293">
        <v>3</v>
      </c>
      <c r="D1041" s="292" t="s">
        <v>665</v>
      </c>
      <c r="E1041" s="292" t="s">
        <v>410</v>
      </c>
      <c r="F1041" s="292" t="s">
        <v>748</v>
      </c>
      <c r="G1041" s="289">
        <v>-1506894.07</v>
      </c>
    </row>
    <row r="1042" spans="1:7" x14ac:dyDescent="0.25">
      <c r="A1042" s="292" t="s">
        <v>732</v>
      </c>
      <c r="B1042" s="293">
        <v>2024</v>
      </c>
      <c r="C1042" s="293">
        <v>6</v>
      </c>
      <c r="D1042" s="292" t="s">
        <v>665</v>
      </c>
      <c r="E1042" s="292" t="s">
        <v>410</v>
      </c>
      <c r="F1042" s="292" t="s">
        <v>748</v>
      </c>
      <c r="G1042" s="289">
        <v>-395990.52</v>
      </c>
    </row>
    <row r="1043" spans="1:7" x14ac:dyDescent="0.25">
      <c r="A1043" s="292" t="s">
        <v>732</v>
      </c>
      <c r="B1043" s="293">
        <v>2024</v>
      </c>
      <c r="C1043" s="293">
        <v>8</v>
      </c>
      <c r="D1043" s="292" t="s">
        <v>665</v>
      </c>
      <c r="E1043" s="292" t="s">
        <v>410</v>
      </c>
      <c r="F1043" s="292" t="s">
        <v>748</v>
      </c>
      <c r="G1043" s="289">
        <v>-140716.09</v>
      </c>
    </row>
    <row r="1044" spans="1:7" x14ac:dyDescent="0.25">
      <c r="A1044" s="292" t="s">
        <v>732</v>
      </c>
      <c r="B1044" s="293">
        <v>2024</v>
      </c>
      <c r="C1044" s="293">
        <v>9</v>
      </c>
      <c r="D1044" s="292" t="s">
        <v>665</v>
      </c>
      <c r="E1044" s="292" t="s">
        <v>410</v>
      </c>
      <c r="F1044" s="292" t="s">
        <v>748</v>
      </c>
      <c r="G1044" s="289">
        <v>128050.28</v>
      </c>
    </row>
    <row r="1045" spans="1:7" x14ac:dyDescent="0.25">
      <c r="A1045" s="292" t="s">
        <v>732</v>
      </c>
      <c r="B1045" s="293">
        <v>2024</v>
      </c>
      <c r="C1045" s="293">
        <v>11</v>
      </c>
      <c r="D1045" s="292" t="s">
        <v>665</v>
      </c>
      <c r="E1045" s="292" t="s">
        <v>410</v>
      </c>
      <c r="F1045" s="292" t="s">
        <v>748</v>
      </c>
      <c r="G1045" s="289">
        <v>-326966.76</v>
      </c>
    </row>
    <row r="1046" spans="1:7" x14ac:dyDescent="0.25">
      <c r="A1046" s="292" t="s">
        <v>732</v>
      </c>
      <c r="B1046" s="293">
        <v>2024</v>
      </c>
      <c r="C1046" s="293">
        <v>12</v>
      </c>
      <c r="D1046" s="292" t="s">
        <v>665</v>
      </c>
      <c r="E1046" s="292" t="s">
        <v>410</v>
      </c>
      <c r="F1046" s="292" t="s">
        <v>748</v>
      </c>
      <c r="G1046" s="289">
        <v>-1106818.95</v>
      </c>
    </row>
    <row r="1047" spans="1:7" x14ac:dyDescent="0.25">
      <c r="A1047" s="292" t="s">
        <v>732</v>
      </c>
      <c r="B1047" s="293">
        <v>2024</v>
      </c>
      <c r="C1047" s="293">
        <v>0</v>
      </c>
      <c r="D1047" s="292" t="s">
        <v>665</v>
      </c>
      <c r="E1047" s="292" t="s">
        <v>411</v>
      </c>
      <c r="F1047" s="292" t="s">
        <v>693</v>
      </c>
      <c r="G1047" s="289">
        <v>-490722.7</v>
      </c>
    </row>
    <row r="1048" spans="1:7" x14ac:dyDescent="0.25">
      <c r="A1048" s="292" t="s">
        <v>732</v>
      </c>
      <c r="B1048" s="293">
        <v>2024</v>
      </c>
      <c r="C1048" s="293">
        <v>10</v>
      </c>
      <c r="D1048" s="292" t="s">
        <v>665</v>
      </c>
      <c r="E1048" s="292" t="s">
        <v>411</v>
      </c>
      <c r="F1048" s="292" t="s">
        <v>693</v>
      </c>
      <c r="G1048" s="289">
        <v>-720.3</v>
      </c>
    </row>
    <row r="1049" spans="1:7" x14ac:dyDescent="0.25">
      <c r="A1049" s="292" t="s">
        <v>732</v>
      </c>
      <c r="B1049" s="293">
        <v>2024</v>
      </c>
      <c r="C1049" s="293">
        <v>12</v>
      </c>
      <c r="D1049" s="292" t="s">
        <v>665</v>
      </c>
      <c r="E1049" s="292" t="s">
        <v>411</v>
      </c>
      <c r="F1049" s="292" t="s">
        <v>693</v>
      </c>
      <c r="G1049" s="289">
        <v>396247.74</v>
      </c>
    </row>
    <row r="1050" spans="1:7" x14ac:dyDescent="0.25">
      <c r="A1050" s="292" t="s">
        <v>732</v>
      </c>
      <c r="B1050" s="293">
        <v>2024</v>
      </c>
      <c r="C1050" s="293">
        <v>0</v>
      </c>
      <c r="D1050" s="292" t="s">
        <v>665</v>
      </c>
      <c r="E1050" s="292" t="s">
        <v>413</v>
      </c>
      <c r="F1050" s="292" t="s">
        <v>694</v>
      </c>
      <c r="G1050" s="289">
        <v>-38357383.670000002</v>
      </c>
    </row>
    <row r="1051" spans="1:7" x14ac:dyDescent="0.25">
      <c r="A1051" s="292" t="s">
        <v>732</v>
      </c>
      <c r="B1051" s="293">
        <v>2024</v>
      </c>
      <c r="C1051" s="293">
        <v>1</v>
      </c>
      <c r="D1051" s="292" t="s">
        <v>665</v>
      </c>
      <c r="E1051" s="292" t="s">
        <v>413</v>
      </c>
      <c r="F1051" s="292" t="s">
        <v>694</v>
      </c>
      <c r="G1051" s="289">
        <v>664467.1</v>
      </c>
    </row>
    <row r="1052" spans="1:7" x14ac:dyDescent="0.25">
      <c r="A1052" s="292" t="s">
        <v>732</v>
      </c>
      <c r="B1052" s="293">
        <v>2024</v>
      </c>
      <c r="C1052" s="293">
        <v>2</v>
      </c>
      <c r="D1052" s="292" t="s">
        <v>665</v>
      </c>
      <c r="E1052" s="292" t="s">
        <v>413</v>
      </c>
      <c r="F1052" s="292" t="s">
        <v>694</v>
      </c>
      <c r="G1052" s="289">
        <v>-1158328.77</v>
      </c>
    </row>
    <row r="1053" spans="1:7" x14ac:dyDescent="0.25">
      <c r="A1053" s="292" t="s">
        <v>732</v>
      </c>
      <c r="B1053" s="293">
        <v>2024</v>
      </c>
      <c r="C1053" s="293">
        <v>3</v>
      </c>
      <c r="D1053" s="292" t="s">
        <v>665</v>
      </c>
      <c r="E1053" s="292" t="s">
        <v>413</v>
      </c>
      <c r="F1053" s="292" t="s">
        <v>694</v>
      </c>
      <c r="G1053" s="289">
        <v>5055841.4400000004</v>
      </c>
    </row>
    <row r="1054" spans="1:7" x14ac:dyDescent="0.25">
      <c r="A1054" s="292" t="s">
        <v>732</v>
      </c>
      <c r="B1054" s="293">
        <v>2024</v>
      </c>
      <c r="C1054" s="293">
        <v>4</v>
      </c>
      <c r="D1054" s="292" t="s">
        <v>665</v>
      </c>
      <c r="E1054" s="292" t="s">
        <v>413</v>
      </c>
      <c r="F1054" s="292" t="s">
        <v>694</v>
      </c>
      <c r="G1054" s="289">
        <v>271894.68</v>
      </c>
    </row>
    <row r="1055" spans="1:7" x14ac:dyDescent="0.25">
      <c r="A1055" s="292" t="s">
        <v>732</v>
      </c>
      <c r="B1055" s="293">
        <v>2024</v>
      </c>
      <c r="C1055" s="293">
        <v>5</v>
      </c>
      <c r="D1055" s="292" t="s">
        <v>665</v>
      </c>
      <c r="E1055" s="292" t="s">
        <v>413</v>
      </c>
      <c r="F1055" s="292" t="s">
        <v>694</v>
      </c>
      <c r="G1055" s="289">
        <v>-114414.35</v>
      </c>
    </row>
    <row r="1056" spans="1:7" x14ac:dyDescent="0.25">
      <c r="A1056" s="292" t="s">
        <v>732</v>
      </c>
      <c r="B1056" s="293">
        <v>2024</v>
      </c>
      <c r="C1056" s="293">
        <v>6</v>
      </c>
      <c r="D1056" s="292" t="s">
        <v>665</v>
      </c>
      <c r="E1056" s="292" t="s">
        <v>413</v>
      </c>
      <c r="F1056" s="292" t="s">
        <v>694</v>
      </c>
      <c r="G1056" s="289">
        <v>1304608.45</v>
      </c>
    </row>
    <row r="1057" spans="1:7" x14ac:dyDescent="0.25">
      <c r="A1057" s="292" t="s">
        <v>732</v>
      </c>
      <c r="B1057" s="293">
        <v>2024</v>
      </c>
      <c r="C1057" s="293">
        <v>7</v>
      </c>
      <c r="D1057" s="292" t="s">
        <v>665</v>
      </c>
      <c r="E1057" s="292" t="s">
        <v>413</v>
      </c>
      <c r="F1057" s="292" t="s">
        <v>694</v>
      </c>
      <c r="G1057" s="289">
        <v>-1035118.77</v>
      </c>
    </row>
    <row r="1058" spans="1:7" x14ac:dyDescent="0.25">
      <c r="A1058" s="292" t="s">
        <v>732</v>
      </c>
      <c r="B1058" s="293">
        <v>2024</v>
      </c>
      <c r="C1058" s="293">
        <v>8</v>
      </c>
      <c r="D1058" s="292" t="s">
        <v>665</v>
      </c>
      <c r="E1058" s="292" t="s">
        <v>413</v>
      </c>
      <c r="F1058" s="292" t="s">
        <v>694</v>
      </c>
      <c r="G1058" s="289">
        <v>-2570499.46</v>
      </c>
    </row>
    <row r="1059" spans="1:7" x14ac:dyDescent="0.25">
      <c r="A1059" s="292" t="s">
        <v>732</v>
      </c>
      <c r="B1059" s="293">
        <v>2024</v>
      </c>
      <c r="C1059" s="293">
        <v>9</v>
      </c>
      <c r="D1059" s="292" t="s">
        <v>665</v>
      </c>
      <c r="E1059" s="292" t="s">
        <v>413</v>
      </c>
      <c r="F1059" s="292" t="s">
        <v>694</v>
      </c>
      <c r="G1059" s="289">
        <v>1348722.63</v>
      </c>
    </row>
    <row r="1060" spans="1:7" x14ac:dyDescent="0.25">
      <c r="A1060" s="292" t="s">
        <v>732</v>
      </c>
      <c r="B1060" s="293">
        <v>2024</v>
      </c>
      <c r="C1060" s="293">
        <v>10</v>
      </c>
      <c r="D1060" s="292" t="s">
        <v>665</v>
      </c>
      <c r="E1060" s="292" t="s">
        <v>413</v>
      </c>
      <c r="F1060" s="292" t="s">
        <v>694</v>
      </c>
      <c r="G1060" s="289">
        <v>14267266.58</v>
      </c>
    </row>
    <row r="1061" spans="1:7" x14ac:dyDescent="0.25">
      <c r="A1061" s="292" t="s">
        <v>732</v>
      </c>
      <c r="B1061" s="293">
        <v>2024</v>
      </c>
      <c r="C1061" s="293">
        <v>11</v>
      </c>
      <c r="D1061" s="292" t="s">
        <v>665</v>
      </c>
      <c r="E1061" s="292" t="s">
        <v>413</v>
      </c>
      <c r="F1061" s="292" t="s">
        <v>694</v>
      </c>
      <c r="G1061" s="289">
        <v>2453454.77</v>
      </c>
    </row>
    <row r="1062" spans="1:7" x14ac:dyDescent="0.25">
      <c r="A1062" s="292" t="s">
        <v>732</v>
      </c>
      <c r="B1062" s="293">
        <v>2024</v>
      </c>
      <c r="C1062" s="293">
        <v>12</v>
      </c>
      <c r="D1062" s="292" t="s">
        <v>665</v>
      </c>
      <c r="E1062" s="292" t="s">
        <v>413</v>
      </c>
      <c r="F1062" s="292" t="s">
        <v>694</v>
      </c>
      <c r="G1062" s="289">
        <v>5550361.7999999998</v>
      </c>
    </row>
    <row r="1063" spans="1:7" x14ac:dyDescent="0.25">
      <c r="A1063" s="292" t="s">
        <v>732</v>
      </c>
      <c r="B1063" s="293">
        <v>2024</v>
      </c>
      <c r="C1063" s="293">
        <v>0</v>
      </c>
      <c r="D1063" s="292" t="s">
        <v>665</v>
      </c>
      <c r="E1063" s="292" t="s">
        <v>414</v>
      </c>
      <c r="F1063" s="292" t="s">
        <v>724</v>
      </c>
      <c r="G1063" s="289">
        <v>-8077151.0800000001</v>
      </c>
    </row>
    <row r="1064" spans="1:7" x14ac:dyDescent="0.25">
      <c r="A1064" s="292" t="s">
        <v>732</v>
      </c>
      <c r="B1064" s="293">
        <v>2024</v>
      </c>
      <c r="C1064" s="293">
        <v>1</v>
      </c>
      <c r="D1064" s="292" t="s">
        <v>665</v>
      </c>
      <c r="E1064" s="292" t="s">
        <v>414</v>
      </c>
      <c r="F1064" s="292" t="s">
        <v>724</v>
      </c>
      <c r="G1064" s="289">
        <v>41320.620000000003</v>
      </c>
    </row>
    <row r="1065" spans="1:7" x14ac:dyDescent="0.25">
      <c r="A1065" s="292" t="s">
        <v>732</v>
      </c>
      <c r="B1065" s="293">
        <v>2024</v>
      </c>
      <c r="C1065" s="293">
        <v>2</v>
      </c>
      <c r="D1065" s="292" t="s">
        <v>665</v>
      </c>
      <c r="E1065" s="292" t="s">
        <v>414</v>
      </c>
      <c r="F1065" s="292" t="s">
        <v>724</v>
      </c>
      <c r="G1065" s="289">
        <v>78483.87</v>
      </c>
    </row>
    <row r="1066" spans="1:7" x14ac:dyDescent="0.25">
      <c r="A1066" s="292" t="s">
        <v>732</v>
      </c>
      <c r="B1066" s="293">
        <v>2024</v>
      </c>
      <c r="C1066" s="293">
        <v>3</v>
      </c>
      <c r="D1066" s="292" t="s">
        <v>665</v>
      </c>
      <c r="E1066" s="292" t="s">
        <v>414</v>
      </c>
      <c r="F1066" s="292" t="s">
        <v>724</v>
      </c>
      <c r="G1066" s="289">
        <v>20523.62</v>
      </c>
    </row>
    <row r="1067" spans="1:7" x14ac:dyDescent="0.25">
      <c r="A1067" s="292" t="s">
        <v>732</v>
      </c>
      <c r="B1067" s="293">
        <v>2024</v>
      </c>
      <c r="C1067" s="293">
        <v>4</v>
      </c>
      <c r="D1067" s="292" t="s">
        <v>665</v>
      </c>
      <c r="E1067" s="292" t="s">
        <v>414</v>
      </c>
      <c r="F1067" s="292" t="s">
        <v>724</v>
      </c>
      <c r="G1067" s="289">
        <v>36831.550000000003</v>
      </c>
    </row>
    <row r="1068" spans="1:7" x14ac:dyDescent="0.25">
      <c r="A1068" s="292" t="s">
        <v>732</v>
      </c>
      <c r="B1068" s="293">
        <v>2024</v>
      </c>
      <c r="C1068" s="293">
        <v>5</v>
      </c>
      <c r="D1068" s="292" t="s">
        <v>665</v>
      </c>
      <c r="E1068" s="292" t="s">
        <v>414</v>
      </c>
      <c r="F1068" s="292" t="s">
        <v>724</v>
      </c>
      <c r="G1068" s="289">
        <v>18256.29</v>
      </c>
    </row>
    <row r="1069" spans="1:7" x14ac:dyDescent="0.25">
      <c r="A1069" s="292" t="s">
        <v>732</v>
      </c>
      <c r="B1069" s="293">
        <v>2024</v>
      </c>
      <c r="C1069" s="293">
        <v>6</v>
      </c>
      <c r="D1069" s="292" t="s">
        <v>665</v>
      </c>
      <c r="E1069" s="292" t="s">
        <v>414</v>
      </c>
      <c r="F1069" s="292" t="s">
        <v>724</v>
      </c>
      <c r="G1069" s="289">
        <v>190342.51</v>
      </c>
    </row>
    <row r="1070" spans="1:7" x14ac:dyDescent="0.25">
      <c r="A1070" s="292" t="s">
        <v>732</v>
      </c>
      <c r="B1070" s="293">
        <v>2024</v>
      </c>
      <c r="C1070" s="293">
        <v>7</v>
      </c>
      <c r="D1070" s="292" t="s">
        <v>665</v>
      </c>
      <c r="E1070" s="292" t="s">
        <v>414</v>
      </c>
      <c r="F1070" s="292" t="s">
        <v>724</v>
      </c>
      <c r="G1070" s="289">
        <v>13414.71</v>
      </c>
    </row>
    <row r="1071" spans="1:7" x14ac:dyDescent="0.25">
      <c r="A1071" s="292" t="s">
        <v>732</v>
      </c>
      <c r="B1071" s="293">
        <v>2024</v>
      </c>
      <c r="C1071" s="293">
        <v>8</v>
      </c>
      <c r="D1071" s="292" t="s">
        <v>665</v>
      </c>
      <c r="E1071" s="292" t="s">
        <v>414</v>
      </c>
      <c r="F1071" s="292" t="s">
        <v>724</v>
      </c>
      <c r="G1071" s="289">
        <v>8194.9599999999991</v>
      </c>
    </row>
    <row r="1072" spans="1:7" x14ac:dyDescent="0.25">
      <c r="A1072" s="292" t="s">
        <v>732</v>
      </c>
      <c r="B1072" s="293">
        <v>2024</v>
      </c>
      <c r="C1072" s="293">
        <v>9</v>
      </c>
      <c r="D1072" s="292" t="s">
        <v>665</v>
      </c>
      <c r="E1072" s="292" t="s">
        <v>414</v>
      </c>
      <c r="F1072" s="292" t="s">
        <v>724</v>
      </c>
      <c r="G1072" s="289">
        <v>-39877.360000000001</v>
      </c>
    </row>
    <row r="1073" spans="1:7" x14ac:dyDescent="0.25">
      <c r="A1073" s="292" t="s">
        <v>732</v>
      </c>
      <c r="B1073" s="293">
        <v>2024</v>
      </c>
      <c r="C1073" s="293">
        <v>10</v>
      </c>
      <c r="D1073" s="292" t="s">
        <v>665</v>
      </c>
      <c r="E1073" s="292" t="s">
        <v>414</v>
      </c>
      <c r="F1073" s="292" t="s">
        <v>724</v>
      </c>
      <c r="G1073" s="289">
        <v>10154.530000000001</v>
      </c>
    </row>
    <row r="1074" spans="1:7" x14ac:dyDescent="0.25">
      <c r="A1074" s="292" t="s">
        <v>732</v>
      </c>
      <c r="B1074" s="293">
        <v>2024</v>
      </c>
      <c r="C1074" s="293">
        <v>11</v>
      </c>
      <c r="D1074" s="292" t="s">
        <v>665</v>
      </c>
      <c r="E1074" s="292" t="s">
        <v>414</v>
      </c>
      <c r="F1074" s="292" t="s">
        <v>724</v>
      </c>
      <c r="G1074" s="289">
        <v>31418.240000000002</v>
      </c>
    </row>
    <row r="1075" spans="1:7" x14ac:dyDescent="0.25">
      <c r="A1075" s="292" t="s">
        <v>732</v>
      </c>
      <c r="B1075" s="293">
        <v>2024</v>
      </c>
      <c r="C1075" s="293">
        <v>12</v>
      </c>
      <c r="D1075" s="292" t="s">
        <v>665</v>
      </c>
      <c r="E1075" s="292" t="s">
        <v>414</v>
      </c>
      <c r="F1075" s="292" t="s">
        <v>724</v>
      </c>
      <c r="G1075" s="289">
        <v>20317.88</v>
      </c>
    </row>
    <row r="1076" spans="1:7" x14ac:dyDescent="0.25">
      <c r="A1076" s="292" t="s">
        <v>732</v>
      </c>
      <c r="B1076" s="293">
        <v>2024</v>
      </c>
      <c r="C1076" s="293">
        <v>0</v>
      </c>
      <c r="D1076" s="292" t="s">
        <v>665</v>
      </c>
      <c r="E1076" s="292" t="s">
        <v>416</v>
      </c>
      <c r="F1076" s="292" t="s">
        <v>726</v>
      </c>
      <c r="G1076" s="289">
        <v>-8732616.5600000005</v>
      </c>
    </row>
    <row r="1077" spans="1:7" x14ac:dyDescent="0.25">
      <c r="A1077" s="292" t="s">
        <v>732</v>
      </c>
      <c r="B1077" s="293">
        <v>2024</v>
      </c>
      <c r="C1077" s="293">
        <v>1</v>
      </c>
      <c r="D1077" s="292" t="s">
        <v>665</v>
      </c>
      <c r="E1077" s="292" t="s">
        <v>416</v>
      </c>
      <c r="F1077" s="292" t="s">
        <v>726</v>
      </c>
      <c r="G1077" s="289">
        <v>-110613.89</v>
      </c>
    </row>
    <row r="1078" spans="1:7" x14ac:dyDescent="0.25">
      <c r="A1078" s="292" t="s">
        <v>732</v>
      </c>
      <c r="B1078" s="293">
        <v>2024</v>
      </c>
      <c r="C1078" s="293">
        <v>2</v>
      </c>
      <c r="D1078" s="292" t="s">
        <v>665</v>
      </c>
      <c r="E1078" s="292" t="s">
        <v>416</v>
      </c>
      <c r="F1078" s="292" t="s">
        <v>726</v>
      </c>
      <c r="G1078" s="289">
        <v>-593465.1</v>
      </c>
    </row>
    <row r="1079" spans="1:7" x14ac:dyDescent="0.25">
      <c r="A1079" s="292" t="s">
        <v>732</v>
      </c>
      <c r="B1079" s="293">
        <v>2024</v>
      </c>
      <c r="C1079" s="293">
        <v>3</v>
      </c>
      <c r="D1079" s="292" t="s">
        <v>665</v>
      </c>
      <c r="E1079" s="292" t="s">
        <v>416</v>
      </c>
      <c r="F1079" s="292" t="s">
        <v>726</v>
      </c>
      <c r="G1079" s="289">
        <v>-86808.41</v>
      </c>
    </row>
    <row r="1080" spans="1:7" x14ac:dyDescent="0.25">
      <c r="A1080" s="292" t="s">
        <v>732</v>
      </c>
      <c r="B1080" s="293">
        <v>2024</v>
      </c>
      <c r="C1080" s="293">
        <v>4</v>
      </c>
      <c r="D1080" s="292" t="s">
        <v>665</v>
      </c>
      <c r="E1080" s="292" t="s">
        <v>416</v>
      </c>
      <c r="F1080" s="292" t="s">
        <v>726</v>
      </c>
      <c r="G1080" s="289">
        <v>-375664.21</v>
      </c>
    </row>
    <row r="1081" spans="1:7" x14ac:dyDescent="0.25">
      <c r="A1081" s="292" t="s">
        <v>732</v>
      </c>
      <c r="B1081" s="293">
        <v>2024</v>
      </c>
      <c r="C1081" s="293">
        <v>5</v>
      </c>
      <c r="D1081" s="292" t="s">
        <v>665</v>
      </c>
      <c r="E1081" s="292" t="s">
        <v>416</v>
      </c>
      <c r="F1081" s="292" t="s">
        <v>726</v>
      </c>
      <c r="G1081" s="289">
        <v>-149147.12</v>
      </c>
    </row>
    <row r="1082" spans="1:7" x14ac:dyDescent="0.25">
      <c r="A1082" s="292" t="s">
        <v>732</v>
      </c>
      <c r="B1082" s="293">
        <v>2024</v>
      </c>
      <c r="C1082" s="293">
        <v>6</v>
      </c>
      <c r="D1082" s="292" t="s">
        <v>665</v>
      </c>
      <c r="E1082" s="292" t="s">
        <v>416</v>
      </c>
      <c r="F1082" s="292" t="s">
        <v>726</v>
      </c>
      <c r="G1082" s="289">
        <v>-170950.56</v>
      </c>
    </row>
    <row r="1083" spans="1:7" x14ac:dyDescent="0.25">
      <c r="A1083" s="292" t="s">
        <v>732</v>
      </c>
      <c r="B1083" s="293">
        <v>2024</v>
      </c>
      <c r="C1083" s="293">
        <v>7</v>
      </c>
      <c r="D1083" s="292" t="s">
        <v>665</v>
      </c>
      <c r="E1083" s="292" t="s">
        <v>416</v>
      </c>
      <c r="F1083" s="292" t="s">
        <v>726</v>
      </c>
      <c r="G1083" s="289">
        <v>-4627.88</v>
      </c>
    </row>
    <row r="1084" spans="1:7" x14ac:dyDescent="0.25">
      <c r="A1084" s="292" t="s">
        <v>732</v>
      </c>
      <c r="B1084" s="293">
        <v>2024</v>
      </c>
      <c r="C1084" s="293">
        <v>8</v>
      </c>
      <c r="D1084" s="292" t="s">
        <v>665</v>
      </c>
      <c r="E1084" s="292" t="s">
        <v>416</v>
      </c>
      <c r="F1084" s="292" t="s">
        <v>726</v>
      </c>
      <c r="G1084" s="289">
        <v>-162467.78</v>
      </c>
    </row>
    <row r="1085" spans="1:7" x14ac:dyDescent="0.25">
      <c r="A1085" s="292" t="s">
        <v>732</v>
      </c>
      <c r="B1085" s="293">
        <v>2024</v>
      </c>
      <c r="C1085" s="293">
        <v>9</v>
      </c>
      <c r="D1085" s="292" t="s">
        <v>665</v>
      </c>
      <c r="E1085" s="292" t="s">
        <v>416</v>
      </c>
      <c r="F1085" s="292" t="s">
        <v>726</v>
      </c>
      <c r="G1085" s="289">
        <v>62758.83</v>
      </c>
    </row>
    <row r="1086" spans="1:7" x14ac:dyDescent="0.25">
      <c r="A1086" s="292" t="s">
        <v>732</v>
      </c>
      <c r="B1086" s="293">
        <v>2024</v>
      </c>
      <c r="C1086" s="293">
        <v>10</v>
      </c>
      <c r="D1086" s="292" t="s">
        <v>665</v>
      </c>
      <c r="E1086" s="292" t="s">
        <v>416</v>
      </c>
      <c r="F1086" s="292" t="s">
        <v>726</v>
      </c>
      <c r="G1086" s="289">
        <v>14460.09</v>
      </c>
    </row>
    <row r="1087" spans="1:7" x14ac:dyDescent="0.25">
      <c r="A1087" s="292" t="s">
        <v>732</v>
      </c>
      <c r="B1087" s="293">
        <v>2024</v>
      </c>
      <c r="C1087" s="293">
        <v>11</v>
      </c>
      <c r="D1087" s="292" t="s">
        <v>665</v>
      </c>
      <c r="E1087" s="292" t="s">
        <v>416</v>
      </c>
      <c r="F1087" s="292" t="s">
        <v>726</v>
      </c>
      <c r="G1087" s="289">
        <v>-7548294.7699999996</v>
      </c>
    </row>
    <row r="1088" spans="1:7" x14ac:dyDescent="0.25">
      <c r="A1088" s="292" t="s">
        <v>732</v>
      </c>
      <c r="B1088" s="293">
        <v>2024</v>
      </c>
      <c r="C1088" s="293">
        <v>12</v>
      </c>
      <c r="D1088" s="292" t="s">
        <v>665</v>
      </c>
      <c r="E1088" s="292" t="s">
        <v>416</v>
      </c>
      <c r="F1088" s="292" t="s">
        <v>726</v>
      </c>
      <c r="G1088" s="289">
        <v>-25226.639999999999</v>
      </c>
    </row>
    <row r="1089" spans="1:7" x14ac:dyDescent="0.25">
      <c r="A1089" s="292" t="s">
        <v>732</v>
      </c>
      <c r="B1089" s="293">
        <v>2024</v>
      </c>
      <c r="C1089" s="293">
        <v>0</v>
      </c>
      <c r="D1089" s="292" t="s">
        <v>665</v>
      </c>
      <c r="E1089" s="292" t="s">
        <v>417</v>
      </c>
      <c r="F1089" s="292" t="s">
        <v>749</v>
      </c>
      <c r="G1089" s="289">
        <v>-101679.72</v>
      </c>
    </row>
    <row r="1090" spans="1:7" x14ac:dyDescent="0.25">
      <c r="A1090" s="292" t="s">
        <v>732</v>
      </c>
      <c r="B1090" s="293">
        <v>2024</v>
      </c>
      <c r="C1090" s="293">
        <v>1</v>
      </c>
      <c r="D1090" s="292" t="s">
        <v>665</v>
      </c>
      <c r="E1090" s="292" t="s">
        <v>417</v>
      </c>
      <c r="F1090" s="292" t="s">
        <v>749</v>
      </c>
      <c r="G1090" s="289">
        <v>101679.77</v>
      </c>
    </row>
    <row r="1091" spans="1:7" x14ac:dyDescent="0.25">
      <c r="A1091" s="292" t="s">
        <v>732</v>
      </c>
      <c r="B1091" s="293">
        <v>2024</v>
      </c>
      <c r="C1091" s="293">
        <v>8</v>
      </c>
      <c r="D1091" s="292" t="s">
        <v>665</v>
      </c>
      <c r="E1091" s="292" t="s">
        <v>417</v>
      </c>
      <c r="F1091" s="292" t="s">
        <v>749</v>
      </c>
      <c r="G1091" s="289">
        <v>-0.05</v>
      </c>
    </row>
    <row r="1092" spans="1:7" x14ac:dyDescent="0.25">
      <c r="A1092" s="292" t="s">
        <v>732</v>
      </c>
      <c r="B1092" s="293">
        <v>2024</v>
      </c>
      <c r="C1092" s="293">
        <v>9</v>
      </c>
      <c r="D1092" s="292" t="s">
        <v>665</v>
      </c>
      <c r="E1092" s="292" t="s">
        <v>417</v>
      </c>
      <c r="F1092" s="292" t="s">
        <v>749</v>
      </c>
      <c r="G1092" s="289">
        <v>-489080.39</v>
      </c>
    </row>
    <row r="1093" spans="1:7" x14ac:dyDescent="0.25">
      <c r="A1093" s="292" t="s">
        <v>732</v>
      </c>
      <c r="B1093" s="293">
        <v>2024</v>
      </c>
      <c r="C1093" s="293">
        <v>10</v>
      </c>
      <c r="D1093" s="292" t="s">
        <v>665</v>
      </c>
      <c r="E1093" s="292" t="s">
        <v>417</v>
      </c>
      <c r="F1093" s="292" t="s">
        <v>749</v>
      </c>
      <c r="G1093" s="289">
        <v>489080.38</v>
      </c>
    </row>
    <row r="1094" spans="1:7" x14ac:dyDescent="0.25">
      <c r="A1094" s="292" t="s">
        <v>732</v>
      </c>
      <c r="B1094" s="293">
        <v>2024</v>
      </c>
      <c r="C1094" s="293">
        <v>12</v>
      </c>
      <c r="D1094" s="292" t="s">
        <v>665</v>
      </c>
      <c r="E1094" s="292" t="s">
        <v>417</v>
      </c>
      <c r="F1094" s="292" t="s">
        <v>749</v>
      </c>
      <c r="G1094" s="289">
        <v>-413968.07</v>
      </c>
    </row>
    <row r="1095" spans="1:7" x14ac:dyDescent="0.25">
      <c r="A1095" s="292" t="s">
        <v>732</v>
      </c>
      <c r="B1095" s="293">
        <v>2024</v>
      </c>
      <c r="C1095" s="293">
        <v>0</v>
      </c>
      <c r="D1095" s="292" t="s">
        <v>665</v>
      </c>
      <c r="E1095" s="292" t="s">
        <v>418</v>
      </c>
      <c r="F1095" s="292" t="s">
        <v>666</v>
      </c>
      <c r="G1095" s="289">
        <v>-1766725.95</v>
      </c>
    </row>
    <row r="1096" spans="1:7" x14ac:dyDescent="0.25">
      <c r="A1096" s="292" t="s">
        <v>732</v>
      </c>
      <c r="B1096" s="293">
        <v>2024</v>
      </c>
      <c r="C1096" s="293">
        <v>3</v>
      </c>
      <c r="D1096" s="292" t="s">
        <v>665</v>
      </c>
      <c r="E1096" s="292" t="s">
        <v>418</v>
      </c>
      <c r="F1096" s="292" t="s">
        <v>666</v>
      </c>
      <c r="G1096" s="289">
        <v>-39795.11</v>
      </c>
    </row>
    <row r="1097" spans="1:7" x14ac:dyDescent="0.25">
      <c r="A1097" s="292" t="s">
        <v>732</v>
      </c>
      <c r="B1097" s="293">
        <v>2024</v>
      </c>
      <c r="C1097" s="293">
        <v>6</v>
      </c>
      <c r="D1097" s="292" t="s">
        <v>665</v>
      </c>
      <c r="E1097" s="292" t="s">
        <v>418</v>
      </c>
      <c r="F1097" s="292" t="s">
        <v>666</v>
      </c>
      <c r="G1097" s="289">
        <v>-18220.009999999998</v>
      </c>
    </row>
    <row r="1098" spans="1:7" x14ac:dyDescent="0.25">
      <c r="A1098" s="292" t="s">
        <v>732</v>
      </c>
      <c r="B1098" s="293">
        <v>2024</v>
      </c>
      <c r="C1098" s="293">
        <v>9</v>
      </c>
      <c r="D1098" s="292" t="s">
        <v>665</v>
      </c>
      <c r="E1098" s="292" t="s">
        <v>418</v>
      </c>
      <c r="F1098" s="292" t="s">
        <v>666</v>
      </c>
      <c r="G1098" s="289">
        <v>-53147.199999999997</v>
      </c>
    </row>
    <row r="1099" spans="1:7" x14ac:dyDescent="0.25">
      <c r="A1099" s="292" t="s">
        <v>732</v>
      </c>
      <c r="B1099" s="293">
        <v>2024</v>
      </c>
      <c r="C1099" s="293">
        <v>10</v>
      </c>
      <c r="D1099" s="292" t="s">
        <v>665</v>
      </c>
      <c r="E1099" s="292" t="s">
        <v>418</v>
      </c>
      <c r="F1099" s="292" t="s">
        <v>666</v>
      </c>
      <c r="G1099" s="289">
        <v>1043819.49</v>
      </c>
    </row>
    <row r="1100" spans="1:7" x14ac:dyDescent="0.25">
      <c r="A1100" s="292" t="s">
        <v>732</v>
      </c>
      <c r="B1100" s="293">
        <v>2024</v>
      </c>
      <c r="C1100" s="293">
        <v>11</v>
      </c>
      <c r="D1100" s="292" t="s">
        <v>665</v>
      </c>
      <c r="E1100" s="292" t="s">
        <v>418</v>
      </c>
      <c r="F1100" s="292" t="s">
        <v>666</v>
      </c>
      <c r="G1100" s="289">
        <v>-5321.78</v>
      </c>
    </row>
    <row r="1101" spans="1:7" x14ac:dyDescent="0.25">
      <c r="A1101" s="292" t="s">
        <v>732</v>
      </c>
      <c r="B1101" s="293">
        <v>2024</v>
      </c>
      <c r="C1101" s="293">
        <v>12</v>
      </c>
      <c r="D1101" s="292" t="s">
        <v>665</v>
      </c>
      <c r="E1101" s="292" t="s">
        <v>418</v>
      </c>
      <c r="F1101" s="292" t="s">
        <v>666</v>
      </c>
      <c r="G1101" s="289">
        <v>205140.8</v>
      </c>
    </row>
    <row r="1102" spans="1:7" x14ac:dyDescent="0.25">
      <c r="A1102" s="292" t="s">
        <v>732</v>
      </c>
      <c r="B1102" s="293">
        <v>2024</v>
      </c>
      <c r="C1102" s="293">
        <v>0</v>
      </c>
      <c r="D1102" s="292" t="s">
        <v>665</v>
      </c>
      <c r="E1102" s="292" t="s">
        <v>419</v>
      </c>
      <c r="F1102" s="292" t="s">
        <v>695</v>
      </c>
      <c r="G1102" s="289">
        <v>-12814505.98</v>
      </c>
    </row>
    <row r="1103" spans="1:7" x14ac:dyDescent="0.25">
      <c r="A1103" s="292" t="s">
        <v>732</v>
      </c>
      <c r="B1103" s="293">
        <v>2024</v>
      </c>
      <c r="C1103" s="293">
        <v>1</v>
      </c>
      <c r="D1103" s="292" t="s">
        <v>665</v>
      </c>
      <c r="E1103" s="292" t="s">
        <v>419</v>
      </c>
      <c r="F1103" s="292" t="s">
        <v>695</v>
      </c>
      <c r="G1103" s="289">
        <v>28165.62</v>
      </c>
    </row>
    <row r="1104" spans="1:7" x14ac:dyDescent="0.25">
      <c r="A1104" s="292" t="s">
        <v>732</v>
      </c>
      <c r="B1104" s="293">
        <v>2024</v>
      </c>
      <c r="C1104" s="293">
        <v>2</v>
      </c>
      <c r="D1104" s="292" t="s">
        <v>665</v>
      </c>
      <c r="E1104" s="292" t="s">
        <v>419</v>
      </c>
      <c r="F1104" s="292" t="s">
        <v>695</v>
      </c>
      <c r="G1104" s="289">
        <v>28165.62</v>
      </c>
    </row>
    <row r="1105" spans="1:7" x14ac:dyDescent="0.25">
      <c r="A1105" s="292" t="s">
        <v>732</v>
      </c>
      <c r="B1105" s="293">
        <v>2024</v>
      </c>
      <c r="C1105" s="293">
        <v>3</v>
      </c>
      <c r="D1105" s="292" t="s">
        <v>665</v>
      </c>
      <c r="E1105" s="292" t="s">
        <v>419</v>
      </c>
      <c r="F1105" s="292" t="s">
        <v>695</v>
      </c>
      <c r="G1105" s="289">
        <v>28165.62</v>
      </c>
    </row>
    <row r="1106" spans="1:7" x14ac:dyDescent="0.25">
      <c r="A1106" s="292" t="s">
        <v>732</v>
      </c>
      <c r="B1106" s="293">
        <v>2024</v>
      </c>
      <c r="C1106" s="293">
        <v>4</v>
      </c>
      <c r="D1106" s="292" t="s">
        <v>665</v>
      </c>
      <c r="E1106" s="292" t="s">
        <v>419</v>
      </c>
      <c r="F1106" s="292" t="s">
        <v>695</v>
      </c>
      <c r="G1106" s="289">
        <v>28165.62</v>
      </c>
    </row>
    <row r="1107" spans="1:7" x14ac:dyDescent="0.25">
      <c r="A1107" s="292" t="s">
        <v>732</v>
      </c>
      <c r="B1107" s="293">
        <v>2024</v>
      </c>
      <c r="C1107" s="293">
        <v>5</v>
      </c>
      <c r="D1107" s="292" t="s">
        <v>665</v>
      </c>
      <c r="E1107" s="292" t="s">
        <v>419</v>
      </c>
      <c r="F1107" s="292" t="s">
        <v>695</v>
      </c>
      <c r="G1107" s="289">
        <v>28165.83</v>
      </c>
    </row>
    <row r="1108" spans="1:7" x14ac:dyDescent="0.25">
      <c r="A1108" s="292" t="s">
        <v>732</v>
      </c>
      <c r="B1108" s="293">
        <v>2024</v>
      </c>
      <c r="C1108" s="293">
        <v>6</v>
      </c>
      <c r="D1108" s="292" t="s">
        <v>665</v>
      </c>
      <c r="E1108" s="292" t="s">
        <v>419</v>
      </c>
      <c r="F1108" s="292" t="s">
        <v>695</v>
      </c>
      <c r="G1108" s="289">
        <v>28165.62</v>
      </c>
    </row>
    <row r="1109" spans="1:7" x14ac:dyDescent="0.25">
      <c r="A1109" s="292" t="s">
        <v>732</v>
      </c>
      <c r="B1109" s="293">
        <v>2024</v>
      </c>
      <c r="C1109" s="293">
        <v>7</v>
      </c>
      <c r="D1109" s="292" t="s">
        <v>665</v>
      </c>
      <c r="E1109" s="292" t="s">
        <v>419</v>
      </c>
      <c r="F1109" s="292" t="s">
        <v>695</v>
      </c>
      <c r="G1109" s="289">
        <v>28165.62</v>
      </c>
    </row>
    <row r="1110" spans="1:7" x14ac:dyDescent="0.25">
      <c r="A1110" s="292" t="s">
        <v>732</v>
      </c>
      <c r="B1110" s="293">
        <v>2024</v>
      </c>
      <c r="C1110" s="293">
        <v>8</v>
      </c>
      <c r="D1110" s="292" t="s">
        <v>665</v>
      </c>
      <c r="E1110" s="292" t="s">
        <v>419</v>
      </c>
      <c r="F1110" s="292" t="s">
        <v>695</v>
      </c>
      <c r="G1110" s="289">
        <v>28165.62</v>
      </c>
    </row>
    <row r="1111" spans="1:7" x14ac:dyDescent="0.25">
      <c r="A1111" s="292" t="s">
        <v>732</v>
      </c>
      <c r="B1111" s="293">
        <v>2024</v>
      </c>
      <c r="C1111" s="293">
        <v>9</v>
      </c>
      <c r="D1111" s="292" t="s">
        <v>665</v>
      </c>
      <c r="E1111" s="292" t="s">
        <v>419</v>
      </c>
      <c r="F1111" s="292" t="s">
        <v>695</v>
      </c>
      <c r="G1111" s="289">
        <v>28165.62</v>
      </c>
    </row>
    <row r="1112" spans="1:7" x14ac:dyDescent="0.25">
      <c r="A1112" s="292" t="s">
        <v>732</v>
      </c>
      <c r="B1112" s="293">
        <v>2024</v>
      </c>
      <c r="C1112" s="293">
        <v>10</v>
      </c>
      <c r="D1112" s="292" t="s">
        <v>665</v>
      </c>
      <c r="E1112" s="292" t="s">
        <v>419</v>
      </c>
      <c r="F1112" s="292" t="s">
        <v>695</v>
      </c>
      <c r="G1112" s="289">
        <v>28165.97</v>
      </c>
    </row>
    <row r="1113" spans="1:7" x14ac:dyDescent="0.25">
      <c r="A1113" s="292" t="s">
        <v>732</v>
      </c>
      <c r="B1113" s="293">
        <v>2024</v>
      </c>
      <c r="C1113" s="293">
        <v>11</v>
      </c>
      <c r="D1113" s="292" t="s">
        <v>665</v>
      </c>
      <c r="E1113" s="292" t="s">
        <v>419</v>
      </c>
      <c r="F1113" s="292" t="s">
        <v>695</v>
      </c>
      <c r="G1113" s="289">
        <v>-88714.29</v>
      </c>
    </row>
    <row r="1114" spans="1:7" x14ac:dyDescent="0.25">
      <c r="A1114" s="292" t="s">
        <v>732</v>
      </c>
      <c r="B1114" s="293">
        <v>2024</v>
      </c>
      <c r="C1114" s="293">
        <v>12</v>
      </c>
      <c r="D1114" s="292" t="s">
        <v>665</v>
      </c>
      <c r="E1114" s="292" t="s">
        <v>419</v>
      </c>
      <c r="F1114" s="292" t="s">
        <v>695</v>
      </c>
      <c r="G1114" s="289">
        <v>28165.62</v>
      </c>
    </row>
    <row r="1115" spans="1:7" x14ac:dyDescent="0.25">
      <c r="A1115" s="292" t="s">
        <v>732</v>
      </c>
      <c r="B1115" s="293">
        <v>2024</v>
      </c>
      <c r="C1115" s="293">
        <v>0</v>
      </c>
      <c r="D1115" s="292" t="s">
        <v>665</v>
      </c>
      <c r="E1115" s="292" t="s">
        <v>420</v>
      </c>
      <c r="F1115" s="292" t="s">
        <v>727</v>
      </c>
      <c r="G1115" s="289">
        <v>681924.95</v>
      </c>
    </row>
    <row r="1116" spans="1:7" x14ac:dyDescent="0.25">
      <c r="A1116" s="292" t="s">
        <v>732</v>
      </c>
      <c r="B1116" s="293">
        <v>2024</v>
      </c>
      <c r="C1116" s="293">
        <v>3</v>
      </c>
      <c r="D1116" s="292" t="s">
        <v>665</v>
      </c>
      <c r="E1116" s="292" t="s">
        <v>420</v>
      </c>
      <c r="F1116" s="292" t="s">
        <v>727</v>
      </c>
      <c r="G1116" s="289">
        <v>-280936.69</v>
      </c>
    </row>
    <row r="1117" spans="1:7" x14ac:dyDescent="0.25">
      <c r="A1117" s="292" t="s">
        <v>732</v>
      </c>
      <c r="B1117" s="293">
        <v>2024</v>
      </c>
      <c r="C1117" s="293">
        <v>6</v>
      </c>
      <c r="D1117" s="292" t="s">
        <v>665</v>
      </c>
      <c r="E1117" s="292" t="s">
        <v>420</v>
      </c>
      <c r="F1117" s="292" t="s">
        <v>727</v>
      </c>
      <c r="G1117" s="289">
        <v>-280936.7</v>
      </c>
    </row>
    <row r="1118" spans="1:7" x14ac:dyDescent="0.25">
      <c r="A1118" s="292" t="s">
        <v>732</v>
      </c>
      <c r="B1118" s="293">
        <v>2024</v>
      </c>
      <c r="C1118" s="293">
        <v>9</v>
      </c>
      <c r="D1118" s="292" t="s">
        <v>665</v>
      </c>
      <c r="E1118" s="292" t="s">
        <v>420</v>
      </c>
      <c r="F1118" s="292" t="s">
        <v>727</v>
      </c>
      <c r="G1118" s="289">
        <v>-280936.7</v>
      </c>
    </row>
    <row r="1119" spans="1:7" x14ac:dyDescent="0.25">
      <c r="A1119" s="292" t="s">
        <v>732</v>
      </c>
      <c r="B1119" s="293">
        <v>2024</v>
      </c>
      <c r="C1119" s="293">
        <v>11</v>
      </c>
      <c r="D1119" s="292" t="s">
        <v>665</v>
      </c>
      <c r="E1119" s="292" t="s">
        <v>420</v>
      </c>
      <c r="F1119" s="292" t="s">
        <v>727</v>
      </c>
      <c r="G1119" s="289">
        <v>-280936.7</v>
      </c>
    </row>
    <row r="1120" spans="1:7" x14ac:dyDescent="0.25">
      <c r="A1120" s="292" t="s">
        <v>732</v>
      </c>
      <c r="B1120" s="293">
        <v>2024</v>
      </c>
      <c r="C1120" s="293">
        <v>12</v>
      </c>
      <c r="D1120" s="292" t="s">
        <v>665</v>
      </c>
      <c r="E1120" s="292" t="s">
        <v>420</v>
      </c>
      <c r="F1120" s="292" t="s">
        <v>727</v>
      </c>
      <c r="G1120" s="289">
        <v>137038.25</v>
      </c>
    </row>
    <row r="1121" spans="1:7" x14ac:dyDescent="0.25">
      <c r="A1121" s="292" t="s">
        <v>732</v>
      </c>
      <c r="B1121" s="293">
        <v>2024</v>
      </c>
      <c r="C1121" s="293">
        <v>0</v>
      </c>
      <c r="D1121" s="292" t="s">
        <v>665</v>
      </c>
      <c r="E1121" s="292" t="s">
        <v>421</v>
      </c>
      <c r="F1121" s="292" t="s">
        <v>728</v>
      </c>
      <c r="G1121" s="289">
        <v>-11088416.460000001</v>
      </c>
    </row>
    <row r="1122" spans="1:7" x14ac:dyDescent="0.25">
      <c r="A1122" s="292" t="s">
        <v>732</v>
      </c>
      <c r="B1122" s="293">
        <v>2024</v>
      </c>
      <c r="C1122" s="293">
        <v>3</v>
      </c>
      <c r="D1122" s="292" t="s">
        <v>665</v>
      </c>
      <c r="E1122" s="292" t="s">
        <v>421</v>
      </c>
      <c r="F1122" s="292" t="s">
        <v>728</v>
      </c>
      <c r="G1122" s="289">
        <v>541.26</v>
      </c>
    </row>
    <row r="1123" spans="1:7" x14ac:dyDescent="0.25">
      <c r="A1123" s="292" t="s">
        <v>732</v>
      </c>
      <c r="B1123" s="293">
        <v>2024</v>
      </c>
      <c r="C1123" s="293">
        <v>6</v>
      </c>
      <c r="D1123" s="292" t="s">
        <v>665</v>
      </c>
      <c r="E1123" s="292" t="s">
        <v>421</v>
      </c>
      <c r="F1123" s="292" t="s">
        <v>728</v>
      </c>
      <c r="G1123" s="289">
        <v>541.25</v>
      </c>
    </row>
    <row r="1124" spans="1:7" x14ac:dyDescent="0.25">
      <c r="A1124" s="292" t="s">
        <v>732</v>
      </c>
      <c r="B1124" s="293">
        <v>2024</v>
      </c>
      <c r="C1124" s="293">
        <v>9</v>
      </c>
      <c r="D1124" s="292" t="s">
        <v>665</v>
      </c>
      <c r="E1124" s="292" t="s">
        <v>421</v>
      </c>
      <c r="F1124" s="292" t="s">
        <v>728</v>
      </c>
      <c r="G1124" s="289">
        <v>541.26</v>
      </c>
    </row>
    <row r="1125" spans="1:7" x14ac:dyDescent="0.25">
      <c r="A1125" s="292" t="s">
        <v>732</v>
      </c>
      <c r="B1125" s="293">
        <v>2024</v>
      </c>
      <c r="C1125" s="293">
        <v>11</v>
      </c>
      <c r="D1125" s="292" t="s">
        <v>665</v>
      </c>
      <c r="E1125" s="292" t="s">
        <v>421</v>
      </c>
      <c r="F1125" s="292" t="s">
        <v>728</v>
      </c>
      <c r="G1125" s="289">
        <v>541.26</v>
      </c>
    </row>
    <row r="1126" spans="1:7" x14ac:dyDescent="0.25">
      <c r="A1126" s="292" t="s">
        <v>732</v>
      </c>
      <c r="B1126" s="293">
        <v>2024</v>
      </c>
      <c r="C1126" s="293">
        <v>12</v>
      </c>
      <c r="D1126" s="292" t="s">
        <v>665</v>
      </c>
      <c r="E1126" s="292" t="s">
        <v>421</v>
      </c>
      <c r="F1126" s="292" t="s">
        <v>728</v>
      </c>
      <c r="G1126" s="289">
        <v>-137038.25</v>
      </c>
    </row>
    <row r="1127" spans="1:7" x14ac:dyDescent="0.25">
      <c r="A1127" s="292" t="s">
        <v>732</v>
      </c>
      <c r="B1127" s="293">
        <v>2024</v>
      </c>
      <c r="C1127" s="293">
        <v>0</v>
      </c>
      <c r="D1127" s="292" t="s">
        <v>665</v>
      </c>
      <c r="E1127" s="292" t="s">
        <v>423</v>
      </c>
      <c r="F1127" s="292" t="s">
        <v>730</v>
      </c>
      <c r="G1127" s="289">
        <v>-709537.34</v>
      </c>
    </row>
    <row r="1128" spans="1:7" x14ac:dyDescent="0.25">
      <c r="A1128" s="292" t="s">
        <v>732</v>
      </c>
      <c r="B1128" s="293">
        <v>2024</v>
      </c>
      <c r="C1128" s="293">
        <v>2</v>
      </c>
      <c r="D1128" s="292" t="s">
        <v>665</v>
      </c>
      <c r="E1128" s="292" t="s">
        <v>423</v>
      </c>
      <c r="F1128" s="292" t="s">
        <v>730</v>
      </c>
      <c r="G1128" s="289">
        <v>6157.84</v>
      </c>
    </row>
    <row r="1129" spans="1:7" x14ac:dyDescent="0.25">
      <c r="A1129" s="292" t="s">
        <v>732</v>
      </c>
      <c r="B1129" s="293">
        <v>2024</v>
      </c>
      <c r="C1129" s="293">
        <v>3</v>
      </c>
      <c r="D1129" s="292" t="s">
        <v>665</v>
      </c>
      <c r="E1129" s="292" t="s">
        <v>423</v>
      </c>
      <c r="F1129" s="292" t="s">
        <v>730</v>
      </c>
      <c r="G1129" s="289">
        <v>3078.92</v>
      </c>
    </row>
    <row r="1130" spans="1:7" x14ac:dyDescent="0.25">
      <c r="A1130" s="292" t="s">
        <v>732</v>
      </c>
      <c r="B1130" s="293">
        <v>2024</v>
      </c>
      <c r="C1130" s="293">
        <v>4</v>
      </c>
      <c r="D1130" s="292" t="s">
        <v>665</v>
      </c>
      <c r="E1130" s="292" t="s">
        <v>423</v>
      </c>
      <c r="F1130" s="292" t="s">
        <v>730</v>
      </c>
      <c r="G1130" s="289">
        <v>3078.92</v>
      </c>
    </row>
    <row r="1131" spans="1:7" x14ac:dyDescent="0.25">
      <c r="A1131" s="292" t="s">
        <v>732</v>
      </c>
      <c r="B1131" s="293">
        <v>2024</v>
      </c>
      <c r="C1131" s="293">
        <v>5</v>
      </c>
      <c r="D1131" s="292" t="s">
        <v>665</v>
      </c>
      <c r="E1131" s="292" t="s">
        <v>423</v>
      </c>
      <c r="F1131" s="292" t="s">
        <v>730</v>
      </c>
      <c r="G1131" s="289">
        <v>3078.92</v>
      </c>
    </row>
    <row r="1132" spans="1:7" x14ac:dyDescent="0.25">
      <c r="A1132" s="292" t="s">
        <v>732</v>
      </c>
      <c r="B1132" s="293">
        <v>2024</v>
      </c>
      <c r="C1132" s="293">
        <v>6</v>
      </c>
      <c r="D1132" s="292" t="s">
        <v>665</v>
      </c>
      <c r="E1132" s="292" t="s">
        <v>423</v>
      </c>
      <c r="F1132" s="292" t="s">
        <v>730</v>
      </c>
      <c r="G1132" s="289">
        <v>3078.93</v>
      </c>
    </row>
    <row r="1133" spans="1:7" x14ac:dyDescent="0.25">
      <c r="A1133" s="292" t="s">
        <v>732</v>
      </c>
      <c r="B1133" s="293">
        <v>2024</v>
      </c>
      <c r="C1133" s="293">
        <v>7</v>
      </c>
      <c r="D1133" s="292" t="s">
        <v>665</v>
      </c>
      <c r="E1133" s="292" t="s">
        <v>423</v>
      </c>
      <c r="F1133" s="292" t="s">
        <v>730</v>
      </c>
      <c r="G1133" s="289">
        <v>3078.92</v>
      </c>
    </row>
    <row r="1134" spans="1:7" x14ac:dyDescent="0.25">
      <c r="A1134" s="292" t="s">
        <v>732</v>
      </c>
      <c r="B1134" s="293">
        <v>2024</v>
      </c>
      <c r="C1134" s="293">
        <v>8</v>
      </c>
      <c r="D1134" s="292" t="s">
        <v>665</v>
      </c>
      <c r="E1134" s="292" t="s">
        <v>423</v>
      </c>
      <c r="F1134" s="292" t="s">
        <v>730</v>
      </c>
      <c r="G1134" s="289">
        <v>3078.92</v>
      </c>
    </row>
    <row r="1135" spans="1:7" x14ac:dyDescent="0.25">
      <c r="A1135" s="292" t="s">
        <v>732</v>
      </c>
      <c r="B1135" s="293">
        <v>2024</v>
      </c>
      <c r="C1135" s="293">
        <v>9</v>
      </c>
      <c r="D1135" s="292" t="s">
        <v>665</v>
      </c>
      <c r="E1135" s="292" t="s">
        <v>423</v>
      </c>
      <c r="F1135" s="292" t="s">
        <v>730</v>
      </c>
      <c r="G1135" s="289">
        <v>3078.92</v>
      </c>
    </row>
    <row r="1136" spans="1:7" x14ac:dyDescent="0.25">
      <c r="A1136" s="292" t="s">
        <v>732</v>
      </c>
      <c r="B1136" s="293">
        <v>2024</v>
      </c>
      <c r="C1136" s="293">
        <v>10</v>
      </c>
      <c r="D1136" s="292" t="s">
        <v>665</v>
      </c>
      <c r="E1136" s="292" t="s">
        <v>423</v>
      </c>
      <c r="F1136" s="292" t="s">
        <v>730</v>
      </c>
      <c r="G1136" s="289">
        <v>3078.92</v>
      </c>
    </row>
    <row r="1137" spans="1:7" x14ac:dyDescent="0.25">
      <c r="A1137" s="292" t="s">
        <v>732</v>
      </c>
      <c r="B1137" s="293">
        <v>2024</v>
      </c>
      <c r="C1137" s="293">
        <v>11</v>
      </c>
      <c r="D1137" s="292" t="s">
        <v>665</v>
      </c>
      <c r="E1137" s="292" t="s">
        <v>423</v>
      </c>
      <c r="F1137" s="292" t="s">
        <v>730</v>
      </c>
      <c r="G1137" s="289">
        <v>3078.93</v>
      </c>
    </row>
    <row r="1138" spans="1:7" x14ac:dyDescent="0.25">
      <c r="A1138" s="292" t="s">
        <v>732</v>
      </c>
      <c r="B1138" s="293">
        <v>2024</v>
      </c>
      <c r="C1138" s="293">
        <v>12</v>
      </c>
      <c r="D1138" s="292" t="s">
        <v>665</v>
      </c>
      <c r="E1138" s="292" t="s">
        <v>423</v>
      </c>
      <c r="F1138" s="292" t="s">
        <v>730</v>
      </c>
      <c r="G1138" s="289">
        <v>3078.92</v>
      </c>
    </row>
    <row r="1139" spans="1:7" x14ac:dyDescent="0.25">
      <c r="A1139" s="292" t="s">
        <v>732</v>
      </c>
      <c r="B1139" s="293">
        <v>2024</v>
      </c>
      <c r="C1139" s="293">
        <v>0</v>
      </c>
      <c r="D1139" s="292" t="s">
        <v>665</v>
      </c>
      <c r="E1139" s="292" t="s">
        <v>425</v>
      </c>
      <c r="F1139" s="292" t="s">
        <v>731</v>
      </c>
      <c r="G1139" s="289">
        <v>-1440654.29</v>
      </c>
    </row>
    <row r="1140" spans="1:7" x14ac:dyDescent="0.25">
      <c r="A1140" s="292" t="s">
        <v>732</v>
      </c>
      <c r="B1140" s="293">
        <v>2024</v>
      </c>
      <c r="C1140" s="293">
        <v>12</v>
      </c>
      <c r="D1140" s="292" t="s">
        <v>665</v>
      </c>
      <c r="E1140" s="292" t="s">
        <v>425</v>
      </c>
      <c r="F1140" s="292" t="s">
        <v>731</v>
      </c>
      <c r="G1140" s="289">
        <v>-1242616.56</v>
      </c>
    </row>
  </sheetData>
  <pageMargins left="0.7" right="0.7" top="0.75" bottom="0.75" header="0.3" footer="0.3"/>
  <pageSetup orientation="portrait" horizontalDpi="200" verticalDpi="2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C8789-BF7A-4287-BB01-2FEA676B3DA7}">
  <dimension ref="A1:J862"/>
  <sheetViews>
    <sheetView workbookViewId="0">
      <selection activeCell="I3" sqref="I3"/>
    </sheetView>
  </sheetViews>
  <sheetFormatPr defaultColWidth="10.28515625" defaultRowHeight="15" x14ac:dyDescent="0.25"/>
  <cols>
    <col min="1" max="1" width="6" style="344" customWidth="1"/>
    <col min="2" max="2" width="5" style="343" customWidth="1"/>
    <col min="3" max="3" width="6" style="343" customWidth="1"/>
    <col min="4" max="4" width="11" style="344" customWidth="1"/>
    <col min="5" max="5" width="16" style="344" customWidth="1"/>
    <col min="6" max="6" width="31" style="344" customWidth="1"/>
    <col min="7" max="7" width="32" style="345" customWidth="1"/>
    <col min="8" max="16384" width="10.28515625" style="344"/>
  </cols>
  <sheetData>
    <row r="1" spans="1:10" x14ac:dyDescent="0.25">
      <c r="A1" s="18" t="s">
        <v>654</v>
      </c>
      <c r="I1" s="110"/>
      <c r="J1" s="110" t="s">
        <v>20</v>
      </c>
    </row>
    <row r="2" spans="1:10" x14ac:dyDescent="0.25">
      <c r="I2" s="110"/>
      <c r="J2" s="110" t="str">
        <f>+'ADIT 1 Electric'!$G$2</f>
        <v>d/b/a RHODE ISLAND ENERGY</v>
      </c>
    </row>
    <row r="3" spans="1:10" x14ac:dyDescent="0.25">
      <c r="I3" s="110"/>
      <c r="J3" s="110" t="str">
        <f>+'ADIT 1 Electric'!$G$3</f>
        <v>RIPUC Docket No. 25-45-GE</v>
      </c>
    </row>
    <row r="4" spans="1:10" x14ac:dyDescent="0.25">
      <c r="I4" s="110"/>
      <c r="J4" s="110" t="str">
        <f>+'ADIT 1 Electric'!$G$2</f>
        <v>d/b/a RHODE ISLAND ENERGY</v>
      </c>
    </row>
    <row r="5" spans="1:10" x14ac:dyDescent="0.25">
      <c r="I5" s="196"/>
      <c r="J5" s="196" t="str">
        <f>+'ADIT 1 Electric'!$G$5</f>
        <v>Schedule NH-3-ELEC</v>
      </c>
    </row>
    <row r="8" spans="1:10" ht="15.75" thickBot="1" x14ac:dyDescent="0.3"/>
    <row r="9" spans="1:10" ht="16.5" thickTop="1" thickBot="1" x14ac:dyDescent="0.3">
      <c r="A9" s="285" t="s">
        <v>750</v>
      </c>
      <c r="B9" s="287"/>
      <c r="C9" s="288"/>
      <c r="D9" s="287"/>
      <c r="E9" s="287"/>
      <c r="F9" s="287"/>
      <c r="G9" s="284"/>
    </row>
    <row r="10" spans="1:10" ht="16.5" thickTop="1" thickBot="1" x14ac:dyDescent="0.3">
      <c r="A10" s="285" t="s">
        <v>655</v>
      </c>
      <c r="B10" s="285" t="s">
        <v>287</v>
      </c>
      <c r="C10" s="285" t="s">
        <v>656</v>
      </c>
      <c r="D10" s="285" t="s">
        <v>520</v>
      </c>
      <c r="E10" s="285" t="s">
        <v>657</v>
      </c>
      <c r="F10" s="285" t="s">
        <v>658</v>
      </c>
      <c r="G10" s="286" t="s">
        <v>659</v>
      </c>
    </row>
    <row r="11" spans="1:10" ht="15.75" thickTop="1" x14ac:dyDescent="0.25">
      <c r="A11" s="287" t="s">
        <v>660</v>
      </c>
      <c r="B11" s="288">
        <v>2025</v>
      </c>
      <c r="C11" s="288">
        <v>0</v>
      </c>
      <c r="D11" s="287" t="s">
        <v>661</v>
      </c>
      <c r="E11" s="287" t="s">
        <v>363</v>
      </c>
      <c r="F11" s="287" t="s">
        <v>662</v>
      </c>
      <c r="G11" s="284">
        <v>265588.68</v>
      </c>
    </row>
    <row r="12" spans="1:10" x14ac:dyDescent="0.25">
      <c r="A12" s="287" t="s">
        <v>660</v>
      </c>
      <c r="B12" s="288">
        <v>2025</v>
      </c>
      <c r="C12" s="288">
        <v>1</v>
      </c>
      <c r="D12" s="287" t="s">
        <v>661</v>
      </c>
      <c r="E12" s="287" t="s">
        <v>363</v>
      </c>
      <c r="F12" s="287" t="s">
        <v>662</v>
      </c>
      <c r="G12" s="284">
        <v>-10177.06</v>
      </c>
    </row>
    <row r="13" spans="1:10" x14ac:dyDescent="0.25">
      <c r="A13" s="287" t="s">
        <v>660</v>
      </c>
      <c r="B13" s="288">
        <v>2025</v>
      </c>
      <c r="C13" s="288">
        <v>2</v>
      </c>
      <c r="D13" s="287" t="s">
        <v>661</v>
      </c>
      <c r="E13" s="287" t="s">
        <v>363</v>
      </c>
      <c r="F13" s="287" t="s">
        <v>662</v>
      </c>
      <c r="G13" s="284">
        <v>-19236.099999999999</v>
      </c>
    </row>
    <row r="14" spans="1:10" x14ac:dyDescent="0.25">
      <c r="A14" s="287" t="s">
        <v>660</v>
      </c>
      <c r="B14" s="288">
        <v>2025</v>
      </c>
      <c r="C14" s="288">
        <v>3</v>
      </c>
      <c r="D14" s="287" t="s">
        <v>661</v>
      </c>
      <c r="E14" s="287" t="s">
        <v>363</v>
      </c>
      <c r="F14" s="287" t="s">
        <v>662</v>
      </c>
      <c r="G14" s="284">
        <v>79051.3</v>
      </c>
    </row>
    <row r="15" spans="1:10" x14ac:dyDescent="0.25">
      <c r="A15" s="287" t="s">
        <v>660</v>
      </c>
      <c r="B15" s="288">
        <v>2025</v>
      </c>
      <c r="C15" s="288">
        <v>4</v>
      </c>
      <c r="D15" s="287" t="s">
        <v>661</v>
      </c>
      <c r="E15" s="287" t="s">
        <v>363</v>
      </c>
      <c r="F15" s="287" t="s">
        <v>662</v>
      </c>
      <c r="G15" s="284">
        <v>-6928.29</v>
      </c>
    </row>
    <row r="16" spans="1:10" x14ac:dyDescent="0.25">
      <c r="A16" s="287" t="s">
        <v>660</v>
      </c>
      <c r="B16" s="288">
        <v>2025</v>
      </c>
      <c r="C16" s="288">
        <v>5</v>
      </c>
      <c r="D16" s="287" t="s">
        <v>661</v>
      </c>
      <c r="E16" s="287" t="s">
        <v>363</v>
      </c>
      <c r="F16" s="287" t="s">
        <v>662</v>
      </c>
      <c r="G16" s="284">
        <v>-10704.3</v>
      </c>
    </row>
    <row r="17" spans="1:7" x14ac:dyDescent="0.25">
      <c r="A17" s="287" t="s">
        <v>660</v>
      </c>
      <c r="B17" s="288">
        <v>2025</v>
      </c>
      <c r="C17" s="288">
        <v>6</v>
      </c>
      <c r="D17" s="287" t="s">
        <v>661</v>
      </c>
      <c r="E17" s="287" t="s">
        <v>363</v>
      </c>
      <c r="F17" s="287" t="s">
        <v>662</v>
      </c>
      <c r="G17" s="284">
        <v>-20490.57</v>
      </c>
    </row>
    <row r="18" spans="1:7" x14ac:dyDescent="0.25">
      <c r="A18" s="287" t="s">
        <v>660</v>
      </c>
      <c r="B18" s="288">
        <v>2025</v>
      </c>
      <c r="C18" s="288">
        <v>7</v>
      </c>
      <c r="D18" s="287" t="s">
        <v>661</v>
      </c>
      <c r="E18" s="287" t="s">
        <v>363</v>
      </c>
      <c r="F18" s="287" t="s">
        <v>662</v>
      </c>
      <c r="G18" s="284">
        <v>-7423.17</v>
      </c>
    </row>
    <row r="19" spans="1:7" x14ac:dyDescent="0.25">
      <c r="A19" s="287" t="s">
        <v>660</v>
      </c>
      <c r="B19" s="288">
        <v>2025</v>
      </c>
      <c r="C19" s="288">
        <v>5</v>
      </c>
      <c r="D19" s="287" t="s">
        <v>661</v>
      </c>
      <c r="E19" s="287" t="s">
        <v>383</v>
      </c>
      <c r="F19" s="287" t="s">
        <v>663</v>
      </c>
      <c r="G19" s="284">
        <v>1109.25</v>
      </c>
    </row>
    <row r="20" spans="1:7" x14ac:dyDescent="0.25">
      <c r="A20" s="287" t="s">
        <v>660</v>
      </c>
      <c r="B20" s="288">
        <v>2025</v>
      </c>
      <c r="C20" s="288">
        <v>7</v>
      </c>
      <c r="D20" s="287" t="s">
        <v>661</v>
      </c>
      <c r="E20" s="287" t="s">
        <v>383</v>
      </c>
      <c r="F20" s="287" t="s">
        <v>663</v>
      </c>
      <c r="G20" s="284">
        <v>-1109.25</v>
      </c>
    </row>
    <row r="21" spans="1:7" x14ac:dyDescent="0.25">
      <c r="A21" s="287" t="s">
        <v>660</v>
      </c>
      <c r="B21" s="288">
        <v>2025</v>
      </c>
      <c r="C21" s="288">
        <v>0</v>
      </c>
      <c r="D21" s="287" t="s">
        <v>661</v>
      </c>
      <c r="E21" s="287" t="s">
        <v>386</v>
      </c>
      <c r="F21" s="287" t="s">
        <v>664</v>
      </c>
      <c r="G21" s="284">
        <v>-17031.84</v>
      </c>
    </row>
    <row r="22" spans="1:7" x14ac:dyDescent="0.25">
      <c r="A22" s="287" t="s">
        <v>660</v>
      </c>
      <c r="B22" s="288">
        <v>2025</v>
      </c>
      <c r="C22" s="288">
        <v>1</v>
      </c>
      <c r="D22" s="287" t="s">
        <v>665</v>
      </c>
      <c r="E22" s="287" t="s">
        <v>418</v>
      </c>
      <c r="F22" s="287" t="s">
        <v>666</v>
      </c>
      <c r="G22" s="284">
        <v>145847.43</v>
      </c>
    </row>
    <row r="23" spans="1:7" x14ac:dyDescent="0.25">
      <c r="A23" s="287" t="s">
        <v>660</v>
      </c>
      <c r="B23" s="288">
        <v>2025</v>
      </c>
      <c r="C23" s="288">
        <v>2</v>
      </c>
      <c r="D23" s="287" t="s">
        <v>665</v>
      </c>
      <c r="E23" s="287" t="s">
        <v>418</v>
      </c>
      <c r="F23" s="287" t="s">
        <v>666</v>
      </c>
      <c r="G23" s="284">
        <v>9357.3799999999992</v>
      </c>
    </row>
    <row r="24" spans="1:7" x14ac:dyDescent="0.25">
      <c r="A24" s="287" t="s">
        <v>660</v>
      </c>
      <c r="B24" s="288">
        <v>2025</v>
      </c>
      <c r="C24" s="288">
        <v>3</v>
      </c>
      <c r="D24" s="287" t="s">
        <v>665</v>
      </c>
      <c r="E24" s="287" t="s">
        <v>418</v>
      </c>
      <c r="F24" s="287" t="s">
        <v>666</v>
      </c>
      <c r="G24" s="284">
        <v>-74701.899999999994</v>
      </c>
    </row>
    <row r="25" spans="1:7" x14ac:dyDescent="0.25">
      <c r="A25" s="287" t="s">
        <v>660</v>
      </c>
      <c r="B25" s="288">
        <v>2025</v>
      </c>
      <c r="C25" s="288">
        <v>4</v>
      </c>
      <c r="D25" s="287" t="s">
        <v>665</v>
      </c>
      <c r="E25" s="287" t="s">
        <v>418</v>
      </c>
      <c r="F25" s="287" t="s">
        <v>666</v>
      </c>
      <c r="G25" s="284">
        <v>32946.74</v>
      </c>
    </row>
    <row r="26" spans="1:7" x14ac:dyDescent="0.25">
      <c r="A26" s="287" t="s">
        <v>660</v>
      </c>
      <c r="B26" s="288">
        <v>2025</v>
      </c>
      <c r="C26" s="288">
        <v>5</v>
      </c>
      <c r="D26" s="287" t="s">
        <v>665</v>
      </c>
      <c r="E26" s="287" t="s">
        <v>418</v>
      </c>
      <c r="F26" s="287" t="s">
        <v>666</v>
      </c>
      <c r="G26" s="284">
        <v>25627.79</v>
      </c>
    </row>
    <row r="27" spans="1:7" x14ac:dyDescent="0.25">
      <c r="A27" s="287" t="s">
        <v>660</v>
      </c>
      <c r="B27" s="288">
        <v>2025</v>
      </c>
      <c r="C27" s="288">
        <v>6</v>
      </c>
      <c r="D27" s="287" t="s">
        <v>665</v>
      </c>
      <c r="E27" s="287" t="s">
        <v>418</v>
      </c>
      <c r="F27" s="287" t="s">
        <v>666</v>
      </c>
      <c r="G27" s="284">
        <v>17764.5</v>
      </c>
    </row>
    <row r="28" spans="1:7" x14ac:dyDescent="0.25">
      <c r="A28" s="287" t="s">
        <v>660</v>
      </c>
      <c r="B28" s="288">
        <v>2025</v>
      </c>
      <c r="C28" s="288">
        <v>7</v>
      </c>
      <c r="D28" s="287" t="s">
        <v>665</v>
      </c>
      <c r="E28" s="287" t="s">
        <v>418</v>
      </c>
      <c r="F28" s="287" t="s">
        <v>666</v>
      </c>
      <c r="G28" s="284">
        <v>12114.87</v>
      </c>
    </row>
    <row r="29" spans="1:7" x14ac:dyDescent="0.25">
      <c r="A29" s="287" t="s">
        <v>660</v>
      </c>
      <c r="B29" s="288">
        <v>2025</v>
      </c>
      <c r="C29" s="288">
        <v>8</v>
      </c>
      <c r="D29" s="287" t="s">
        <v>665</v>
      </c>
      <c r="E29" s="287" t="s">
        <v>418</v>
      </c>
      <c r="F29" s="287" t="s">
        <v>666</v>
      </c>
      <c r="G29" s="284">
        <v>39237.19</v>
      </c>
    </row>
    <row r="30" spans="1:7" x14ac:dyDescent="0.25">
      <c r="A30" s="287" t="s">
        <v>660</v>
      </c>
      <c r="B30" s="288">
        <v>2025</v>
      </c>
      <c r="C30" s="288">
        <v>0</v>
      </c>
      <c r="D30" s="287" t="s">
        <v>665</v>
      </c>
      <c r="E30" s="287" t="s">
        <v>424</v>
      </c>
      <c r="F30" s="287" t="s">
        <v>667</v>
      </c>
      <c r="G30" s="284">
        <v>-381503.97</v>
      </c>
    </row>
    <row r="31" spans="1:7" x14ac:dyDescent="0.25">
      <c r="A31" s="287" t="s">
        <v>660</v>
      </c>
      <c r="B31" s="288">
        <v>2025</v>
      </c>
      <c r="C31" s="288">
        <v>1</v>
      </c>
      <c r="D31" s="287" t="s">
        <v>665</v>
      </c>
      <c r="E31" s="287" t="s">
        <v>424</v>
      </c>
      <c r="F31" s="287" t="s">
        <v>667</v>
      </c>
      <c r="G31" s="284">
        <v>1378.07</v>
      </c>
    </row>
    <row r="32" spans="1:7" x14ac:dyDescent="0.25">
      <c r="A32" s="287" t="s">
        <v>660</v>
      </c>
      <c r="B32" s="288">
        <v>2025</v>
      </c>
      <c r="C32" s="288">
        <v>2</v>
      </c>
      <c r="D32" s="287" t="s">
        <v>665</v>
      </c>
      <c r="E32" s="287" t="s">
        <v>424</v>
      </c>
      <c r="F32" s="287" t="s">
        <v>667</v>
      </c>
      <c r="G32" s="284">
        <v>1244.71</v>
      </c>
    </row>
    <row r="33" spans="1:7" x14ac:dyDescent="0.25">
      <c r="A33" s="287" t="s">
        <v>660</v>
      </c>
      <c r="B33" s="288">
        <v>2025</v>
      </c>
      <c r="C33" s="288">
        <v>3</v>
      </c>
      <c r="D33" s="287" t="s">
        <v>665</v>
      </c>
      <c r="E33" s="287" t="s">
        <v>424</v>
      </c>
      <c r="F33" s="287" t="s">
        <v>667</v>
      </c>
      <c r="G33" s="284">
        <v>1378.08</v>
      </c>
    </row>
    <row r="34" spans="1:7" x14ac:dyDescent="0.25">
      <c r="A34" s="287" t="s">
        <v>660</v>
      </c>
      <c r="B34" s="288">
        <v>2025</v>
      </c>
      <c r="C34" s="288">
        <v>4</v>
      </c>
      <c r="D34" s="287" t="s">
        <v>665</v>
      </c>
      <c r="E34" s="287" t="s">
        <v>424</v>
      </c>
      <c r="F34" s="287" t="s">
        <v>667</v>
      </c>
      <c r="G34" s="284">
        <v>1333.62</v>
      </c>
    </row>
    <row r="35" spans="1:7" x14ac:dyDescent="0.25">
      <c r="A35" s="287" t="s">
        <v>660</v>
      </c>
      <c r="B35" s="288">
        <v>2025</v>
      </c>
      <c r="C35" s="288">
        <v>5</v>
      </c>
      <c r="D35" s="287" t="s">
        <v>665</v>
      </c>
      <c r="E35" s="287" t="s">
        <v>424</v>
      </c>
      <c r="F35" s="287" t="s">
        <v>667</v>
      </c>
      <c r="G35" s="284">
        <v>1378.07</v>
      </c>
    </row>
    <row r="36" spans="1:7" x14ac:dyDescent="0.25">
      <c r="A36" s="287" t="s">
        <v>660</v>
      </c>
      <c r="B36" s="288">
        <v>2025</v>
      </c>
      <c r="C36" s="288">
        <v>6</v>
      </c>
      <c r="D36" s="287" t="s">
        <v>665</v>
      </c>
      <c r="E36" s="287" t="s">
        <v>424</v>
      </c>
      <c r="F36" s="287" t="s">
        <v>667</v>
      </c>
      <c r="G36" s="284">
        <v>1333.62</v>
      </c>
    </row>
    <row r="37" spans="1:7" x14ac:dyDescent="0.25">
      <c r="A37" s="287" t="s">
        <v>660</v>
      </c>
      <c r="B37" s="288">
        <v>2025</v>
      </c>
      <c r="C37" s="288">
        <v>7</v>
      </c>
      <c r="D37" s="287" t="s">
        <v>665</v>
      </c>
      <c r="E37" s="287" t="s">
        <v>424</v>
      </c>
      <c r="F37" s="287" t="s">
        <v>667</v>
      </c>
      <c r="G37" s="284">
        <v>1378.07</v>
      </c>
    </row>
    <row r="38" spans="1:7" x14ac:dyDescent="0.25">
      <c r="A38" s="287" t="s">
        <v>660</v>
      </c>
      <c r="B38" s="288">
        <v>2025</v>
      </c>
      <c r="C38" s="288">
        <v>8</v>
      </c>
      <c r="D38" s="287" t="s">
        <v>665</v>
      </c>
      <c r="E38" s="287" t="s">
        <v>424</v>
      </c>
      <c r="F38" s="287" t="s">
        <v>667</v>
      </c>
      <c r="G38" s="284">
        <v>1378.07</v>
      </c>
    </row>
    <row r="39" spans="1:7" x14ac:dyDescent="0.25">
      <c r="A39" s="287" t="s">
        <v>673</v>
      </c>
      <c r="B39" s="288">
        <v>2025</v>
      </c>
      <c r="C39" s="288">
        <v>0</v>
      </c>
      <c r="D39" s="287" t="s">
        <v>661</v>
      </c>
      <c r="E39" s="287" t="s">
        <v>347</v>
      </c>
      <c r="F39" s="287" t="s">
        <v>674</v>
      </c>
      <c r="G39" s="284">
        <v>-12492328</v>
      </c>
    </row>
    <row r="40" spans="1:7" x14ac:dyDescent="0.25">
      <c r="A40" s="287" t="s">
        <v>673</v>
      </c>
      <c r="B40" s="288">
        <v>2025</v>
      </c>
      <c r="C40" s="288">
        <v>1</v>
      </c>
      <c r="D40" s="287" t="s">
        <v>661</v>
      </c>
      <c r="E40" s="287" t="s">
        <v>347</v>
      </c>
      <c r="F40" s="287" t="s">
        <v>674</v>
      </c>
      <c r="G40" s="284">
        <v>8506.0400000000009</v>
      </c>
    </row>
    <row r="41" spans="1:7" x14ac:dyDescent="0.25">
      <c r="A41" s="287" t="s">
        <v>673</v>
      </c>
      <c r="B41" s="288">
        <v>2025</v>
      </c>
      <c r="C41" s="288">
        <v>2</v>
      </c>
      <c r="D41" s="287" t="s">
        <v>661</v>
      </c>
      <c r="E41" s="287" t="s">
        <v>347</v>
      </c>
      <c r="F41" s="287" t="s">
        <v>674</v>
      </c>
      <c r="G41" s="284">
        <v>8506</v>
      </c>
    </row>
    <row r="42" spans="1:7" x14ac:dyDescent="0.25">
      <c r="A42" s="287" t="s">
        <v>673</v>
      </c>
      <c r="B42" s="288">
        <v>2025</v>
      </c>
      <c r="C42" s="288">
        <v>3</v>
      </c>
      <c r="D42" s="287" t="s">
        <v>661</v>
      </c>
      <c r="E42" s="287" t="s">
        <v>347</v>
      </c>
      <c r="F42" s="287" t="s">
        <v>674</v>
      </c>
      <c r="G42" s="284">
        <v>8506</v>
      </c>
    </row>
    <row r="43" spans="1:7" x14ac:dyDescent="0.25">
      <c r="A43" s="287" t="s">
        <v>673</v>
      </c>
      <c r="B43" s="288">
        <v>2025</v>
      </c>
      <c r="C43" s="288">
        <v>4</v>
      </c>
      <c r="D43" s="287" t="s">
        <v>661</v>
      </c>
      <c r="E43" s="287" t="s">
        <v>347</v>
      </c>
      <c r="F43" s="287" t="s">
        <v>674</v>
      </c>
      <c r="G43" s="284">
        <v>8506</v>
      </c>
    </row>
    <row r="44" spans="1:7" x14ac:dyDescent="0.25">
      <c r="A44" s="287" t="s">
        <v>673</v>
      </c>
      <c r="B44" s="288">
        <v>2025</v>
      </c>
      <c r="C44" s="288">
        <v>5</v>
      </c>
      <c r="D44" s="287" t="s">
        <v>661</v>
      </c>
      <c r="E44" s="287" t="s">
        <v>347</v>
      </c>
      <c r="F44" s="287" t="s">
        <v>674</v>
      </c>
      <c r="G44" s="284">
        <v>8506</v>
      </c>
    </row>
    <row r="45" spans="1:7" x14ac:dyDescent="0.25">
      <c r="A45" s="287" t="s">
        <v>673</v>
      </c>
      <c r="B45" s="288">
        <v>2025</v>
      </c>
      <c r="C45" s="288">
        <v>6</v>
      </c>
      <c r="D45" s="287" t="s">
        <v>661</v>
      </c>
      <c r="E45" s="287" t="s">
        <v>347</v>
      </c>
      <c r="F45" s="287" t="s">
        <v>674</v>
      </c>
      <c r="G45" s="284">
        <v>671494.01</v>
      </c>
    </row>
    <row r="46" spans="1:7" x14ac:dyDescent="0.25">
      <c r="A46" s="287" t="s">
        <v>673</v>
      </c>
      <c r="B46" s="288">
        <v>2025</v>
      </c>
      <c r="C46" s="288">
        <v>7</v>
      </c>
      <c r="D46" s="287" t="s">
        <v>661</v>
      </c>
      <c r="E46" s="287" t="s">
        <v>347</v>
      </c>
      <c r="F46" s="287" t="s">
        <v>674</v>
      </c>
      <c r="G46" s="284">
        <v>29957</v>
      </c>
    </row>
    <row r="47" spans="1:7" x14ac:dyDescent="0.25">
      <c r="A47" s="287" t="s">
        <v>673</v>
      </c>
      <c r="B47" s="288">
        <v>2025</v>
      </c>
      <c r="C47" s="288">
        <v>8</v>
      </c>
      <c r="D47" s="287" t="s">
        <v>661</v>
      </c>
      <c r="E47" s="287" t="s">
        <v>347</v>
      </c>
      <c r="F47" s="287" t="s">
        <v>674</v>
      </c>
      <c r="G47" s="284">
        <v>29957</v>
      </c>
    </row>
    <row r="48" spans="1:7" x14ac:dyDescent="0.25">
      <c r="A48" s="287" t="s">
        <v>673</v>
      </c>
      <c r="B48" s="288">
        <v>2025</v>
      </c>
      <c r="C48" s="288">
        <v>0</v>
      </c>
      <c r="D48" s="287" t="s">
        <v>661</v>
      </c>
      <c r="E48" s="287" t="s">
        <v>348</v>
      </c>
      <c r="F48" s="287" t="s">
        <v>675</v>
      </c>
      <c r="G48" s="284">
        <v>16979574.960000001</v>
      </c>
    </row>
    <row r="49" spans="1:7" x14ac:dyDescent="0.25">
      <c r="A49" s="287" t="s">
        <v>673</v>
      </c>
      <c r="B49" s="288">
        <v>2025</v>
      </c>
      <c r="C49" s="288">
        <v>1</v>
      </c>
      <c r="D49" s="287" t="s">
        <v>661</v>
      </c>
      <c r="E49" s="287" t="s">
        <v>348</v>
      </c>
      <c r="F49" s="287" t="s">
        <v>675</v>
      </c>
      <c r="G49" s="284">
        <v>-37665.96</v>
      </c>
    </row>
    <row r="50" spans="1:7" x14ac:dyDescent="0.25">
      <c r="A50" s="287" t="s">
        <v>673</v>
      </c>
      <c r="B50" s="288">
        <v>2025</v>
      </c>
      <c r="C50" s="288">
        <v>2</v>
      </c>
      <c r="D50" s="287" t="s">
        <v>661</v>
      </c>
      <c r="E50" s="287" t="s">
        <v>348</v>
      </c>
      <c r="F50" s="287" t="s">
        <v>675</v>
      </c>
      <c r="G50" s="284">
        <v>-41823.58</v>
      </c>
    </row>
    <row r="51" spans="1:7" x14ac:dyDescent="0.25">
      <c r="A51" s="287" t="s">
        <v>673</v>
      </c>
      <c r="B51" s="288">
        <v>2025</v>
      </c>
      <c r="C51" s="288">
        <v>3</v>
      </c>
      <c r="D51" s="287" t="s">
        <v>661</v>
      </c>
      <c r="E51" s="287" t="s">
        <v>348</v>
      </c>
      <c r="F51" s="287" t="s">
        <v>675</v>
      </c>
      <c r="G51" s="284">
        <v>-37817.94</v>
      </c>
    </row>
    <row r="52" spans="1:7" x14ac:dyDescent="0.25">
      <c r="A52" s="287" t="s">
        <v>673</v>
      </c>
      <c r="B52" s="288">
        <v>2025</v>
      </c>
      <c r="C52" s="288">
        <v>4</v>
      </c>
      <c r="D52" s="287" t="s">
        <v>661</v>
      </c>
      <c r="E52" s="287" t="s">
        <v>348</v>
      </c>
      <c r="F52" s="287" t="s">
        <v>675</v>
      </c>
      <c r="G52" s="284">
        <v>-37003.22</v>
      </c>
    </row>
    <row r="53" spans="1:7" x14ac:dyDescent="0.25">
      <c r="A53" s="287" t="s">
        <v>673</v>
      </c>
      <c r="B53" s="288">
        <v>2025</v>
      </c>
      <c r="C53" s="288">
        <v>5</v>
      </c>
      <c r="D53" s="287" t="s">
        <v>661</v>
      </c>
      <c r="E53" s="287" t="s">
        <v>348</v>
      </c>
      <c r="F53" s="287" t="s">
        <v>675</v>
      </c>
      <c r="G53" s="284">
        <v>-31619.599999999999</v>
      </c>
    </row>
    <row r="54" spans="1:7" x14ac:dyDescent="0.25">
      <c r="A54" s="287" t="s">
        <v>673</v>
      </c>
      <c r="B54" s="288">
        <v>2025</v>
      </c>
      <c r="C54" s="288">
        <v>6</v>
      </c>
      <c r="D54" s="287" t="s">
        <v>661</v>
      </c>
      <c r="E54" s="287" t="s">
        <v>348</v>
      </c>
      <c r="F54" s="287" t="s">
        <v>675</v>
      </c>
      <c r="G54" s="284">
        <v>-40434.69</v>
      </c>
    </row>
    <row r="55" spans="1:7" x14ac:dyDescent="0.25">
      <c r="A55" s="287" t="s">
        <v>673</v>
      </c>
      <c r="B55" s="288">
        <v>2025</v>
      </c>
      <c r="C55" s="288">
        <v>7</v>
      </c>
      <c r="D55" s="287" t="s">
        <v>661</v>
      </c>
      <c r="E55" s="287" t="s">
        <v>348</v>
      </c>
      <c r="F55" s="287" t="s">
        <v>675</v>
      </c>
      <c r="G55" s="284">
        <v>-42994.16</v>
      </c>
    </row>
    <row r="56" spans="1:7" x14ac:dyDescent="0.25">
      <c r="A56" s="287" t="s">
        <v>673</v>
      </c>
      <c r="B56" s="288">
        <v>2025</v>
      </c>
      <c r="C56" s="288">
        <v>8</v>
      </c>
      <c r="D56" s="287" t="s">
        <v>661</v>
      </c>
      <c r="E56" s="287" t="s">
        <v>348</v>
      </c>
      <c r="F56" s="287" t="s">
        <v>675</v>
      </c>
      <c r="G56" s="284">
        <v>-39916.65</v>
      </c>
    </row>
    <row r="57" spans="1:7" x14ac:dyDescent="0.25">
      <c r="A57" s="287" t="s">
        <v>673</v>
      </c>
      <c r="B57" s="288">
        <v>2025</v>
      </c>
      <c r="C57" s="288">
        <v>0</v>
      </c>
      <c r="D57" s="287" t="s">
        <v>661</v>
      </c>
      <c r="E57" s="287" t="s">
        <v>349</v>
      </c>
      <c r="F57" s="287" t="s">
        <v>676</v>
      </c>
      <c r="G57" s="284">
        <v>-7333377</v>
      </c>
    </row>
    <row r="58" spans="1:7" x14ac:dyDescent="0.25">
      <c r="A58" s="287" t="s">
        <v>673</v>
      </c>
      <c r="B58" s="288">
        <v>2025</v>
      </c>
      <c r="C58" s="288">
        <v>1</v>
      </c>
      <c r="D58" s="287" t="s">
        <v>661</v>
      </c>
      <c r="E58" s="287" t="s">
        <v>349</v>
      </c>
      <c r="F58" s="287" t="s">
        <v>676</v>
      </c>
      <c r="G58" s="284">
        <v>120219</v>
      </c>
    </row>
    <row r="59" spans="1:7" x14ac:dyDescent="0.25">
      <c r="A59" s="287" t="s">
        <v>673</v>
      </c>
      <c r="B59" s="288">
        <v>2025</v>
      </c>
      <c r="C59" s="288">
        <v>2</v>
      </c>
      <c r="D59" s="287" t="s">
        <v>661</v>
      </c>
      <c r="E59" s="287" t="s">
        <v>349</v>
      </c>
      <c r="F59" s="287" t="s">
        <v>676</v>
      </c>
      <c r="G59" s="284">
        <v>120219</v>
      </c>
    </row>
    <row r="60" spans="1:7" x14ac:dyDescent="0.25">
      <c r="A60" s="287" t="s">
        <v>673</v>
      </c>
      <c r="B60" s="288">
        <v>2025</v>
      </c>
      <c r="C60" s="288">
        <v>3</v>
      </c>
      <c r="D60" s="287" t="s">
        <v>661</v>
      </c>
      <c r="E60" s="287" t="s">
        <v>349</v>
      </c>
      <c r="F60" s="287" t="s">
        <v>676</v>
      </c>
      <c r="G60" s="284">
        <v>120219</v>
      </c>
    </row>
    <row r="61" spans="1:7" x14ac:dyDescent="0.25">
      <c r="A61" s="287" t="s">
        <v>673</v>
      </c>
      <c r="B61" s="288">
        <v>2025</v>
      </c>
      <c r="C61" s="288">
        <v>4</v>
      </c>
      <c r="D61" s="287" t="s">
        <v>661</v>
      </c>
      <c r="E61" s="287" t="s">
        <v>349</v>
      </c>
      <c r="F61" s="287" t="s">
        <v>676</v>
      </c>
      <c r="G61" s="284">
        <v>120219</v>
      </c>
    </row>
    <row r="62" spans="1:7" x14ac:dyDescent="0.25">
      <c r="A62" s="287" t="s">
        <v>673</v>
      </c>
      <c r="B62" s="288">
        <v>2025</v>
      </c>
      <c r="C62" s="288">
        <v>5</v>
      </c>
      <c r="D62" s="287" t="s">
        <v>661</v>
      </c>
      <c r="E62" s="287" t="s">
        <v>349</v>
      </c>
      <c r="F62" s="287" t="s">
        <v>676</v>
      </c>
      <c r="G62" s="284">
        <v>120219</v>
      </c>
    </row>
    <row r="63" spans="1:7" x14ac:dyDescent="0.25">
      <c r="A63" s="287" t="s">
        <v>673</v>
      </c>
      <c r="B63" s="288">
        <v>2025</v>
      </c>
      <c r="C63" s="288">
        <v>6</v>
      </c>
      <c r="D63" s="287" t="s">
        <v>661</v>
      </c>
      <c r="E63" s="287" t="s">
        <v>349</v>
      </c>
      <c r="F63" s="287" t="s">
        <v>676</v>
      </c>
      <c r="G63" s="284">
        <v>120219</v>
      </c>
    </row>
    <row r="64" spans="1:7" x14ac:dyDescent="0.25">
      <c r="A64" s="287" t="s">
        <v>673</v>
      </c>
      <c r="B64" s="288">
        <v>2025</v>
      </c>
      <c r="C64" s="288">
        <v>7</v>
      </c>
      <c r="D64" s="287" t="s">
        <v>661</v>
      </c>
      <c r="E64" s="287" t="s">
        <v>349</v>
      </c>
      <c r="F64" s="287" t="s">
        <v>676</v>
      </c>
      <c r="G64" s="284">
        <v>120219</v>
      </c>
    </row>
    <row r="65" spans="1:7" x14ac:dyDescent="0.25">
      <c r="A65" s="287" t="s">
        <v>673</v>
      </c>
      <c r="B65" s="288">
        <v>2025</v>
      </c>
      <c r="C65" s="288">
        <v>8</v>
      </c>
      <c r="D65" s="287" t="s">
        <v>661</v>
      </c>
      <c r="E65" s="287" t="s">
        <v>349</v>
      </c>
      <c r="F65" s="287" t="s">
        <v>676</v>
      </c>
      <c r="G65" s="284">
        <v>120219</v>
      </c>
    </row>
    <row r="66" spans="1:7" x14ac:dyDescent="0.25">
      <c r="A66" s="287" t="s">
        <v>673</v>
      </c>
      <c r="B66" s="288">
        <v>2025</v>
      </c>
      <c r="C66" s="288">
        <v>0</v>
      </c>
      <c r="D66" s="287" t="s">
        <v>661</v>
      </c>
      <c r="E66" s="287" t="s">
        <v>350</v>
      </c>
      <c r="F66" s="287" t="s">
        <v>677</v>
      </c>
      <c r="G66" s="284">
        <v>2785121.01</v>
      </c>
    </row>
    <row r="67" spans="1:7" x14ac:dyDescent="0.25">
      <c r="A67" s="287" t="s">
        <v>673</v>
      </c>
      <c r="B67" s="288">
        <v>2025</v>
      </c>
      <c r="C67" s="288">
        <v>1</v>
      </c>
      <c r="D67" s="287" t="s">
        <v>661</v>
      </c>
      <c r="E67" s="287" t="s">
        <v>350</v>
      </c>
      <c r="F67" s="287" t="s">
        <v>677</v>
      </c>
      <c r="G67" s="284">
        <v>-45657.72</v>
      </c>
    </row>
    <row r="68" spans="1:7" x14ac:dyDescent="0.25">
      <c r="A68" s="287" t="s">
        <v>673</v>
      </c>
      <c r="B68" s="288">
        <v>2025</v>
      </c>
      <c r="C68" s="288">
        <v>2</v>
      </c>
      <c r="D68" s="287" t="s">
        <v>661</v>
      </c>
      <c r="E68" s="287" t="s">
        <v>350</v>
      </c>
      <c r="F68" s="287" t="s">
        <v>677</v>
      </c>
      <c r="G68" s="284">
        <v>-45657.72</v>
      </c>
    </row>
    <row r="69" spans="1:7" x14ac:dyDescent="0.25">
      <c r="A69" s="287" t="s">
        <v>673</v>
      </c>
      <c r="B69" s="288">
        <v>2025</v>
      </c>
      <c r="C69" s="288">
        <v>3</v>
      </c>
      <c r="D69" s="287" t="s">
        <v>661</v>
      </c>
      <c r="E69" s="287" t="s">
        <v>350</v>
      </c>
      <c r="F69" s="287" t="s">
        <v>677</v>
      </c>
      <c r="G69" s="284">
        <v>-45657.72</v>
      </c>
    </row>
    <row r="70" spans="1:7" x14ac:dyDescent="0.25">
      <c r="A70" s="287" t="s">
        <v>673</v>
      </c>
      <c r="B70" s="288">
        <v>2025</v>
      </c>
      <c r="C70" s="288">
        <v>4</v>
      </c>
      <c r="D70" s="287" t="s">
        <v>661</v>
      </c>
      <c r="E70" s="287" t="s">
        <v>350</v>
      </c>
      <c r="F70" s="287" t="s">
        <v>677</v>
      </c>
      <c r="G70" s="284">
        <v>-45657.72</v>
      </c>
    </row>
    <row r="71" spans="1:7" x14ac:dyDescent="0.25">
      <c r="A71" s="287" t="s">
        <v>673</v>
      </c>
      <c r="B71" s="288">
        <v>2025</v>
      </c>
      <c r="C71" s="288">
        <v>5</v>
      </c>
      <c r="D71" s="287" t="s">
        <v>661</v>
      </c>
      <c r="E71" s="287" t="s">
        <v>350</v>
      </c>
      <c r="F71" s="287" t="s">
        <v>677</v>
      </c>
      <c r="G71" s="284">
        <v>-45657.72</v>
      </c>
    </row>
    <row r="72" spans="1:7" x14ac:dyDescent="0.25">
      <c r="A72" s="287" t="s">
        <v>673</v>
      </c>
      <c r="B72" s="288">
        <v>2025</v>
      </c>
      <c r="C72" s="288">
        <v>6</v>
      </c>
      <c r="D72" s="287" t="s">
        <v>661</v>
      </c>
      <c r="E72" s="287" t="s">
        <v>350</v>
      </c>
      <c r="F72" s="287" t="s">
        <v>677</v>
      </c>
      <c r="G72" s="284">
        <v>-45657.73</v>
      </c>
    </row>
    <row r="73" spans="1:7" x14ac:dyDescent="0.25">
      <c r="A73" s="287" t="s">
        <v>673</v>
      </c>
      <c r="B73" s="288">
        <v>2025</v>
      </c>
      <c r="C73" s="288">
        <v>7</v>
      </c>
      <c r="D73" s="287" t="s">
        <v>661</v>
      </c>
      <c r="E73" s="287" t="s">
        <v>350</v>
      </c>
      <c r="F73" s="287" t="s">
        <v>677</v>
      </c>
      <c r="G73" s="284">
        <v>-45657.72</v>
      </c>
    </row>
    <row r="74" spans="1:7" x14ac:dyDescent="0.25">
      <c r="A74" s="287" t="s">
        <v>673</v>
      </c>
      <c r="B74" s="288">
        <v>2025</v>
      </c>
      <c r="C74" s="288">
        <v>8</v>
      </c>
      <c r="D74" s="287" t="s">
        <v>661</v>
      </c>
      <c r="E74" s="287" t="s">
        <v>350</v>
      </c>
      <c r="F74" s="287" t="s">
        <v>677</v>
      </c>
      <c r="G74" s="284">
        <v>-45657.72</v>
      </c>
    </row>
    <row r="75" spans="1:7" x14ac:dyDescent="0.25">
      <c r="A75" s="287" t="s">
        <v>673</v>
      </c>
      <c r="B75" s="288">
        <v>2025</v>
      </c>
      <c r="C75" s="288">
        <v>0</v>
      </c>
      <c r="D75" s="287" t="s">
        <v>661</v>
      </c>
      <c r="E75" s="287" t="s">
        <v>351</v>
      </c>
      <c r="F75" s="287" t="s">
        <v>678</v>
      </c>
      <c r="G75" s="284">
        <v>7333377</v>
      </c>
    </row>
    <row r="76" spans="1:7" x14ac:dyDescent="0.25">
      <c r="A76" s="287" t="s">
        <v>673</v>
      </c>
      <c r="B76" s="288">
        <v>2025</v>
      </c>
      <c r="C76" s="288">
        <v>1</v>
      </c>
      <c r="D76" s="287" t="s">
        <v>661</v>
      </c>
      <c r="E76" s="287" t="s">
        <v>351</v>
      </c>
      <c r="F76" s="287" t="s">
        <v>678</v>
      </c>
      <c r="G76" s="284">
        <v>-120219</v>
      </c>
    </row>
    <row r="77" spans="1:7" x14ac:dyDescent="0.25">
      <c r="A77" s="287" t="s">
        <v>673</v>
      </c>
      <c r="B77" s="288">
        <v>2025</v>
      </c>
      <c r="C77" s="288">
        <v>2</v>
      </c>
      <c r="D77" s="287" t="s">
        <v>661</v>
      </c>
      <c r="E77" s="287" t="s">
        <v>351</v>
      </c>
      <c r="F77" s="287" t="s">
        <v>678</v>
      </c>
      <c r="G77" s="284">
        <v>-120219</v>
      </c>
    </row>
    <row r="78" spans="1:7" x14ac:dyDescent="0.25">
      <c r="A78" s="287" t="s">
        <v>673</v>
      </c>
      <c r="B78" s="288">
        <v>2025</v>
      </c>
      <c r="C78" s="288">
        <v>3</v>
      </c>
      <c r="D78" s="287" t="s">
        <v>661</v>
      </c>
      <c r="E78" s="287" t="s">
        <v>351</v>
      </c>
      <c r="F78" s="287" t="s">
        <v>678</v>
      </c>
      <c r="G78" s="284">
        <v>-120219</v>
      </c>
    </row>
    <row r="79" spans="1:7" x14ac:dyDescent="0.25">
      <c r="A79" s="287" t="s">
        <v>673</v>
      </c>
      <c r="B79" s="288">
        <v>2025</v>
      </c>
      <c r="C79" s="288">
        <v>4</v>
      </c>
      <c r="D79" s="287" t="s">
        <v>661</v>
      </c>
      <c r="E79" s="287" t="s">
        <v>351</v>
      </c>
      <c r="F79" s="287" t="s">
        <v>678</v>
      </c>
      <c r="G79" s="284">
        <v>-120219</v>
      </c>
    </row>
    <row r="80" spans="1:7" x14ac:dyDescent="0.25">
      <c r="A80" s="287" t="s">
        <v>673</v>
      </c>
      <c r="B80" s="288">
        <v>2025</v>
      </c>
      <c r="C80" s="288">
        <v>5</v>
      </c>
      <c r="D80" s="287" t="s">
        <v>661</v>
      </c>
      <c r="E80" s="287" t="s">
        <v>351</v>
      </c>
      <c r="F80" s="287" t="s">
        <v>678</v>
      </c>
      <c r="G80" s="284">
        <v>-120219</v>
      </c>
    </row>
    <row r="81" spans="1:7" x14ac:dyDescent="0.25">
      <c r="A81" s="287" t="s">
        <v>673</v>
      </c>
      <c r="B81" s="288">
        <v>2025</v>
      </c>
      <c r="C81" s="288">
        <v>6</v>
      </c>
      <c r="D81" s="287" t="s">
        <v>661</v>
      </c>
      <c r="E81" s="287" t="s">
        <v>351</v>
      </c>
      <c r="F81" s="287" t="s">
        <v>678</v>
      </c>
      <c r="G81" s="284">
        <v>-120219</v>
      </c>
    </row>
    <row r="82" spans="1:7" x14ac:dyDescent="0.25">
      <c r="A82" s="287" t="s">
        <v>673</v>
      </c>
      <c r="B82" s="288">
        <v>2025</v>
      </c>
      <c r="C82" s="288">
        <v>7</v>
      </c>
      <c r="D82" s="287" t="s">
        <v>661</v>
      </c>
      <c r="E82" s="287" t="s">
        <v>351</v>
      </c>
      <c r="F82" s="287" t="s">
        <v>678</v>
      </c>
      <c r="G82" s="284">
        <v>-120219</v>
      </c>
    </row>
    <row r="83" spans="1:7" x14ac:dyDescent="0.25">
      <c r="A83" s="287" t="s">
        <v>673</v>
      </c>
      <c r="B83" s="288">
        <v>2025</v>
      </c>
      <c r="C83" s="288">
        <v>8</v>
      </c>
      <c r="D83" s="287" t="s">
        <v>661</v>
      </c>
      <c r="E83" s="287" t="s">
        <v>351</v>
      </c>
      <c r="F83" s="287" t="s">
        <v>678</v>
      </c>
      <c r="G83" s="284">
        <v>-120219</v>
      </c>
    </row>
    <row r="84" spans="1:7" x14ac:dyDescent="0.25">
      <c r="A84" s="287" t="s">
        <v>673</v>
      </c>
      <c r="B84" s="288">
        <v>2025</v>
      </c>
      <c r="C84" s="288">
        <v>0</v>
      </c>
      <c r="D84" s="287" t="s">
        <v>661</v>
      </c>
      <c r="E84" s="287" t="s">
        <v>352</v>
      </c>
      <c r="F84" s="287" t="s">
        <v>679</v>
      </c>
      <c r="G84" s="284">
        <v>12492328</v>
      </c>
    </row>
    <row r="85" spans="1:7" x14ac:dyDescent="0.25">
      <c r="A85" s="287" t="s">
        <v>673</v>
      </c>
      <c r="B85" s="288">
        <v>2025</v>
      </c>
      <c r="C85" s="288">
        <v>1</v>
      </c>
      <c r="D85" s="287" t="s">
        <v>661</v>
      </c>
      <c r="E85" s="287" t="s">
        <v>352</v>
      </c>
      <c r="F85" s="287" t="s">
        <v>679</v>
      </c>
      <c r="G85" s="284">
        <v>-8506</v>
      </c>
    </row>
    <row r="86" spans="1:7" x14ac:dyDescent="0.25">
      <c r="A86" s="287" t="s">
        <v>673</v>
      </c>
      <c r="B86" s="288">
        <v>2025</v>
      </c>
      <c r="C86" s="288">
        <v>2</v>
      </c>
      <c r="D86" s="287" t="s">
        <v>661</v>
      </c>
      <c r="E86" s="287" t="s">
        <v>352</v>
      </c>
      <c r="F86" s="287" t="s">
        <v>679</v>
      </c>
      <c r="G86" s="284">
        <v>-8506</v>
      </c>
    </row>
    <row r="87" spans="1:7" x14ac:dyDescent="0.25">
      <c r="A87" s="287" t="s">
        <v>673</v>
      </c>
      <c r="B87" s="288">
        <v>2025</v>
      </c>
      <c r="C87" s="288">
        <v>3</v>
      </c>
      <c r="D87" s="287" t="s">
        <v>661</v>
      </c>
      <c r="E87" s="287" t="s">
        <v>352</v>
      </c>
      <c r="F87" s="287" t="s">
        <v>679</v>
      </c>
      <c r="G87" s="284">
        <v>-8506</v>
      </c>
    </row>
    <row r="88" spans="1:7" x14ac:dyDescent="0.25">
      <c r="A88" s="287" t="s">
        <v>673</v>
      </c>
      <c r="B88" s="288">
        <v>2025</v>
      </c>
      <c r="C88" s="288">
        <v>4</v>
      </c>
      <c r="D88" s="287" t="s">
        <v>661</v>
      </c>
      <c r="E88" s="287" t="s">
        <v>352</v>
      </c>
      <c r="F88" s="287" t="s">
        <v>679</v>
      </c>
      <c r="G88" s="284">
        <v>-8506</v>
      </c>
    </row>
    <row r="89" spans="1:7" x14ac:dyDescent="0.25">
      <c r="A89" s="287" t="s">
        <v>673</v>
      </c>
      <c r="B89" s="288">
        <v>2025</v>
      </c>
      <c r="C89" s="288">
        <v>5</v>
      </c>
      <c r="D89" s="287" t="s">
        <v>661</v>
      </c>
      <c r="E89" s="287" t="s">
        <v>352</v>
      </c>
      <c r="F89" s="287" t="s">
        <v>679</v>
      </c>
      <c r="G89" s="284">
        <v>-8506</v>
      </c>
    </row>
    <row r="90" spans="1:7" x14ac:dyDescent="0.25">
      <c r="A90" s="287" t="s">
        <v>673</v>
      </c>
      <c r="B90" s="288">
        <v>2025</v>
      </c>
      <c r="C90" s="288">
        <v>6</v>
      </c>
      <c r="D90" s="287" t="s">
        <v>661</v>
      </c>
      <c r="E90" s="287" t="s">
        <v>352</v>
      </c>
      <c r="F90" s="287" t="s">
        <v>679</v>
      </c>
      <c r="G90" s="284">
        <v>-671494</v>
      </c>
    </row>
    <row r="91" spans="1:7" x14ac:dyDescent="0.25">
      <c r="A91" s="287" t="s">
        <v>673</v>
      </c>
      <c r="B91" s="288">
        <v>2025</v>
      </c>
      <c r="C91" s="288">
        <v>7</v>
      </c>
      <c r="D91" s="287" t="s">
        <v>661</v>
      </c>
      <c r="E91" s="287" t="s">
        <v>352</v>
      </c>
      <c r="F91" s="287" t="s">
        <v>679</v>
      </c>
      <c r="G91" s="284">
        <v>-29957</v>
      </c>
    </row>
    <row r="92" spans="1:7" x14ac:dyDescent="0.25">
      <c r="A92" s="287" t="s">
        <v>673</v>
      </c>
      <c r="B92" s="288">
        <v>2025</v>
      </c>
      <c r="C92" s="288">
        <v>8</v>
      </c>
      <c r="D92" s="287" t="s">
        <v>661</v>
      </c>
      <c r="E92" s="287" t="s">
        <v>352</v>
      </c>
      <c r="F92" s="287" t="s">
        <v>679</v>
      </c>
      <c r="G92" s="284">
        <v>-29957</v>
      </c>
    </row>
    <row r="93" spans="1:7" x14ac:dyDescent="0.25">
      <c r="A93" s="287" t="s">
        <v>673</v>
      </c>
      <c r="B93" s="288">
        <v>2025</v>
      </c>
      <c r="C93" s="288">
        <v>0</v>
      </c>
      <c r="D93" s="287" t="s">
        <v>661</v>
      </c>
      <c r="E93" s="287" t="s">
        <v>359</v>
      </c>
      <c r="F93" s="287" t="s">
        <v>680</v>
      </c>
      <c r="G93" s="284">
        <v>3807.34</v>
      </c>
    </row>
    <row r="94" spans="1:7" x14ac:dyDescent="0.25">
      <c r="A94" s="287" t="s">
        <v>673</v>
      </c>
      <c r="B94" s="288">
        <v>2025</v>
      </c>
      <c r="C94" s="288">
        <v>1</v>
      </c>
      <c r="D94" s="287" t="s">
        <v>661</v>
      </c>
      <c r="E94" s="287" t="s">
        <v>359</v>
      </c>
      <c r="F94" s="287" t="s">
        <v>680</v>
      </c>
      <c r="G94" s="284">
        <v>1182.52</v>
      </c>
    </row>
    <row r="95" spans="1:7" x14ac:dyDescent="0.25">
      <c r="A95" s="287" t="s">
        <v>673</v>
      </c>
      <c r="B95" s="288">
        <v>2025</v>
      </c>
      <c r="C95" s="288">
        <v>2</v>
      </c>
      <c r="D95" s="287" t="s">
        <v>661</v>
      </c>
      <c r="E95" s="287" t="s">
        <v>359</v>
      </c>
      <c r="F95" s="287" t="s">
        <v>680</v>
      </c>
      <c r="G95" s="284">
        <v>1182.52</v>
      </c>
    </row>
    <row r="96" spans="1:7" x14ac:dyDescent="0.25">
      <c r="A96" s="287" t="s">
        <v>673</v>
      </c>
      <c r="B96" s="288">
        <v>2025</v>
      </c>
      <c r="C96" s="288">
        <v>3</v>
      </c>
      <c r="D96" s="287" t="s">
        <v>661</v>
      </c>
      <c r="E96" s="287" t="s">
        <v>359</v>
      </c>
      <c r="F96" s="287" t="s">
        <v>680</v>
      </c>
      <c r="G96" s="284">
        <v>4934.71</v>
      </c>
    </row>
    <row r="97" spans="1:7" x14ac:dyDescent="0.25">
      <c r="A97" s="287" t="s">
        <v>673</v>
      </c>
      <c r="B97" s="288">
        <v>2025</v>
      </c>
      <c r="C97" s="288">
        <v>4</v>
      </c>
      <c r="D97" s="287" t="s">
        <v>661</v>
      </c>
      <c r="E97" s="287" t="s">
        <v>359</v>
      </c>
      <c r="F97" s="287" t="s">
        <v>680</v>
      </c>
      <c r="G97" s="284">
        <v>1182.52</v>
      </c>
    </row>
    <row r="98" spans="1:7" x14ac:dyDescent="0.25">
      <c r="A98" s="287" t="s">
        <v>673</v>
      </c>
      <c r="B98" s="288">
        <v>2025</v>
      </c>
      <c r="C98" s="288">
        <v>5</v>
      </c>
      <c r="D98" s="287" t="s">
        <v>661</v>
      </c>
      <c r="E98" s="287" t="s">
        <v>359</v>
      </c>
      <c r="F98" s="287" t="s">
        <v>680</v>
      </c>
      <c r="G98" s="284">
        <v>4549.24</v>
      </c>
    </row>
    <row r="99" spans="1:7" x14ac:dyDescent="0.25">
      <c r="A99" s="287" t="s">
        <v>673</v>
      </c>
      <c r="B99" s="288">
        <v>2025</v>
      </c>
      <c r="C99" s="288">
        <v>6</v>
      </c>
      <c r="D99" s="287" t="s">
        <v>661</v>
      </c>
      <c r="E99" s="287" t="s">
        <v>359</v>
      </c>
      <c r="F99" s="287" t="s">
        <v>680</v>
      </c>
      <c r="G99" s="284">
        <v>4549.25</v>
      </c>
    </row>
    <row r="100" spans="1:7" x14ac:dyDescent="0.25">
      <c r="A100" s="287" t="s">
        <v>673</v>
      </c>
      <c r="B100" s="288">
        <v>2025</v>
      </c>
      <c r="C100" s="288">
        <v>7</v>
      </c>
      <c r="D100" s="287" t="s">
        <v>661</v>
      </c>
      <c r="E100" s="287" t="s">
        <v>359</v>
      </c>
      <c r="F100" s="287" t="s">
        <v>680</v>
      </c>
      <c r="G100" s="284">
        <v>5334.2</v>
      </c>
    </row>
    <row r="101" spans="1:7" x14ac:dyDescent="0.25">
      <c r="A101" s="287" t="s">
        <v>673</v>
      </c>
      <c r="B101" s="288">
        <v>2025</v>
      </c>
      <c r="C101" s="288">
        <v>0</v>
      </c>
      <c r="D101" s="287" t="s">
        <v>661</v>
      </c>
      <c r="E101" s="287" t="s">
        <v>360</v>
      </c>
      <c r="F101" s="287" t="s">
        <v>681</v>
      </c>
      <c r="G101" s="284">
        <v>330903.58</v>
      </c>
    </row>
    <row r="102" spans="1:7" x14ac:dyDescent="0.25">
      <c r="A102" s="287" t="s">
        <v>673</v>
      </c>
      <c r="B102" s="288">
        <v>2025</v>
      </c>
      <c r="C102" s="288">
        <v>1</v>
      </c>
      <c r="D102" s="287" t="s">
        <v>661</v>
      </c>
      <c r="E102" s="287" t="s">
        <v>360</v>
      </c>
      <c r="F102" s="287" t="s">
        <v>681</v>
      </c>
      <c r="G102" s="284">
        <v>-46169.55</v>
      </c>
    </row>
    <row r="103" spans="1:7" x14ac:dyDescent="0.25">
      <c r="A103" s="287" t="s">
        <v>673</v>
      </c>
      <c r="B103" s="288">
        <v>2025</v>
      </c>
      <c r="C103" s="288">
        <v>2</v>
      </c>
      <c r="D103" s="287" t="s">
        <v>661</v>
      </c>
      <c r="E103" s="287" t="s">
        <v>360</v>
      </c>
      <c r="F103" s="287" t="s">
        <v>681</v>
      </c>
      <c r="G103" s="284">
        <v>33370.89</v>
      </c>
    </row>
    <row r="104" spans="1:7" x14ac:dyDescent="0.25">
      <c r="A104" s="287" t="s">
        <v>673</v>
      </c>
      <c r="B104" s="288">
        <v>2025</v>
      </c>
      <c r="C104" s="288">
        <v>3</v>
      </c>
      <c r="D104" s="287" t="s">
        <v>661</v>
      </c>
      <c r="E104" s="287" t="s">
        <v>360</v>
      </c>
      <c r="F104" s="287" t="s">
        <v>681</v>
      </c>
      <c r="G104" s="284">
        <v>-230923.35</v>
      </c>
    </row>
    <row r="105" spans="1:7" x14ac:dyDescent="0.25">
      <c r="A105" s="287" t="s">
        <v>673</v>
      </c>
      <c r="B105" s="288">
        <v>2025</v>
      </c>
      <c r="C105" s="288">
        <v>6</v>
      </c>
      <c r="D105" s="287" t="s">
        <v>661</v>
      </c>
      <c r="E105" s="287" t="s">
        <v>360</v>
      </c>
      <c r="F105" s="287" t="s">
        <v>681</v>
      </c>
      <c r="G105" s="284">
        <v>41765.43</v>
      </c>
    </row>
    <row r="106" spans="1:7" x14ac:dyDescent="0.25">
      <c r="A106" s="287" t="s">
        <v>673</v>
      </c>
      <c r="B106" s="288">
        <v>2025</v>
      </c>
      <c r="C106" s="288">
        <v>0</v>
      </c>
      <c r="D106" s="287" t="s">
        <v>661</v>
      </c>
      <c r="E106" s="287" t="s">
        <v>363</v>
      </c>
      <c r="F106" s="287" t="s">
        <v>662</v>
      </c>
      <c r="G106" s="284">
        <v>-237440.39</v>
      </c>
    </row>
    <row r="107" spans="1:7" x14ac:dyDescent="0.25">
      <c r="A107" s="287" t="s">
        <v>673</v>
      </c>
      <c r="B107" s="288">
        <v>2025</v>
      </c>
      <c r="C107" s="288">
        <v>0</v>
      </c>
      <c r="D107" s="287" t="s">
        <v>661</v>
      </c>
      <c r="E107" s="287" t="s">
        <v>367</v>
      </c>
      <c r="F107" s="287" t="s">
        <v>366</v>
      </c>
      <c r="G107" s="284">
        <v>0.06</v>
      </c>
    </row>
    <row r="108" spans="1:7" x14ac:dyDescent="0.25">
      <c r="A108" s="287" t="s">
        <v>673</v>
      </c>
      <c r="B108" s="288">
        <v>2025</v>
      </c>
      <c r="C108" s="288">
        <v>2</v>
      </c>
      <c r="D108" s="287" t="s">
        <v>661</v>
      </c>
      <c r="E108" s="287" t="s">
        <v>367</v>
      </c>
      <c r="F108" s="287" t="s">
        <v>366</v>
      </c>
      <c r="G108" s="284">
        <v>252940.77</v>
      </c>
    </row>
    <row r="109" spans="1:7" x14ac:dyDescent="0.25">
      <c r="A109" s="287" t="s">
        <v>673</v>
      </c>
      <c r="B109" s="288">
        <v>2025</v>
      </c>
      <c r="C109" s="288">
        <v>3</v>
      </c>
      <c r="D109" s="287" t="s">
        <v>661</v>
      </c>
      <c r="E109" s="287" t="s">
        <v>367</v>
      </c>
      <c r="F109" s="287" t="s">
        <v>366</v>
      </c>
      <c r="G109" s="284">
        <v>126470.38</v>
      </c>
    </row>
    <row r="110" spans="1:7" x14ac:dyDescent="0.25">
      <c r="A110" s="287" t="s">
        <v>673</v>
      </c>
      <c r="B110" s="288">
        <v>2025</v>
      </c>
      <c r="C110" s="288">
        <v>4</v>
      </c>
      <c r="D110" s="287" t="s">
        <v>661</v>
      </c>
      <c r="E110" s="287" t="s">
        <v>367</v>
      </c>
      <c r="F110" s="287" t="s">
        <v>366</v>
      </c>
      <c r="G110" s="284">
        <v>126470.38</v>
      </c>
    </row>
    <row r="111" spans="1:7" x14ac:dyDescent="0.25">
      <c r="A111" s="287" t="s">
        <v>673</v>
      </c>
      <c r="B111" s="288">
        <v>2025</v>
      </c>
      <c r="C111" s="288">
        <v>5</v>
      </c>
      <c r="D111" s="287" t="s">
        <v>661</v>
      </c>
      <c r="E111" s="287" t="s">
        <v>367</v>
      </c>
      <c r="F111" s="287" t="s">
        <v>366</v>
      </c>
      <c r="G111" s="284">
        <v>126470.38</v>
      </c>
    </row>
    <row r="112" spans="1:7" x14ac:dyDescent="0.25">
      <c r="A112" s="287" t="s">
        <v>673</v>
      </c>
      <c r="B112" s="288">
        <v>2025</v>
      </c>
      <c r="C112" s="288">
        <v>6</v>
      </c>
      <c r="D112" s="287" t="s">
        <v>661</v>
      </c>
      <c r="E112" s="287" t="s">
        <v>367</v>
      </c>
      <c r="F112" s="287" t="s">
        <v>366</v>
      </c>
      <c r="G112" s="284">
        <v>126470.39</v>
      </c>
    </row>
    <row r="113" spans="1:7" x14ac:dyDescent="0.25">
      <c r="A113" s="287" t="s">
        <v>673</v>
      </c>
      <c r="B113" s="288">
        <v>2025</v>
      </c>
      <c r="C113" s="288">
        <v>7</v>
      </c>
      <c r="D113" s="287" t="s">
        <v>661</v>
      </c>
      <c r="E113" s="287" t="s">
        <v>367</v>
      </c>
      <c r="F113" s="287" t="s">
        <v>366</v>
      </c>
      <c r="G113" s="284">
        <v>126470.38</v>
      </c>
    </row>
    <row r="114" spans="1:7" x14ac:dyDescent="0.25">
      <c r="A114" s="287" t="s">
        <v>673</v>
      </c>
      <c r="B114" s="288">
        <v>2025</v>
      </c>
      <c r="C114" s="288">
        <v>8</v>
      </c>
      <c r="D114" s="287" t="s">
        <v>661</v>
      </c>
      <c r="E114" s="287" t="s">
        <v>367</v>
      </c>
      <c r="F114" s="287" t="s">
        <v>366</v>
      </c>
      <c r="G114" s="284">
        <v>126470.38</v>
      </c>
    </row>
    <row r="115" spans="1:7" x14ac:dyDescent="0.25">
      <c r="A115" s="287" t="s">
        <v>673</v>
      </c>
      <c r="B115" s="288">
        <v>2025</v>
      </c>
      <c r="C115" s="288">
        <v>0</v>
      </c>
      <c r="D115" s="287" t="s">
        <v>661</v>
      </c>
      <c r="E115" s="287" t="s">
        <v>368</v>
      </c>
      <c r="F115" s="287" t="s">
        <v>682</v>
      </c>
      <c r="G115" s="284">
        <v>2322.4</v>
      </c>
    </row>
    <row r="116" spans="1:7" x14ac:dyDescent="0.25">
      <c r="A116" s="287" t="s">
        <v>673</v>
      </c>
      <c r="B116" s="288">
        <v>2025</v>
      </c>
      <c r="C116" s="288">
        <v>6</v>
      </c>
      <c r="D116" s="287" t="s">
        <v>661</v>
      </c>
      <c r="E116" s="287" t="s">
        <v>368</v>
      </c>
      <c r="F116" s="287" t="s">
        <v>682</v>
      </c>
      <c r="G116" s="284">
        <v>-2322.39</v>
      </c>
    </row>
    <row r="117" spans="1:7" x14ac:dyDescent="0.25">
      <c r="A117" s="287" t="s">
        <v>673</v>
      </c>
      <c r="B117" s="288">
        <v>2025</v>
      </c>
      <c r="C117" s="288">
        <v>0</v>
      </c>
      <c r="D117" s="287" t="s">
        <v>661</v>
      </c>
      <c r="E117" s="287" t="s">
        <v>370</v>
      </c>
      <c r="F117" s="287" t="s">
        <v>683</v>
      </c>
      <c r="G117" s="284">
        <v>296048.3</v>
      </c>
    </row>
    <row r="118" spans="1:7" x14ac:dyDescent="0.25">
      <c r="A118" s="287" t="s">
        <v>673</v>
      </c>
      <c r="B118" s="288">
        <v>2025</v>
      </c>
      <c r="C118" s="288">
        <v>1</v>
      </c>
      <c r="D118" s="287" t="s">
        <v>661</v>
      </c>
      <c r="E118" s="287" t="s">
        <v>370</v>
      </c>
      <c r="F118" s="287" t="s">
        <v>683</v>
      </c>
      <c r="G118" s="284">
        <v>2234234.73</v>
      </c>
    </row>
    <row r="119" spans="1:7" x14ac:dyDescent="0.25">
      <c r="A119" s="287" t="s">
        <v>673</v>
      </c>
      <c r="B119" s="288">
        <v>2025</v>
      </c>
      <c r="C119" s="288">
        <v>2</v>
      </c>
      <c r="D119" s="287" t="s">
        <v>661</v>
      </c>
      <c r="E119" s="287" t="s">
        <v>370</v>
      </c>
      <c r="F119" s="287" t="s">
        <v>683</v>
      </c>
      <c r="G119" s="284">
        <v>-966.42</v>
      </c>
    </row>
    <row r="120" spans="1:7" x14ac:dyDescent="0.25">
      <c r="A120" s="287" t="s">
        <v>673</v>
      </c>
      <c r="B120" s="288">
        <v>2025</v>
      </c>
      <c r="C120" s="288">
        <v>3</v>
      </c>
      <c r="D120" s="287" t="s">
        <v>661</v>
      </c>
      <c r="E120" s="287" t="s">
        <v>370</v>
      </c>
      <c r="F120" s="287" t="s">
        <v>683</v>
      </c>
      <c r="G120" s="284">
        <v>-1831785.22</v>
      </c>
    </row>
    <row r="121" spans="1:7" x14ac:dyDescent="0.25">
      <c r="A121" s="287" t="s">
        <v>673</v>
      </c>
      <c r="B121" s="288">
        <v>2025</v>
      </c>
      <c r="C121" s="288">
        <v>4</v>
      </c>
      <c r="D121" s="287" t="s">
        <v>661</v>
      </c>
      <c r="E121" s="287" t="s">
        <v>370</v>
      </c>
      <c r="F121" s="287" t="s">
        <v>683</v>
      </c>
      <c r="G121" s="284">
        <v>133858.78</v>
      </c>
    </row>
    <row r="122" spans="1:7" x14ac:dyDescent="0.25">
      <c r="A122" s="287" t="s">
        <v>673</v>
      </c>
      <c r="B122" s="288">
        <v>2025</v>
      </c>
      <c r="C122" s="288">
        <v>5</v>
      </c>
      <c r="D122" s="287" t="s">
        <v>661</v>
      </c>
      <c r="E122" s="287" t="s">
        <v>370</v>
      </c>
      <c r="F122" s="287" t="s">
        <v>683</v>
      </c>
      <c r="G122" s="284">
        <v>134034.01</v>
      </c>
    </row>
    <row r="123" spans="1:7" x14ac:dyDescent="0.25">
      <c r="A123" s="287" t="s">
        <v>673</v>
      </c>
      <c r="B123" s="288">
        <v>2025</v>
      </c>
      <c r="C123" s="288">
        <v>6</v>
      </c>
      <c r="D123" s="287" t="s">
        <v>661</v>
      </c>
      <c r="E123" s="287" t="s">
        <v>370</v>
      </c>
      <c r="F123" s="287" t="s">
        <v>683</v>
      </c>
      <c r="G123" s="284">
        <v>228439.42</v>
      </c>
    </row>
    <row r="124" spans="1:7" x14ac:dyDescent="0.25">
      <c r="A124" s="287" t="s">
        <v>673</v>
      </c>
      <c r="B124" s="288">
        <v>2025</v>
      </c>
      <c r="C124" s="288">
        <v>7</v>
      </c>
      <c r="D124" s="287" t="s">
        <v>661</v>
      </c>
      <c r="E124" s="287" t="s">
        <v>370</v>
      </c>
      <c r="F124" s="287" t="s">
        <v>683</v>
      </c>
      <c r="G124" s="284">
        <v>149635.88</v>
      </c>
    </row>
    <row r="125" spans="1:7" x14ac:dyDescent="0.25">
      <c r="A125" s="287" t="s">
        <v>673</v>
      </c>
      <c r="B125" s="288">
        <v>2025</v>
      </c>
      <c r="C125" s="288">
        <v>8</v>
      </c>
      <c r="D125" s="287" t="s">
        <v>661</v>
      </c>
      <c r="E125" s="287" t="s">
        <v>370</v>
      </c>
      <c r="F125" s="287" t="s">
        <v>683</v>
      </c>
      <c r="G125" s="284">
        <v>204262.35</v>
      </c>
    </row>
    <row r="126" spans="1:7" x14ac:dyDescent="0.25">
      <c r="A126" s="287" t="s">
        <v>673</v>
      </c>
      <c r="B126" s="288">
        <v>2025</v>
      </c>
      <c r="C126" s="288">
        <v>0</v>
      </c>
      <c r="D126" s="287" t="s">
        <v>661</v>
      </c>
      <c r="E126" s="287" t="s">
        <v>372</v>
      </c>
      <c r="F126" s="287" t="s">
        <v>684</v>
      </c>
      <c r="G126" s="284">
        <v>3532857.82</v>
      </c>
    </row>
    <row r="127" spans="1:7" x14ac:dyDescent="0.25">
      <c r="A127" s="287" t="s">
        <v>673</v>
      </c>
      <c r="B127" s="288">
        <v>2025</v>
      </c>
      <c r="C127" s="288">
        <v>1</v>
      </c>
      <c r="D127" s="287" t="s">
        <v>661</v>
      </c>
      <c r="E127" s="287" t="s">
        <v>372</v>
      </c>
      <c r="F127" s="287" t="s">
        <v>684</v>
      </c>
      <c r="G127" s="284">
        <v>-2998877.98</v>
      </c>
    </row>
    <row r="128" spans="1:7" x14ac:dyDescent="0.25">
      <c r="A128" s="287" t="s">
        <v>673</v>
      </c>
      <c r="B128" s="288">
        <v>2025</v>
      </c>
      <c r="C128" s="288">
        <v>2</v>
      </c>
      <c r="D128" s="287" t="s">
        <v>661</v>
      </c>
      <c r="E128" s="287" t="s">
        <v>372</v>
      </c>
      <c r="F128" s="287" t="s">
        <v>684</v>
      </c>
      <c r="G128" s="284">
        <v>442.7</v>
      </c>
    </row>
    <row r="129" spans="1:7" x14ac:dyDescent="0.25">
      <c r="A129" s="287" t="s">
        <v>673</v>
      </c>
      <c r="B129" s="288">
        <v>2025</v>
      </c>
      <c r="C129" s="288">
        <v>3</v>
      </c>
      <c r="D129" s="287" t="s">
        <v>661</v>
      </c>
      <c r="E129" s="287" t="s">
        <v>372</v>
      </c>
      <c r="F129" s="287" t="s">
        <v>684</v>
      </c>
      <c r="G129" s="284">
        <v>1533631.92</v>
      </c>
    </row>
    <row r="130" spans="1:7" x14ac:dyDescent="0.25">
      <c r="A130" s="287" t="s">
        <v>673</v>
      </c>
      <c r="B130" s="288">
        <v>2025</v>
      </c>
      <c r="C130" s="288">
        <v>4</v>
      </c>
      <c r="D130" s="287" t="s">
        <v>661</v>
      </c>
      <c r="E130" s="287" t="s">
        <v>372</v>
      </c>
      <c r="F130" s="287" t="s">
        <v>684</v>
      </c>
      <c r="G130" s="284">
        <v>-185899.08</v>
      </c>
    </row>
    <row r="131" spans="1:7" x14ac:dyDescent="0.25">
      <c r="A131" s="287" t="s">
        <v>673</v>
      </c>
      <c r="B131" s="288">
        <v>2025</v>
      </c>
      <c r="C131" s="288">
        <v>5</v>
      </c>
      <c r="D131" s="287" t="s">
        <v>661</v>
      </c>
      <c r="E131" s="287" t="s">
        <v>372</v>
      </c>
      <c r="F131" s="287" t="s">
        <v>684</v>
      </c>
      <c r="G131" s="284">
        <v>-476.35</v>
      </c>
    </row>
    <row r="132" spans="1:7" x14ac:dyDescent="0.25">
      <c r="A132" s="287" t="s">
        <v>673</v>
      </c>
      <c r="B132" s="288">
        <v>2025</v>
      </c>
      <c r="C132" s="288">
        <v>6</v>
      </c>
      <c r="D132" s="287" t="s">
        <v>661</v>
      </c>
      <c r="E132" s="287" t="s">
        <v>372</v>
      </c>
      <c r="F132" s="287" t="s">
        <v>684</v>
      </c>
      <c r="G132" s="284">
        <v>-299430.65999999997</v>
      </c>
    </row>
    <row r="133" spans="1:7" x14ac:dyDescent="0.25">
      <c r="A133" s="287" t="s">
        <v>673</v>
      </c>
      <c r="B133" s="288">
        <v>2025</v>
      </c>
      <c r="C133" s="288">
        <v>8</v>
      </c>
      <c r="D133" s="287" t="s">
        <v>661</v>
      </c>
      <c r="E133" s="287" t="s">
        <v>372</v>
      </c>
      <c r="F133" s="287" t="s">
        <v>684</v>
      </c>
      <c r="G133" s="284">
        <v>-637.86</v>
      </c>
    </row>
    <row r="134" spans="1:7" x14ac:dyDescent="0.25">
      <c r="A134" s="287" t="s">
        <v>673</v>
      </c>
      <c r="B134" s="288">
        <v>2025</v>
      </c>
      <c r="C134" s="288">
        <v>0</v>
      </c>
      <c r="D134" s="287" t="s">
        <v>661</v>
      </c>
      <c r="E134" s="287" t="s">
        <v>375</v>
      </c>
      <c r="F134" s="287" t="s">
        <v>685</v>
      </c>
      <c r="G134" s="284">
        <v>-415652.42</v>
      </c>
    </row>
    <row r="135" spans="1:7" x14ac:dyDescent="0.25">
      <c r="A135" s="287" t="s">
        <v>673</v>
      </c>
      <c r="B135" s="288">
        <v>2025</v>
      </c>
      <c r="C135" s="288">
        <v>1</v>
      </c>
      <c r="D135" s="287" t="s">
        <v>661</v>
      </c>
      <c r="E135" s="287" t="s">
        <v>375</v>
      </c>
      <c r="F135" s="287" t="s">
        <v>685</v>
      </c>
      <c r="G135" s="284">
        <v>518638.07</v>
      </c>
    </row>
    <row r="136" spans="1:7" x14ac:dyDescent="0.25">
      <c r="A136" s="287" t="s">
        <v>673</v>
      </c>
      <c r="B136" s="288">
        <v>2025</v>
      </c>
      <c r="C136" s="288">
        <v>2</v>
      </c>
      <c r="D136" s="287" t="s">
        <v>661</v>
      </c>
      <c r="E136" s="287" t="s">
        <v>375</v>
      </c>
      <c r="F136" s="287" t="s">
        <v>685</v>
      </c>
      <c r="G136" s="284">
        <v>-51492.82</v>
      </c>
    </row>
    <row r="137" spans="1:7" x14ac:dyDescent="0.25">
      <c r="A137" s="287" t="s">
        <v>673</v>
      </c>
      <c r="B137" s="288">
        <v>2025</v>
      </c>
      <c r="C137" s="288">
        <v>3</v>
      </c>
      <c r="D137" s="287" t="s">
        <v>661</v>
      </c>
      <c r="E137" s="287" t="s">
        <v>375</v>
      </c>
      <c r="F137" s="287" t="s">
        <v>685</v>
      </c>
      <c r="G137" s="284">
        <v>-51492.81</v>
      </c>
    </row>
    <row r="138" spans="1:7" x14ac:dyDescent="0.25">
      <c r="A138" s="287" t="s">
        <v>673</v>
      </c>
      <c r="B138" s="288">
        <v>2025</v>
      </c>
      <c r="C138" s="288">
        <v>5</v>
      </c>
      <c r="D138" s="287" t="s">
        <v>661</v>
      </c>
      <c r="E138" s="287" t="s">
        <v>375</v>
      </c>
      <c r="F138" s="287" t="s">
        <v>685</v>
      </c>
      <c r="G138" s="284">
        <v>6201.74</v>
      </c>
    </row>
    <row r="139" spans="1:7" x14ac:dyDescent="0.25">
      <c r="A139" s="287" t="s">
        <v>673</v>
      </c>
      <c r="B139" s="288">
        <v>2025</v>
      </c>
      <c r="C139" s="288">
        <v>6</v>
      </c>
      <c r="D139" s="287" t="s">
        <v>661</v>
      </c>
      <c r="E139" s="287" t="s">
        <v>375</v>
      </c>
      <c r="F139" s="287" t="s">
        <v>685</v>
      </c>
      <c r="G139" s="284">
        <v>1880571.78</v>
      </c>
    </row>
    <row r="140" spans="1:7" x14ac:dyDescent="0.25">
      <c r="A140" s="287" t="s">
        <v>673</v>
      </c>
      <c r="B140" s="288">
        <v>2025</v>
      </c>
      <c r="C140" s="288">
        <v>8</v>
      </c>
      <c r="D140" s="287" t="s">
        <v>661</v>
      </c>
      <c r="E140" s="287" t="s">
        <v>375</v>
      </c>
      <c r="F140" s="287" t="s">
        <v>685</v>
      </c>
      <c r="G140" s="284">
        <v>357759.29</v>
      </c>
    </row>
    <row r="141" spans="1:7" x14ac:dyDescent="0.25">
      <c r="A141" s="287" t="s">
        <v>673</v>
      </c>
      <c r="B141" s="288">
        <v>2025</v>
      </c>
      <c r="C141" s="288">
        <v>0</v>
      </c>
      <c r="D141" s="287" t="s">
        <v>661</v>
      </c>
      <c r="E141" s="287" t="s">
        <v>385</v>
      </c>
      <c r="F141" s="287" t="s">
        <v>686</v>
      </c>
      <c r="G141" s="284">
        <v>4459.8</v>
      </c>
    </row>
    <row r="142" spans="1:7" x14ac:dyDescent="0.25">
      <c r="A142" s="287" t="s">
        <v>673</v>
      </c>
      <c r="B142" s="288">
        <v>2025</v>
      </c>
      <c r="C142" s="288">
        <v>1</v>
      </c>
      <c r="D142" s="287" t="s">
        <v>661</v>
      </c>
      <c r="E142" s="287" t="s">
        <v>385</v>
      </c>
      <c r="F142" s="287" t="s">
        <v>686</v>
      </c>
      <c r="G142" s="284">
        <v>93.45</v>
      </c>
    </row>
    <row r="143" spans="1:7" x14ac:dyDescent="0.25">
      <c r="A143" s="287" t="s">
        <v>673</v>
      </c>
      <c r="B143" s="288">
        <v>2025</v>
      </c>
      <c r="C143" s="288">
        <v>2</v>
      </c>
      <c r="D143" s="287" t="s">
        <v>661</v>
      </c>
      <c r="E143" s="287" t="s">
        <v>385</v>
      </c>
      <c r="F143" s="287" t="s">
        <v>686</v>
      </c>
      <c r="G143" s="284">
        <v>93.66</v>
      </c>
    </row>
    <row r="144" spans="1:7" x14ac:dyDescent="0.25">
      <c r="A144" s="287" t="s">
        <v>673</v>
      </c>
      <c r="B144" s="288">
        <v>2025</v>
      </c>
      <c r="C144" s="288">
        <v>3</v>
      </c>
      <c r="D144" s="287" t="s">
        <v>661</v>
      </c>
      <c r="E144" s="287" t="s">
        <v>385</v>
      </c>
      <c r="F144" s="287" t="s">
        <v>686</v>
      </c>
      <c r="G144" s="284">
        <v>94.08</v>
      </c>
    </row>
    <row r="145" spans="1:7" x14ac:dyDescent="0.25">
      <c r="A145" s="287" t="s">
        <v>673</v>
      </c>
      <c r="B145" s="288">
        <v>2025</v>
      </c>
      <c r="C145" s="288">
        <v>5</v>
      </c>
      <c r="D145" s="287" t="s">
        <v>661</v>
      </c>
      <c r="E145" s="287" t="s">
        <v>385</v>
      </c>
      <c r="F145" s="287" t="s">
        <v>686</v>
      </c>
      <c r="G145" s="284">
        <v>189.21</v>
      </c>
    </row>
    <row r="146" spans="1:7" x14ac:dyDescent="0.25">
      <c r="A146" s="287" t="s">
        <v>673</v>
      </c>
      <c r="B146" s="288">
        <v>2025</v>
      </c>
      <c r="C146" s="288">
        <v>6</v>
      </c>
      <c r="D146" s="287" t="s">
        <v>661</v>
      </c>
      <c r="E146" s="287" t="s">
        <v>385</v>
      </c>
      <c r="F146" s="287" t="s">
        <v>686</v>
      </c>
      <c r="G146" s="284">
        <v>95.13</v>
      </c>
    </row>
    <row r="147" spans="1:7" x14ac:dyDescent="0.25">
      <c r="A147" s="287" t="s">
        <v>673</v>
      </c>
      <c r="B147" s="288">
        <v>2025</v>
      </c>
      <c r="C147" s="288">
        <v>7</v>
      </c>
      <c r="D147" s="287" t="s">
        <v>661</v>
      </c>
      <c r="E147" s="287" t="s">
        <v>385</v>
      </c>
      <c r="F147" s="287" t="s">
        <v>686</v>
      </c>
      <c r="G147" s="284">
        <v>95.34</v>
      </c>
    </row>
    <row r="148" spans="1:7" x14ac:dyDescent="0.25">
      <c r="A148" s="287" t="s">
        <v>673</v>
      </c>
      <c r="B148" s="288">
        <v>2025</v>
      </c>
      <c r="C148" s="288">
        <v>8</v>
      </c>
      <c r="D148" s="287" t="s">
        <v>661</v>
      </c>
      <c r="E148" s="287" t="s">
        <v>385</v>
      </c>
      <c r="F148" s="287" t="s">
        <v>686</v>
      </c>
      <c r="G148" s="284">
        <v>95.97</v>
      </c>
    </row>
    <row r="149" spans="1:7" x14ac:dyDescent="0.25">
      <c r="A149" s="287" t="s">
        <v>673</v>
      </c>
      <c r="B149" s="288">
        <v>2025</v>
      </c>
      <c r="C149" s="288">
        <v>0</v>
      </c>
      <c r="D149" s="287" t="s">
        <v>661</v>
      </c>
      <c r="E149" s="287" t="s">
        <v>386</v>
      </c>
      <c r="F149" s="287" t="s">
        <v>664</v>
      </c>
      <c r="G149" s="284">
        <v>5339.38</v>
      </c>
    </row>
    <row r="150" spans="1:7" x14ac:dyDescent="0.25">
      <c r="A150" s="287" t="s">
        <v>673</v>
      </c>
      <c r="B150" s="288">
        <v>2025</v>
      </c>
      <c r="C150" s="288">
        <v>1</v>
      </c>
      <c r="D150" s="287" t="s">
        <v>661</v>
      </c>
      <c r="E150" s="287" t="s">
        <v>386</v>
      </c>
      <c r="F150" s="287" t="s">
        <v>664</v>
      </c>
      <c r="G150" s="284">
        <v>-35.89</v>
      </c>
    </row>
    <row r="151" spans="1:7" x14ac:dyDescent="0.25">
      <c r="A151" s="287" t="s">
        <v>673</v>
      </c>
      <c r="B151" s="288">
        <v>2025</v>
      </c>
      <c r="C151" s="288">
        <v>2</v>
      </c>
      <c r="D151" s="287" t="s">
        <v>661</v>
      </c>
      <c r="E151" s="287" t="s">
        <v>386</v>
      </c>
      <c r="F151" s="287" t="s">
        <v>664</v>
      </c>
      <c r="G151" s="284">
        <v>-35.89</v>
      </c>
    </row>
    <row r="152" spans="1:7" x14ac:dyDescent="0.25">
      <c r="A152" s="287" t="s">
        <v>673</v>
      </c>
      <c r="B152" s="288">
        <v>2025</v>
      </c>
      <c r="C152" s="288">
        <v>3</v>
      </c>
      <c r="D152" s="287" t="s">
        <v>661</v>
      </c>
      <c r="E152" s="287" t="s">
        <v>386</v>
      </c>
      <c r="F152" s="287" t="s">
        <v>664</v>
      </c>
      <c r="G152" s="284">
        <v>-35.9</v>
      </c>
    </row>
    <row r="153" spans="1:7" x14ac:dyDescent="0.25">
      <c r="A153" s="287" t="s">
        <v>673</v>
      </c>
      <c r="B153" s="288">
        <v>2025</v>
      </c>
      <c r="C153" s="288">
        <v>4</v>
      </c>
      <c r="D153" s="287" t="s">
        <v>661</v>
      </c>
      <c r="E153" s="287" t="s">
        <v>386</v>
      </c>
      <c r="F153" s="287" t="s">
        <v>664</v>
      </c>
      <c r="G153" s="284">
        <v>-35.89</v>
      </c>
    </row>
    <row r="154" spans="1:7" x14ac:dyDescent="0.25">
      <c r="A154" s="287" t="s">
        <v>673</v>
      </c>
      <c r="B154" s="288">
        <v>2025</v>
      </c>
      <c r="C154" s="288">
        <v>5</v>
      </c>
      <c r="D154" s="287" t="s">
        <v>661</v>
      </c>
      <c r="E154" s="287" t="s">
        <v>386</v>
      </c>
      <c r="F154" s="287" t="s">
        <v>664</v>
      </c>
      <c r="G154" s="284">
        <v>-35.89</v>
      </c>
    </row>
    <row r="155" spans="1:7" x14ac:dyDescent="0.25">
      <c r="A155" s="287" t="s">
        <v>673</v>
      </c>
      <c r="B155" s="288">
        <v>2025</v>
      </c>
      <c r="C155" s="288">
        <v>6</v>
      </c>
      <c r="D155" s="287" t="s">
        <v>661</v>
      </c>
      <c r="E155" s="287" t="s">
        <v>386</v>
      </c>
      <c r="F155" s="287" t="s">
        <v>664</v>
      </c>
      <c r="G155" s="284">
        <v>-35.89</v>
      </c>
    </row>
    <row r="156" spans="1:7" x14ac:dyDescent="0.25">
      <c r="A156" s="287" t="s">
        <v>673</v>
      </c>
      <c r="B156" s="288">
        <v>2025</v>
      </c>
      <c r="C156" s="288">
        <v>7</v>
      </c>
      <c r="D156" s="287" t="s">
        <v>661</v>
      </c>
      <c r="E156" s="287" t="s">
        <v>386</v>
      </c>
      <c r="F156" s="287" t="s">
        <v>664</v>
      </c>
      <c r="G156" s="284">
        <v>-35.9</v>
      </c>
    </row>
    <row r="157" spans="1:7" x14ac:dyDescent="0.25">
      <c r="A157" s="287" t="s">
        <v>673</v>
      </c>
      <c r="B157" s="288">
        <v>2025</v>
      </c>
      <c r="C157" s="288">
        <v>8</v>
      </c>
      <c r="D157" s="287" t="s">
        <v>661</v>
      </c>
      <c r="E157" s="287" t="s">
        <v>386</v>
      </c>
      <c r="F157" s="287" t="s">
        <v>664</v>
      </c>
      <c r="G157" s="284">
        <v>-35.89</v>
      </c>
    </row>
    <row r="158" spans="1:7" x14ac:dyDescent="0.25">
      <c r="A158" s="287" t="s">
        <v>673</v>
      </c>
      <c r="B158" s="288">
        <v>2025</v>
      </c>
      <c r="C158" s="288">
        <v>0</v>
      </c>
      <c r="D158" s="287" t="s">
        <v>671</v>
      </c>
      <c r="E158" s="287" t="s">
        <v>390</v>
      </c>
      <c r="F158" s="287" t="s">
        <v>687</v>
      </c>
      <c r="G158" s="284">
        <v>76367871.900000006</v>
      </c>
    </row>
    <row r="159" spans="1:7" x14ac:dyDescent="0.25">
      <c r="A159" s="287" t="s">
        <v>673</v>
      </c>
      <c r="B159" s="288">
        <v>2025</v>
      </c>
      <c r="C159" s="288">
        <v>1</v>
      </c>
      <c r="D159" s="287" t="s">
        <v>671</v>
      </c>
      <c r="E159" s="287" t="s">
        <v>390</v>
      </c>
      <c r="F159" s="287" t="s">
        <v>687</v>
      </c>
      <c r="G159" s="284">
        <v>-150201.76999999999</v>
      </c>
    </row>
    <row r="160" spans="1:7" x14ac:dyDescent="0.25">
      <c r="A160" s="287" t="s">
        <v>673</v>
      </c>
      <c r="B160" s="288">
        <v>2025</v>
      </c>
      <c r="C160" s="288">
        <v>2</v>
      </c>
      <c r="D160" s="287" t="s">
        <v>671</v>
      </c>
      <c r="E160" s="287" t="s">
        <v>390</v>
      </c>
      <c r="F160" s="287" t="s">
        <v>687</v>
      </c>
      <c r="G160" s="284">
        <v>-165842.26</v>
      </c>
    </row>
    <row r="161" spans="1:7" x14ac:dyDescent="0.25">
      <c r="A161" s="287" t="s">
        <v>673</v>
      </c>
      <c r="B161" s="288">
        <v>2025</v>
      </c>
      <c r="C161" s="288">
        <v>3</v>
      </c>
      <c r="D161" s="287" t="s">
        <v>671</v>
      </c>
      <c r="E161" s="287" t="s">
        <v>390</v>
      </c>
      <c r="F161" s="287" t="s">
        <v>687</v>
      </c>
      <c r="G161" s="284">
        <v>-150773.54999999999</v>
      </c>
    </row>
    <row r="162" spans="1:7" x14ac:dyDescent="0.25">
      <c r="A162" s="287" t="s">
        <v>673</v>
      </c>
      <c r="B162" s="288">
        <v>2025</v>
      </c>
      <c r="C162" s="288">
        <v>4</v>
      </c>
      <c r="D162" s="287" t="s">
        <v>671</v>
      </c>
      <c r="E162" s="287" t="s">
        <v>390</v>
      </c>
      <c r="F162" s="287" t="s">
        <v>687</v>
      </c>
      <c r="G162" s="284">
        <v>-147708.57999999999</v>
      </c>
    </row>
    <row r="163" spans="1:7" x14ac:dyDescent="0.25">
      <c r="A163" s="287" t="s">
        <v>673</v>
      </c>
      <c r="B163" s="288">
        <v>2025</v>
      </c>
      <c r="C163" s="288">
        <v>5</v>
      </c>
      <c r="D163" s="287" t="s">
        <v>671</v>
      </c>
      <c r="E163" s="287" t="s">
        <v>390</v>
      </c>
      <c r="F163" s="287" t="s">
        <v>687</v>
      </c>
      <c r="G163" s="284">
        <v>-127455.93</v>
      </c>
    </row>
    <row r="164" spans="1:7" x14ac:dyDescent="0.25">
      <c r="A164" s="287" t="s">
        <v>673</v>
      </c>
      <c r="B164" s="288">
        <v>2025</v>
      </c>
      <c r="C164" s="288">
        <v>6</v>
      </c>
      <c r="D164" s="287" t="s">
        <v>671</v>
      </c>
      <c r="E164" s="287" t="s">
        <v>390</v>
      </c>
      <c r="F164" s="287" t="s">
        <v>687</v>
      </c>
      <c r="G164" s="284">
        <v>-823605.45</v>
      </c>
    </row>
    <row r="165" spans="1:7" x14ac:dyDescent="0.25">
      <c r="A165" s="287" t="s">
        <v>673</v>
      </c>
      <c r="B165" s="288">
        <v>2025</v>
      </c>
      <c r="C165" s="288">
        <v>7</v>
      </c>
      <c r="D165" s="287" t="s">
        <v>671</v>
      </c>
      <c r="E165" s="287" t="s">
        <v>390</v>
      </c>
      <c r="F165" s="287" t="s">
        <v>687</v>
      </c>
      <c r="G165" s="284">
        <v>-191696.94</v>
      </c>
    </row>
    <row r="166" spans="1:7" x14ac:dyDescent="0.25">
      <c r="A166" s="287" t="s">
        <v>673</v>
      </c>
      <c r="B166" s="288">
        <v>2025</v>
      </c>
      <c r="C166" s="288">
        <v>8</v>
      </c>
      <c r="D166" s="287" t="s">
        <v>671</v>
      </c>
      <c r="E166" s="287" t="s">
        <v>390</v>
      </c>
      <c r="F166" s="287" t="s">
        <v>687</v>
      </c>
      <c r="G166" s="284">
        <v>-180119.7</v>
      </c>
    </row>
    <row r="167" spans="1:7" x14ac:dyDescent="0.25">
      <c r="A167" s="287" t="s">
        <v>673</v>
      </c>
      <c r="B167" s="288">
        <v>2025</v>
      </c>
      <c r="C167" s="288">
        <v>0</v>
      </c>
      <c r="D167" s="287" t="s">
        <v>671</v>
      </c>
      <c r="E167" s="287" t="s">
        <v>393</v>
      </c>
      <c r="F167" s="287" t="s">
        <v>688</v>
      </c>
      <c r="G167" s="284">
        <v>-110259937.62</v>
      </c>
    </row>
    <row r="168" spans="1:7" x14ac:dyDescent="0.25">
      <c r="A168" s="287" t="s">
        <v>673</v>
      </c>
      <c r="B168" s="288">
        <v>2025</v>
      </c>
      <c r="C168" s="288">
        <v>1</v>
      </c>
      <c r="D168" s="287" t="s">
        <v>671</v>
      </c>
      <c r="E168" s="287" t="s">
        <v>393</v>
      </c>
      <c r="F168" s="287" t="s">
        <v>688</v>
      </c>
      <c r="G168" s="284">
        <v>-894814.44</v>
      </c>
    </row>
    <row r="169" spans="1:7" x14ac:dyDescent="0.25">
      <c r="A169" s="287" t="s">
        <v>673</v>
      </c>
      <c r="B169" s="288">
        <v>2025</v>
      </c>
      <c r="C169" s="288">
        <v>2</v>
      </c>
      <c r="D169" s="287" t="s">
        <v>671</v>
      </c>
      <c r="E169" s="287" t="s">
        <v>393</v>
      </c>
      <c r="F169" s="287" t="s">
        <v>688</v>
      </c>
      <c r="G169" s="284">
        <v>-889033.38</v>
      </c>
    </row>
    <row r="170" spans="1:7" x14ac:dyDescent="0.25">
      <c r="A170" s="287" t="s">
        <v>673</v>
      </c>
      <c r="B170" s="288">
        <v>2025</v>
      </c>
      <c r="C170" s="288">
        <v>3</v>
      </c>
      <c r="D170" s="287" t="s">
        <v>671</v>
      </c>
      <c r="E170" s="287" t="s">
        <v>393</v>
      </c>
      <c r="F170" s="287" t="s">
        <v>688</v>
      </c>
      <c r="G170" s="284">
        <v>-879033.61</v>
      </c>
    </row>
    <row r="171" spans="1:7" x14ac:dyDescent="0.25">
      <c r="A171" s="287" t="s">
        <v>673</v>
      </c>
      <c r="B171" s="288">
        <v>2025</v>
      </c>
      <c r="C171" s="288">
        <v>4</v>
      </c>
      <c r="D171" s="287" t="s">
        <v>671</v>
      </c>
      <c r="E171" s="287" t="s">
        <v>393</v>
      </c>
      <c r="F171" s="287" t="s">
        <v>688</v>
      </c>
      <c r="G171" s="284">
        <v>-870942.19</v>
      </c>
    </row>
    <row r="172" spans="1:7" x14ac:dyDescent="0.25">
      <c r="A172" s="287" t="s">
        <v>673</v>
      </c>
      <c r="B172" s="288">
        <v>2025</v>
      </c>
      <c r="C172" s="288">
        <v>5</v>
      </c>
      <c r="D172" s="287" t="s">
        <v>671</v>
      </c>
      <c r="E172" s="287" t="s">
        <v>393</v>
      </c>
      <c r="F172" s="287" t="s">
        <v>688</v>
      </c>
      <c r="G172" s="284">
        <v>-848306.15</v>
      </c>
    </row>
    <row r="173" spans="1:7" x14ac:dyDescent="0.25">
      <c r="A173" s="287" t="s">
        <v>673</v>
      </c>
      <c r="B173" s="288">
        <v>2025</v>
      </c>
      <c r="C173" s="288">
        <v>6</v>
      </c>
      <c r="D173" s="287" t="s">
        <v>671</v>
      </c>
      <c r="E173" s="287" t="s">
        <v>393</v>
      </c>
      <c r="F173" s="287" t="s">
        <v>688</v>
      </c>
      <c r="G173" s="284">
        <v>2818249.2</v>
      </c>
    </row>
    <row r="174" spans="1:7" x14ac:dyDescent="0.25">
      <c r="A174" s="287" t="s">
        <v>673</v>
      </c>
      <c r="B174" s="288">
        <v>2025</v>
      </c>
      <c r="C174" s="288">
        <v>7</v>
      </c>
      <c r="D174" s="287" t="s">
        <v>671</v>
      </c>
      <c r="E174" s="287" t="s">
        <v>393</v>
      </c>
      <c r="F174" s="287" t="s">
        <v>688</v>
      </c>
      <c r="G174" s="284">
        <v>-735390.98</v>
      </c>
    </row>
    <row r="175" spans="1:7" x14ac:dyDescent="0.25">
      <c r="A175" s="287" t="s">
        <v>673</v>
      </c>
      <c r="B175" s="288">
        <v>2025</v>
      </c>
      <c r="C175" s="288">
        <v>8</v>
      </c>
      <c r="D175" s="287" t="s">
        <v>671</v>
      </c>
      <c r="E175" s="287" t="s">
        <v>393</v>
      </c>
      <c r="F175" s="287" t="s">
        <v>688</v>
      </c>
      <c r="G175" s="284">
        <v>-731807.45</v>
      </c>
    </row>
    <row r="176" spans="1:7" x14ac:dyDescent="0.25">
      <c r="A176" s="287" t="s">
        <v>673</v>
      </c>
      <c r="B176" s="288">
        <v>2025</v>
      </c>
      <c r="C176" s="288">
        <v>0</v>
      </c>
      <c r="D176" s="287" t="s">
        <v>671</v>
      </c>
      <c r="E176" s="287" t="s">
        <v>396</v>
      </c>
      <c r="F176" s="287" t="s">
        <v>689</v>
      </c>
      <c r="G176" s="284">
        <v>-587205.32999999996</v>
      </c>
    </row>
    <row r="177" spans="1:7" x14ac:dyDescent="0.25">
      <c r="A177" s="287" t="s">
        <v>673</v>
      </c>
      <c r="B177" s="288">
        <v>2025</v>
      </c>
      <c r="C177" s="288">
        <v>1</v>
      </c>
      <c r="D177" s="287" t="s">
        <v>671</v>
      </c>
      <c r="E177" s="287" t="s">
        <v>396</v>
      </c>
      <c r="F177" s="287" t="s">
        <v>689</v>
      </c>
      <c r="G177" s="284">
        <v>985358.92</v>
      </c>
    </row>
    <row r="178" spans="1:7" x14ac:dyDescent="0.25">
      <c r="A178" s="287" t="s">
        <v>673</v>
      </c>
      <c r="B178" s="288">
        <v>2025</v>
      </c>
      <c r="C178" s="288">
        <v>2</v>
      </c>
      <c r="D178" s="287" t="s">
        <v>671</v>
      </c>
      <c r="E178" s="287" t="s">
        <v>396</v>
      </c>
      <c r="F178" s="287" t="s">
        <v>689</v>
      </c>
      <c r="G178" s="284">
        <v>167536.9</v>
      </c>
    </row>
    <row r="179" spans="1:7" x14ac:dyDescent="0.25">
      <c r="A179" s="287" t="s">
        <v>673</v>
      </c>
      <c r="B179" s="288">
        <v>2025</v>
      </c>
      <c r="C179" s="288">
        <v>3</v>
      </c>
      <c r="D179" s="287" t="s">
        <v>671</v>
      </c>
      <c r="E179" s="287" t="s">
        <v>396</v>
      </c>
      <c r="F179" s="287" t="s">
        <v>689</v>
      </c>
      <c r="G179" s="284">
        <v>-1210568.1599999999</v>
      </c>
    </row>
    <row r="180" spans="1:7" x14ac:dyDescent="0.25">
      <c r="A180" s="287" t="s">
        <v>673</v>
      </c>
      <c r="B180" s="288">
        <v>2025</v>
      </c>
      <c r="C180" s="288">
        <v>4</v>
      </c>
      <c r="D180" s="287" t="s">
        <v>671</v>
      </c>
      <c r="E180" s="287" t="s">
        <v>396</v>
      </c>
      <c r="F180" s="287" t="s">
        <v>689</v>
      </c>
      <c r="G180" s="284">
        <v>21575.97</v>
      </c>
    </row>
    <row r="181" spans="1:7" x14ac:dyDescent="0.25">
      <c r="A181" s="287" t="s">
        <v>673</v>
      </c>
      <c r="B181" s="288">
        <v>2025</v>
      </c>
      <c r="C181" s="288">
        <v>5</v>
      </c>
      <c r="D181" s="287" t="s">
        <v>671</v>
      </c>
      <c r="E181" s="287" t="s">
        <v>396</v>
      </c>
      <c r="F181" s="287" t="s">
        <v>689</v>
      </c>
      <c r="G181" s="284">
        <v>-557138.66</v>
      </c>
    </row>
    <row r="182" spans="1:7" x14ac:dyDescent="0.25">
      <c r="A182" s="287" t="s">
        <v>673</v>
      </c>
      <c r="B182" s="288">
        <v>2025</v>
      </c>
      <c r="C182" s="288">
        <v>6</v>
      </c>
      <c r="D182" s="287" t="s">
        <v>671</v>
      </c>
      <c r="E182" s="287" t="s">
        <v>396</v>
      </c>
      <c r="F182" s="287" t="s">
        <v>689</v>
      </c>
      <c r="G182" s="284">
        <v>-3188741.87</v>
      </c>
    </row>
    <row r="183" spans="1:7" x14ac:dyDescent="0.25">
      <c r="A183" s="287" t="s">
        <v>673</v>
      </c>
      <c r="B183" s="288">
        <v>2025</v>
      </c>
      <c r="C183" s="288">
        <v>7</v>
      </c>
      <c r="D183" s="287" t="s">
        <v>671</v>
      </c>
      <c r="E183" s="287" t="s">
        <v>396</v>
      </c>
      <c r="F183" s="287" t="s">
        <v>689</v>
      </c>
      <c r="G183" s="284">
        <v>-334756.21999999997</v>
      </c>
    </row>
    <row r="184" spans="1:7" x14ac:dyDescent="0.25">
      <c r="A184" s="287" t="s">
        <v>673</v>
      </c>
      <c r="B184" s="288">
        <v>2025</v>
      </c>
      <c r="C184" s="288">
        <v>8</v>
      </c>
      <c r="D184" s="287" t="s">
        <v>671</v>
      </c>
      <c r="E184" s="287" t="s">
        <v>396</v>
      </c>
      <c r="F184" s="287" t="s">
        <v>689</v>
      </c>
      <c r="G184" s="284">
        <v>-510477.71</v>
      </c>
    </row>
    <row r="185" spans="1:7" x14ac:dyDescent="0.25">
      <c r="A185" s="287" t="s">
        <v>673</v>
      </c>
      <c r="B185" s="288">
        <v>2025</v>
      </c>
      <c r="C185" s="288">
        <v>0</v>
      </c>
      <c r="D185" s="287" t="s">
        <v>671</v>
      </c>
      <c r="E185" s="287" t="s">
        <v>398</v>
      </c>
      <c r="F185" s="287" t="s">
        <v>672</v>
      </c>
      <c r="G185" s="284">
        <v>1350058.2</v>
      </c>
    </row>
    <row r="186" spans="1:7" x14ac:dyDescent="0.25">
      <c r="A186" s="287" t="s">
        <v>673</v>
      </c>
      <c r="B186" s="288">
        <v>2025</v>
      </c>
      <c r="C186" s="288">
        <v>1</v>
      </c>
      <c r="D186" s="287" t="s">
        <v>671</v>
      </c>
      <c r="E186" s="287" t="s">
        <v>398</v>
      </c>
      <c r="F186" s="287" t="s">
        <v>672</v>
      </c>
      <c r="G186" s="284">
        <v>-11250.49</v>
      </c>
    </row>
    <row r="187" spans="1:7" x14ac:dyDescent="0.25">
      <c r="A187" s="287" t="s">
        <v>673</v>
      </c>
      <c r="B187" s="288">
        <v>2025</v>
      </c>
      <c r="C187" s="288">
        <v>2</v>
      </c>
      <c r="D187" s="287" t="s">
        <v>671</v>
      </c>
      <c r="E187" s="287" t="s">
        <v>398</v>
      </c>
      <c r="F187" s="287" t="s">
        <v>672</v>
      </c>
      <c r="G187" s="284">
        <v>-11250.49</v>
      </c>
    </row>
    <row r="188" spans="1:7" x14ac:dyDescent="0.25">
      <c r="A188" s="287" t="s">
        <v>673</v>
      </c>
      <c r="B188" s="288">
        <v>2025</v>
      </c>
      <c r="C188" s="288">
        <v>3</v>
      </c>
      <c r="D188" s="287" t="s">
        <v>671</v>
      </c>
      <c r="E188" s="287" t="s">
        <v>398</v>
      </c>
      <c r="F188" s="287" t="s">
        <v>672</v>
      </c>
      <c r="G188" s="284">
        <v>-11250.48</v>
      </c>
    </row>
    <row r="189" spans="1:7" x14ac:dyDescent="0.25">
      <c r="A189" s="287" t="s">
        <v>673</v>
      </c>
      <c r="B189" s="288">
        <v>2025</v>
      </c>
      <c r="C189" s="288">
        <v>4</v>
      </c>
      <c r="D189" s="287" t="s">
        <v>671</v>
      </c>
      <c r="E189" s="287" t="s">
        <v>398</v>
      </c>
      <c r="F189" s="287" t="s">
        <v>672</v>
      </c>
      <c r="G189" s="284">
        <v>-11250.48</v>
      </c>
    </row>
    <row r="190" spans="1:7" x14ac:dyDescent="0.25">
      <c r="A190" s="287" t="s">
        <v>673</v>
      </c>
      <c r="B190" s="288">
        <v>2025</v>
      </c>
      <c r="C190" s="288">
        <v>5</v>
      </c>
      <c r="D190" s="287" t="s">
        <v>671</v>
      </c>
      <c r="E190" s="287" t="s">
        <v>398</v>
      </c>
      <c r="F190" s="287" t="s">
        <v>672</v>
      </c>
      <c r="G190" s="284">
        <v>-11250.49</v>
      </c>
    </row>
    <row r="191" spans="1:7" x14ac:dyDescent="0.25">
      <c r="A191" s="287" t="s">
        <v>673</v>
      </c>
      <c r="B191" s="288">
        <v>2025</v>
      </c>
      <c r="C191" s="288">
        <v>6</v>
      </c>
      <c r="D191" s="287" t="s">
        <v>671</v>
      </c>
      <c r="E191" s="287" t="s">
        <v>398</v>
      </c>
      <c r="F191" s="287" t="s">
        <v>672</v>
      </c>
      <c r="G191" s="284">
        <v>-11250.48</v>
      </c>
    </row>
    <row r="192" spans="1:7" x14ac:dyDescent="0.25">
      <c r="A192" s="287" t="s">
        <v>673</v>
      </c>
      <c r="B192" s="288">
        <v>2025</v>
      </c>
      <c r="C192" s="288">
        <v>7</v>
      </c>
      <c r="D192" s="287" t="s">
        <v>671</v>
      </c>
      <c r="E192" s="287" t="s">
        <v>398</v>
      </c>
      <c r="F192" s="287" t="s">
        <v>672</v>
      </c>
      <c r="G192" s="284">
        <v>-11250.49</v>
      </c>
    </row>
    <row r="193" spans="1:7" x14ac:dyDescent="0.25">
      <c r="A193" s="287" t="s">
        <v>673</v>
      </c>
      <c r="B193" s="288">
        <v>2025</v>
      </c>
      <c r="C193" s="288">
        <v>8</v>
      </c>
      <c r="D193" s="287" t="s">
        <v>671</v>
      </c>
      <c r="E193" s="287" t="s">
        <v>398</v>
      </c>
      <c r="F193" s="287" t="s">
        <v>672</v>
      </c>
      <c r="G193" s="284">
        <v>-11250.48</v>
      </c>
    </row>
    <row r="194" spans="1:7" x14ac:dyDescent="0.25">
      <c r="A194" s="287" t="s">
        <v>673</v>
      </c>
      <c r="B194" s="288">
        <v>2025</v>
      </c>
      <c r="C194" s="288">
        <v>0</v>
      </c>
      <c r="D194" s="287" t="s">
        <v>665</v>
      </c>
      <c r="E194" s="287" t="s">
        <v>403</v>
      </c>
      <c r="F194" s="287" t="s">
        <v>690</v>
      </c>
      <c r="G194" s="284">
        <v>10477360</v>
      </c>
    </row>
    <row r="195" spans="1:7" x14ac:dyDescent="0.25">
      <c r="A195" s="287" t="s">
        <v>673</v>
      </c>
      <c r="B195" s="288">
        <v>2025</v>
      </c>
      <c r="C195" s="288">
        <v>1</v>
      </c>
      <c r="D195" s="287" t="s">
        <v>665</v>
      </c>
      <c r="E195" s="287" t="s">
        <v>403</v>
      </c>
      <c r="F195" s="287" t="s">
        <v>690</v>
      </c>
      <c r="G195" s="284">
        <v>-171760</v>
      </c>
    </row>
    <row r="196" spans="1:7" x14ac:dyDescent="0.25">
      <c r="A196" s="287" t="s">
        <v>673</v>
      </c>
      <c r="B196" s="288">
        <v>2025</v>
      </c>
      <c r="C196" s="288">
        <v>2</v>
      </c>
      <c r="D196" s="287" t="s">
        <v>665</v>
      </c>
      <c r="E196" s="287" t="s">
        <v>403</v>
      </c>
      <c r="F196" s="287" t="s">
        <v>690</v>
      </c>
      <c r="G196" s="284">
        <v>-171760</v>
      </c>
    </row>
    <row r="197" spans="1:7" x14ac:dyDescent="0.25">
      <c r="A197" s="287" t="s">
        <v>673</v>
      </c>
      <c r="B197" s="288">
        <v>2025</v>
      </c>
      <c r="C197" s="288">
        <v>3</v>
      </c>
      <c r="D197" s="287" t="s">
        <v>665</v>
      </c>
      <c r="E197" s="287" t="s">
        <v>403</v>
      </c>
      <c r="F197" s="287" t="s">
        <v>690</v>
      </c>
      <c r="G197" s="284">
        <v>-171760</v>
      </c>
    </row>
    <row r="198" spans="1:7" x14ac:dyDescent="0.25">
      <c r="A198" s="287" t="s">
        <v>673</v>
      </c>
      <c r="B198" s="288">
        <v>2025</v>
      </c>
      <c r="C198" s="288">
        <v>4</v>
      </c>
      <c r="D198" s="287" t="s">
        <v>665</v>
      </c>
      <c r="E198" s="287" t="s">
        <v>403</v>
      </c>
      <c r="F198" s="287" t="s">
        <v>690</v>
      </c>
      <c r="G198" s="284">
        <v>-171760</v>
      </c>
    </row>
    <row r="199" spans="1:7" x14ac:dyDescent="0.25">
      <c r="A199" s="287" t="s">
        <v>673</v>
      </c>
      <c r="B199" s="288">
        <v>2025</v>
      </c>
      <c r="C199" s="288">
        <v>5</v>
      </c>
      <c r="D199" s="287" t="s">
        <v>665</v>
      </c>
      <c r="E199" s="287" t="s">
        <v>403</v>
      </c>
      <c r="F199" s="287" t="s">
        <v>690</v>
      </c>
      <c r="G199" s="284">
        <v>-171760</v>
      </c>
    </row>
    <row r="200" spans="1:7" x14ac:dyDescent="0.25">
      <c r="A200" s="287" t="s">
        <v>673</v>
      </c>
      <c r="B200" s="288">
        <v>2025</v>
      </c>
      <c r="C200" s="288">
        <v>6</v>
      </c>
      <c r="D200" s="287" t="s">
        <v>665</v>
      </c>
      <c r="E200" s="287" t="s">
        <v>403</v>
      </c>
      <c r="F200" s="287" t="s">
        <v>690</v>
      </c>
      <c r="G200" s="284">
        <v>-171760</v>
      </c>
    </row>
    <row r="201" spans="1:7" x14ac:dyDescent="0.25">
      <c r="A201" s="287" t="s">
        <v>673</v>
      </c>
      <c r="B201" s="288">
        <v>2025</v>
      </c>
      <c r="C201" s="288">
        <v>7</v>
      </c>
      <c r="D201" s="287" t="s">
        <v>665</v>
      </c>
      <c r="E201" s="287" t="s">
        <v>403</v>
      </c>
      <c r="F201" s="287" t="s">
        <v>690</v>
      </c>
      <c r="G201" s="284">
        <v>-171760</v>
      </c>
    </row>
    <row r="202" spans="1:7" x14ac:dyDescent="0.25">
      <c r="A202" s="287" t="s">
        <v>673</v>
      </c>
      <c r="B202" s="288">
        <v>2025</v>
      </c>
      <c r="C202" s="288">
        <v>8</v>
      </c>
      <c r="D202" s="287" t="s">
        <v>665</v>
      </c>
      <c r="E202" s="287" t="s">
        <v>403</v>
      </c>
      <c r="F202" s="287" t="s">
        <v>690</v>
      </c>
      <c r="G202" s="284">
        <v>-171760</v>
      </c>
    </row>
    <row r="203" spans="1:7" x14ac:dyDescent="0.25">
      <c r="A203" s="287" t="s">
        <v>673</v>
      </c>
      <c r="B203" s="288">
        <v>2025</v>
      </c>
      <c r="C203" s="288">
        <v>0</v>
      </c>
      <c r="D203" s="287" t="s">
        <v>665</v>
      </c>
      <c r="E203" s="287" t="s">
        <v>404</v>
      </c>
      <c r="F203" s="287" t="s">
        <v>691</v>
      </c>
      <c r="G203" s="284">
        <v>-1949378.7</v>
      </c>
    </row>
    <row r="204" spans="1:7" x14ac:dyDescent="0.25">
      <c r="A204" s="287" t="s">
        <v>673</v>
      </c>
      <c r="B204" s="288">
        <v>2025</v>
      </c>
      <c r="C204" s="288">
        <v>1</v>
      </c>
      <c r="D204" s="287" t="s">
        <v>665</v>
      </c>
      <c r="E204" s="287" t="s">
        <v>404</v>
      </c>
      <c r="F204" s="287" t="s">
        <v>691</v>
      </c>
      <c r="G204" s="284">
        <v>31956.95</v>
      </c>
    </row>
    <row r="205" spans="1:7" x14ac:dyDescent="0.25">
      <c r="A205" s="287" t="s">
        <v>673</v>
      </c>
      <c r="B205" s="288">
        <v>2025</v>
      </c>
      <c r="C205" s="288">
        <v>2</v>
      </c>
      <c r="D205" s="287" t="s">
        <v>665</v>
      </c>
      <c r="E205" s="287" t="s">
        <v>404</v>
      </c>
      <c r="F205" s="287" t="s">
        <v>691</v>
      </c>
      <c r="G205" s="284">
        <v>31956.95</v>
      </c>
    </row>
    <row r="206" spans="1:7" x14ac:dyDescent="0.25">
      <c r="A206" s="287" t="s">
        <v>673</v>
      </c>
      <c r="B206" s="288">
        <v>2025</v>
      </c>
      <c r="C206" s="288">
        <v>3</v>
      </c>
      <c r="D206" s="287" t="s">
        <v>665</v>
      </c>
      <c r="E206" s="287" t="s">
        <v>404</v>
      </c>
      <c r="F206" s="287" t="s">
        <v>691</v>
      </c>
      <c r="G206" s="284">
        <v>31956.95</v>
      </c>
    </row>
    <row r="207" spans="1:7" x14ac:dyDescent="0.25">
      <c r="A207" s="287" t="s">
        <v>673</v>
      </c>
      <c r="B207" s="288">
        <v>2025</v>
      </c>
      <c r="C207" s="288">
        <v>4</v>
      </c>
      <c r="D207" s="287" t="s">
        <v>665</v>
      </c>
      <c r="E207" s="287" t="s">
        <v>404</v>
      </c>
      <c r="F207" s="287" t="s">
        <v>691</v>
      </c>
      <c r="G207" s="284">
        <v>31956.95</v>
      </c>
    </row>
    <row r="208" spans="1:7" x14ac:dyDescent="0.25">
      <c r="A208" s="287" t="s">
        <v>673</v>
      </c>
      <c r="B208" s="288">
        <v>2025</v>
      </c>
      <c r="C208" s="288">
        <v>5</v>
      </c>
      <c r="D208" s="287" t="s">
        <v>665</v>
      </c>
      <c r="E208" s="287" t="s">
        <v>404</v>
      </c>
      <c r="F208" s="287" t="s">
        <v>691</v>
      </c>
      <c r="G208" s="284">
        <v>31956.95</v>
      </c>
    </row>
    <row r="209" spans="1:7" x14ac:dyDescent="0.25">
      <c r="A209" s="287" t="s">
        <v>673</v>
      </c>
      <c r="B209" s="288">
        <v>2025</v>
      </c>
      <c r="C209" s="288">
        <v>6</v>
      </c>
      <c r="D209" s="287" t="s">
        <v>665</v>
      </c>
      <c r="E209" s="287" t="s">
        <v>404</v>
      </c>
      <c r="F209" s="287" t="s">
        <v>691</v>
      </c>
      <c r="G209" s="284">
        <v>31956.95</v>
      </c>
    </row>
    <row r="210" spans="1:7" x14ac:dyDescent="0.25">
      <c r="A210" s="287" t="s">
        <v>673</v>
      </c>
      <c r="B210" s="288">
        <v>2025</v>
      </c>
      <c r="C210" s="288">
        <v>7</v>
      </c>
      <c r="D210" s="287" t="s">
        <v>665</v>
      </c>
      <c r="E210" s="287" t="s">
        <v>404</v>
      </c>
      <c r="F210" s="287" t="s">
        <v>691</v>
      </c>
      <c r="G210" s="284">
        <v>31956.95</v>
      </c>
    </row>
    <row r="211" spans="1:7" x14ac:dyDescent="0.25">
      <c r="A211" s="287" t="s">
        <v>673</v>
      </c>
      <c r="B211" s="288">
        <v>2025</v>
      </c>
      <c r="C211" s="288">
        <v>8</v>
      </c>
      <c r="D211" s="287" t="s">
        <v>665</v>
      </c>
      <c r="E211" s="287" t="s">
        <v>404</v>
      </c>
      <c r="F211" s="287" t="s">
        <v>691</v>
      </c>
      <c r="G211" s="284">
        <v>31956.95</v>
      </c>
    </row>
    <row r="212" spans="1:7" x14ac:dyDescent="0.25">
      <c r="A212" s="287" t="s">
        <v>673</v>
      </c>
      <c r="B212" s="288">
        <v>2025</v>
      </c>
      <c r="C212" s="288">
        <v>0</v>
      </c>
      <c r="D212" s="287" t="s">
        <v>665</v>
      </c>
      <c r="E212" s="287" t="s">
        <v>405</v>
      </c>
      <c r="F212" s="287" t="s">
        <v>692</v>
      </c>
      <c r="G212" s="284">
        <v>-10477360</v>
      </c>
    </row>
    <row r="213" spans="1:7" x14ac:dyDescent="0.25">
      <c r="A213" s="287" t="s">
        <v>673</v>
      </c>
      <c r="B213" s="288">
        <v>2025</v>
      </c>
      <c r="C213" s="288">
        <v>1</v>
      </c>
      <c r="D213" s="287" t="s">
        <v>665</v>
      </c>
      <c r="E213" s="287" t="s">
        <v>405</v>
      </c>
      <c r="F213" s="287" t="s">
        <v>692</v>
      </c>
      <c r="G213" s="284">
        <v>171760</v>
      </c>
    </row>
    <row r="214" spans="1:7" x14ac:dyDescent="0.25">
      <c r="A214" s="287" t="s">
        <v>673</v>
      </c>
      <c r="B214" s="288">
        <v>2025</v>
      </c>
      <c r="C214" s="288">
        <v>2</v>
      </c>
      <c r="D214" s="287" t="s">
        <v>665</v>
      </c>
      <c r="E214" s="287" t="s">
        <v>405</v>
      </c>
      <c r="F214" s="287" t="s">
        <v>692</v>
      </c>
      <c r="G214" s="284">
        <v>171760</v>
      </c>
    </row>
    <row r="215" spans="1:7" x14ac:dyDescent="0.25">
      <c r="A215" s="287" t="s">
        <v>673</v>
      </c>
      <c r="B215" s="288">
        <v>2025</v>
      </c>
      <c r="C215" s="288">
        <v>3</v>
      </c>
      <c r="D215" s="287" t="s">
        <v>665</v>
      </c>
      <c r="E215" s="287" t="s">
        <v>405</v>
      </c>
      <c r="F215" s="287" t="s">
        <v>692</v>
      </c>
      <c r="G215" s="284">
        <v>171760</v>
      </c>
    </row>
    <row r="216" spans="1:7" x14ac:dyDescent="0.25">
      <c r="A216" s="287" t="s">
        <v>673</v>
      </c>
      <c r="B216" s="288">
        <v>2025</v>
      </c>
      <c r="C216" s="288">
        <v>4</v>
      </c>
      <c r="D216" s="287" t="s">
        <v>665</v>
      </c>
      <c r="E216" s="287" t="s">
        <v>405</v>
      </c>
      <c r="F216" s="287" t="s">
        <v>692</v>
      </c>
      <c r="G216" s="284">
        <v>171760</v>
      </c>
    </row>
    <row r="217" spans="1:7" x14ac:dyDescent="0.25">
      <c r="A217" s="287" t="s">
        <v>673</v>
      </c>
      <c r="B217" s="288">
        <v>2025</v>
      </c>
      <c r="C217" s="288">
        <v>5</v>
      </c>
      <c r="D217" s="287" t="s">
        <v>665</v>
      </c>
      <c r="E217" s="287" t="s">
        <v>405</v>
      </c>
      <c r="F217" s="287" t="s">
        <v>692</v>
      </c>
      <c r="G217" s="284">
        <v>171760</v>
      </c>
    </row>
    <row r="218" spans="1:7" x14ac:dyDescent="0.25">
      <c r="A218" s="287" t="s">
        <v>673</v>
      </c>
      <c r="B218" s="288">
        <v>2025</v>
      </c>
      <c r="C218" s="288">
        <v>6</v>
      </c>
      <c r="D218" s="287" t="s">
        <v>665</v>
      </c>
      <c r="E218" s="287" t="s">
        <v>405</v>
      </c>
      <c r="F218" s="287" t="s">
        <v>692</v>
      </c>
      <c r="G218" s="284">
        <v>171760</v>
      </c>
    </row>
    <row r="219" spans="1:7" x14ac:dyDescent="0.25">
      <c r="A219" s="287" t="s">
        <v>673</v>
      </c>
      <c r="B219" s="288">
        <v>2025</v>
      </c>
      <c r="C219" s="288">
        <v>7</v>
      </c>
      <c r="D219" s="287" t="s">
        <v>665</v>
      </c>
      <c r="E219" s="287" t="s">
        <v>405</v>
      </c>
      <c r="F219" s="287" t="s">
        <v>692</v>
      </c>
      <c r="G219" s="284">
        <v>171760</v>
      </c>
    </row>
    <row r="220" spans="1:7" x14ac:dyDescent="0.25">
      <c r="A220" s="287" t="s">
        <v>673</v>
      </c>
      <c r="B220" s="288">
        <v>2025</v>
      </c>
      <c r="C220" s="288">
        <v>8</v>
      </c>
      <c r="D220" s="287" t="s">
        <v>665</v>
      </c>
      <c r="E220" s="287" t="s">
        <v>405</v>
      </c>
      <c r="F220" s="287" t="s">
        <v>692</v>
      </c>
      <c r="G220" s="284">
        <v>171760</v>
      </c>
    </row>
    <row r="221" spans="1:7" x14ac:dyDescent="0.25">
      <c r="A221" s="287" t="s">
        <v>673</v>
      </c>
      <c r="B221" s="288">
        <v>2025</v>
      </c>
      <c r="C221" s="288">
        <v>0</v>
      </c>
      <c r="D221" s="287" t="s">
        <v>665</v>
      </c>
      <c r="E221" s="287" t="s">
        <v>411</v>
      </c>
      <c r="F221" s="287" t="s">
        <v>693</v>
      </c>
      <c r="G221" s="284">
        <v>-44009.33</v>
      </c>
    </row>
    <row r="222" spans="1:7" x14ac:dyDescent="0.25">
      <c r="A222" s="287" t="s">
        <v>673</v>
      </c>
      <c r="B222" s="288">
        <v>2025</v>
      </c>
      <c r="C222" s="288">
        <v>0</v>
      </c>
      <c r="D222" s="287" t="s">
        <v>665</v>
      </c>
      <c r="E222" s="287" t="s">
        <v>413</v>
      </c>
      <c r="F222" s="287" t="s">
        <v>694</v>
      </c>
      <c r="G222" s="284">
        <v>-2653528.62</v>
      </c>
    </row>
    <row r="223" spans="1:7" x14ac:dyDescent="0.25">
      <c r="A223" s="287" t="s">
        <v>673</v>
      </c>
      <c r="B223" s="288">
        <v>2025</v>
      </c>
      <c r="C223" s="288">
        <v>1</v>
      </c>
      <c r="D223" s="287" t="s">
        <v>665</v>
      </c>
      <c r="E223" s="287" t="s">
        <v>413</v>
      </c>
      <c r="F223" s="287" t="s">
        <v>694</v>
      </c>
      <c r="G223" s="284">
        <v>-107.72</v>
      </c>
    </row>
    <row r="224" spans="1:7" x14ac:dyDescent="0.25">
      <c r="A224" s="287" t="s">
        <v>673</v>
      </c>
      <c r="B224" s="288">
        <v>2025</v>
      </c>
      <c r="C224" s="288">
        <v>2</v>
      </c>
      <c r="D224" s="287" t="s">
        <v>665</v>
      </c>
      <c r="E224" s="287" t="s">
        <v>413</v>
      </c>
      <c r="F224" s="287" t="s">
        <v>694</v>
      </c>
      <c r="G224" s="284">
        <v>212035.62</v>
      </c>
    </row>
    <row r="225" spans="1:7" x14ac:dyDescent="0.25">
      <c r="A225" s="287" t="s">
        <v>673</v>
      </c>
      <c r="B225" s="288">
        <v>2025</v>
      </c>
      <c r="C225" s="288">
        <v>3</v>
      </c>
      <c r="D225" s="287" t="s">
        <v>665</v>
      </c>
      <c r="E225" s="287" t="s">
        <v>413</v>
      </c>
      <c r="F225" s="287" t="s">
        <v>694</v>
      </c>
      <c r="G225" s="284">
        <v>204051.22</v>
      </c>
    </row>
    <row r="226" spans="1:7" x14ac:dyDescent="0.25">
      <c r="A226" s="287" t="s">
        <v>673</v>
      </c>
      <c r="B226" s="288">
        <v>2025</v>
      </c>
      <c r="C226" s="288">
        <v>4</v>
      </c>
      <c r="D226" s="287" t="s">
        <v>665</v>
      </c>
      <c r="E226" s="287" t="s">
        <v>413</v>
      </c>
      <c r="F226" s="287" t="s">
        <v>694</v>
      </c>
      <c r="G226" s="284">
        <v>108408.07</v>
      </c>
    </row>
    <row r="227" spans="1:7" x14ac:dyDescent="0.25">
      <c r="A227" s="287" t="s">
        <v>673</v>
      </c>
      <c r="B227" s="288">
        <v>2025</v>
      </c>
      <c r="C227" s="288">
        <v>5</v>
      </c>
      <c r="D227" s="287" t="s">
        <v>665</v>
      </c>
      <c r="E227" s="287" t="s">
        <v>413</v>
      </c>
      <c r="F227" s="287" t="s">
        <v>694</v>
      </c>
      <c r="G227" s="284">
        <v>1283646.3799999999</v>
      </c>
    </row>
    <row r="228" spans="1:7" x14ac:dyDescent="0.25">
      <c r="A228" s="287" t="s">
        <v>673</v>
      </c>
      <c r="B228" s="288">
        <v>2025</v>
      </c>
      <c r="C228" s="288">
        <v>6</v>
      </c>
      <c r="D228" s="287" t="s">
        <v>665</v>
      </c>
      <c r="E228" s="287" t="s">
        <v>413</v>
      </c>
      <c r="F228" s="287" t="s">
        <v>694</v>
      </c>
      <c r="G228" s="284">
        <v>478900.14</v>
      </c>
    </row>
    <row r="229" spans="1:7" x14ac:dyDescent="0.25">
      <c r="A229" s="287" t="s">
        <v>673</v>
      </c>
      <c r="B229" s="288">
        <v>2025</v>
      </c>
      <c r="C229" s="288">
        <v>7</v>
      </c>
      <c r="D229" s="287" t="s">
        <v>665</v>
      </c>
      <c r="E229" s="287" t="s">
        <v>413</v>
      </c>
      <c r="F229" s="287" t="s">
        <v>694</v>
      </c>
      <c r="G229" s="284">
        <v>239850.29</v>
      </c>
    </row>
    <row r="230" spans="1:7" x14ac:dyDescent="0.25">
      <c r="A230" s="287" t="s">
        <v>673</v>
      </c>
      <c r="B230" s="288">
        <v>2025</v>
      </c>
      <c r="C230" s="288">
        <v>8</v>
      </c>
      <c r="D230" s="287" t="s">
        <v>665</v>
      </c>
      <c r="E230" s="287" t="s">
        <v>413</v>
      </c>
      <c r="F230" s="287" t="s">
        <v>694</v>
      </c>
      <c r="G230" s="284">
        <v>-185665.41</v>
      </c>
    </row>
    <row r="231" spans="1:7" x14ac:dyDescent="0.25">
      <c r="A231" s="287" t="s">
        <v>673</v>
      </c>
      <c r="B231" s="288">
        <v>2025</v>
      </c>
      <c r="C231" s="288">
        <v>0</v>
      </c>
      <c r="D231" s="287" t="s">
        <v>665</v>
      </c>
      <c r="E231" s="287" t="s">
        <v>419</v>
      </c>
      <c r="F231" s="287" t="s">
        <v>695</v>
      </c>
      <c r="G231" s="284">
        <v>-18069409.079999998</v>
      </c>
    </row>
    <row r="232" spans="1:7" x14ac:dyDescent="0.25">
      <c r="A232" s="287" t="s">
        <v>673</v>
      </c>
      <c r="B232" s="288">
        <v>2025</v>
      </c>
      <c r="C232" s="288">
        <v>1</v>
      </c>
      <c r="D232" s="287" t="s">
        <v>665</v>
      </c>
      <c r="E232" s="287" t="s">
        <v>419</v>
      </c>
      <c r="F232" s="287" t="s">
        <v>695</v>
      </c>
      <c r="G232" s="284">
        <v>31028.13</v>
      </c>
    </row>
    <row r="233" spans="1:7" x14ac:dyDescent="0.25">
      <c r="A233" s="287" t="s">
        <v>673</v>
      </c>
      <c r="B233" s="288">
        <v>2025</v>
      </c>
      <c r="C233" s="288">
        <v>2</v>
      </c>
      <c r="D233" s="287" t="s">
        <v>665</v>
      </c>
      <c r="E233" s="287" t="s">
        <v>419</v>
      </c>
      <c r="F233" s="287" t="s">
        <v>695</v>
      </c>
      <c r="G233" s="284">
        <v>31028.13</v>
      </c>
    </row>
    <row r="234" spans="1:7" x14ac:dyDescent="0.25">
      <c r="A234" s="287" t="s">
        <v>673</v>
      </c>
      <c r="B234" s="288">
        <v>2025</v>
      </c>
      <c r="C234" s="288">
        <v>3</v>
      </c>
      <c r="D234" s="287" t="s">
        <v>665</v>
      </c>
      <c r="E234" s="287" t="s">
        <v>419</v>
      </c>
      <c r="F234" s="287" t="s">
        <v>695</v>
      </c>
      <c r="G234" s="284">
        <v>31028.13</v>
      </c>
    </row>
    <row r="235" spans="1:7" x14ac:dyDescent="0.25">
      <c r="A235" s="287" t="s">
        <v>673</v>
      </c>
      <c r="B235" s="288">
        <v>2025</v>
      </c>
      <c r="C235" s="288">
        <v>4</v>
      </c>
      <c r="D235" s="287" t="s">
        <v>665</v>
      </c>
      <c r="E235" s="287" t="s">
        <v>419</v>
      </c>
      <c r="F235" s="287" t="s">
        <v>695</v>
      </c>
      <c r="G235" s="284">
        <v>31028.34</v>
      </c>
    </row>
    <row r="236" spans="1:7" x14ac:dyDescent="0.25">
      <c r="A236" s="287" t="s">
        <v>673</v>
      </c>
      <c r="B236" s="288">
        <v>2025</v>
      </c>
      <c r="C236" s="288">
        <v>5</v>
      </c>
      <c r="D236" s="287" t="s">
        <v>665</v>
      </c>
      <c r="E236" s="287" t="s">
        <v>419</v>
      </c>
      <c r="F236" s="287" t="s">
        <v>695</v>
      </c>
      <c r="G236" s="284">
        <v>31028.13</v>
      </c>
    </row>
    <row r="237" spans="1:7" x14ac:dyDescent="0.25">
      <c r="A237" s="287" t="s">
        <v>673</v>
      </c>
      <c r="B237" s="288">
        <v>2025</v>
      </c>
      <c r="C237" s="288">
        <v>6</v>
      </c>
      <c r="D237" s="287" t="s">
        <v>665</v>
      </c>
      <c r="E237" s="287" t="s">
        <v>419</v>
      </c>
      <c r="F237" s="287" t="s">
        <v>695</v>
      </c>
      <c r="G237" s="284">
        <v>31028.13</v>
      </c>
    </row>
    <row r="238" spans="1:7" x14ac:dyDescent="0.25">
      <c r="A238" s="287" t="s">
        <v>673</v>
      </c>
      <c r="B238" s="288">
        <v>2025</v>
      </c>
      <c r="C238" s="288">
        <v>7</v>
      </c>
      <c r="D238" s="287" t="s">
        <v>665</v>
      </c>
      <c r="E238" s="287" t="s">
        <v>419</v>
      </c>
      <c r="F238" s="287" t="s">
        <v>695</v>
      </c>
      <c r="G238" s="284">
        <v>31028.13</v>
      </c>
    </row>
    <row r="239" spans="1:7" x14ac:dyDescent="0.25">
      <c r="A239" s="287" t="s">
        <v>673</v>
      </c>
      <c r="B239" s="288">
        <v>2025</v>
      </c>
      <c r="C239" s="288">
        <v>8</v>
      </c>
      <c r="D239" s="287" t="s">
        <v>665</v>
      </c>
      <c r="E239" s="287" t="s">
        <v>419</v>
      </c>
      <c r="F239" s="287" t="s">
        <v>695</v>
      </c>
      <c r="G239" s="284">
        <v>31028.13</v>
      </c>
    </row>
    <row r="240" spans="1:7" x14ac:dyDescent="0.25">
      <c r="A240" s="287" t="s">
        <v>673</v>
      </c>
      <c r="B240" s="288">
        <v>2025</v>
      </c>
      <c r="C240" s="288">
        <v>0</v>
      </c>
      <c r="D240" s="287" t="s">
        <v>665</v>
      </c>
      <c r="E240" s="287" t="s">
        <v>423</v>
      </c>
      <c r="F240" s="287" t="s">
        <v>696</v>
      </c>
      <c r="G240" s="284">
        <v>-4906.16</v>
      </c>
    </row>
    <row r="241" spans="1:7" x14ac:dyDescent="0.25">
      <c r="A241" s="287" t="s">
        <v>673</v>
      </c>
      <c r="B241" s="288">
        <v>2025</v>
      </c>
      <c r="C241" s="288">
        <v>1</v>
      </c>
      <c r="D241" s="287" t="s">
        <v>665</v>
      </c>
      <c r="E241" s="287" t="s">
        <v>423</v>
      </c>
      <c r="F241" s="287" t="s">
        <v>696</v>
      </c>
      <c r="G241" s="284">
        <v>14.3</v>
      </c>
    </row>
    <row r="242" spans="1:7" x14ac:dyDescent="0.25">
      <c r="A242" s="287" t="s">
        <v>673</v>
      </c>
      <c r="B242" s="288">
        <v>2025</v>
      </c>
      <c r="C242" s="288">
        <v>2</v>
      </c>
      <c r="D242" s="287" t="s">
        <v>665</v>
      </c>
      <c r="E242" s="287" t="s">
        <v>423</v>
      </c>
      <c r="F242" s="287" t="s">
        <v>696</v>
      </c>
      <c r="G242" s="284">
        <v>14.31</v>
      </c>
    </row>
    <row r="243" spans="1:7" x14ac:dyDescent="0.25">
      <c r="A243" s="287" t="s">
        <v>673</v>
      </c>
      <c r="B243" s="288">
        <v>2025</v>
      </c>
      <c r="C243" s="288">
        <v>3</v>
      </c>
      <c r="D243" s="287" t="s">
        <v>665</v>
      </c>
      <c r="E243" s="287" t="s">
        <v>423</v>
      </c>
      <c r="F243" s="287" t="s">
        <v>696</v>
      </c>
      <c r="G243" s="284">
        <v>14.3</v>
      </c>
    </row>
    <row r="244" spans="1:7" x14ac:dyDescent="0.25">
      <c r="A244" s="287" t="s">
        <v>673</v>
      </c>
      <c r="B244" s="288">
        <v>2025</v>
      </c>
      <c r="C244" s="288">
        <v>4</v>
      </c>
      <c r="D244" s="287" t="s">
        <v>665</v>
      </c>
      <c r="E244" s="287" t="s">
        <v>423</v>
      </c>
      <c r="F244" s="287" t="s">
        <v>696</v>
      </c>
      <c r="G244" s="284">
        <v>14.3</v>
      </c>
    </row>
    <row r="245" spans="1:7" x14ac:dyDescent="0.25">
      <c r="A245" s="287" t="s">
        <v>673</v>
      </c>
      <c r="B245" s="288">
        <v>2025</v>
      </c>
      <c r="C245" s="288">
        <v>5</v>
      </c>
      <c r="D245" s="287" t="s">
        <v>665</v>
      </c>
      <c r="E245" s="287" t="s">
        <v>423</v>
      </c>
      <c r="F245" s="287" t="s">
        <v>696</v>
      </c>
      <c r="G245" s="284">
        <v>14.3</v>
      </c>
    </row>
    <row r="246" spans="1:7" x14ac:dyDescent="0.25">
      <c r="A246" s="287" t="s">
        <v>673</v>
      </c>
      <c r="B246" s="288">
        <v>2025</v>
      </c>
      <c r="C246" s="288">
        <v>6</v>
      </c>
      <c r="D246" s="287" t="s">
        <v>665</v>
      </c>
      <c r="E246" s="287" t="s">
        <v>423</v>
      </c>
      <c r="F246" s="287" t="s">
        <v>696</v>
      </c>
      <c r="G246" s="284">
        <v>14.31</v>
      </c>
    </row>
    <row r="247" spans="1:7" x14ac:dyDescent="0.25">
      <c r="A247" s="287" t="s">
        <v>673</v>
      </c>
      <c r="B247" s="288">
        <v>2025</v>
      </c>
      <c r="C247" s="288">
        <v>7</v>
      </c>
      <c r="D247" s="287" t="s">
        <v>665</v>
      </c>
      <c r="E247" s="287" t="s">
        <v>423</v>
      </c>
      <c r="F247" s="287" t="s">
        <v>696</v>
      </c>
      <c r="G247" s="284">
        <v>14.3</v>
      </c>
    </row>
    <row r="248" spans="1:7" x14ac:dyDescent="0.25">
      <c r="A248" s="287" t="s">
        <v>673</v>
      </c>
      <c r="B248" s="288">
        <v>2025</v>
      </c>
      <c r="C248" s="288">
        <v>8</v>
      </c>
      <c r="D248" s="287" t="s">
        <v>665</v>
      </c>
      <c r="E248" s="287" t="s">
        <v>423</v>
      </c>
      <c r="F248" s="287" t="s">
        <v>696</v>
      </c>
      <c r="G248" s="284">
        <v>14.3</v>
      </c>
    </row>
    <row r="249" spans="1:7" x14ac:dyDescent="0.25">
      <c r="A249" s="287" t="s">
        <v>697</v>
      </c>
      <c r="B249" s="288">
        <v>2025</v>
      </c>
      <c r="C249" s="288">
        <v>0</v>
      </c>
      <c r="D249" s="287" t="s">
        <v>661</v>
      </c>
      <c r="E249" s="287" t="s">
        <v>341</v>
      </c>
      <c r="F249" s="287" t="s">
        <v>698</v>
      </c>
      <c r="G249" s="284">
        <v>-17241390.390000001</v>
      </c>
    </row>
    <row r="250" spans="1:7" x14ac:dyDescent="0.25">
      <c r="A250" s="287" t="s">
        <v>697</v>
      </c>
      <c r="B250" s="288">
        <v>2025</v>
      </c>
      <c r="C250" s="288">
        <v>1</v>
      </c>
      <c r="D250" s="287" t="s">
        <v>661</v>
      </c>
      <c r="E250" s="287" t="s">
        <v>341</v>
      </c>
      <c r="F250" s="287" t="s">
        <v>698</v>
      </c>
      <c r="G250" s="284">
        <v>34443.01</v>
      </c>
    </row>
    <row r="251" spans="1:7" x14ac:dyDescent="0.25">
      <c r="A251" s="287" t="s">
        <v>697</v>
      </c>
      <c r="B251" s="288">
        <v>2025</v>
      </c>
      <c r="C251" s="288">
        <v>2</v>
      </c>
      <c r="D251" s="287" t="s">
        <v>661</v>
      </c>
      <c r="E251" s="287" t="s">
        <v>341</v>
      </c>
      <c r="F251" s="287" t="s">
        <v>698</v>
      </c>
      <c r="G251" s="284">
        <v>34443</v>
      </c>
    </row>
    <row r="252" spans="1:7" x14ac:dyDescent="0.25">
      <c r="A252" s="287" t="s">
        <v>697</v>
      </c>
      <c r="B252" s="288">
        <v>2025</v>
      </c>
      <c r="C252" s="288">
        <v>3</v>
      </c>
      <c r="D252" s="287" t="s">
        <v>661</v>
      </c>
      <c r="E252" s="287" t="s">
        <v>341</v>
      </c>
      <c r="F252" s="287" t="s">
        <v>698</v>
      </c>
      <c r="G252" s="284">
        <v>34443.01</v>
      </c>
    </row>
    <row r="253" spans="1:7" x14ac:dyDescent="0.25">
      <c r="A253" s="287" t="s">
        <v>697</v>
      </c>
      <c r="B253" s="288">
        <v>2025</v>
      </c>
      <c r="C253" s="288">
        <v>4</v>
      </c>
      <c r="D253" s="287" t="s">
        <v>661</v>
      </c>
      <c r="E253" s="287" t="s">
        <v>341</v>
      </c>
      <c r="F253" s="287" t="s">
        <v>698</v>
      </c>
      <c r="G253" s="284">
        <v>34442.99</v>
      </c>
    </row>
    <row r="254" spans="1:7" x14ac:dyDescent="0.25">
      <c r="A254" s="287" t="s">
        <v>697</v>
      </c>
      <c r="B254" s="288">
        <v>2025</v>
      </c>
      <c r="C254" s="288">
        <v>5</v>
      </c>
      <c r="D254" s="287" t="s">
        <v>661</v>
      </c>
      <c r="E254" s="287" t="s">
        <v>341</v>
      </c>
      <c r="F254" s="287" t="s">
        <v>698</v>
      </c>
      <c r="G254" s="284">
        <v>34443</v>
      </c>
    </row>
    <row r="255" spans="1:7" x14ac:dyDescent="0.25">
      <c r="A255" s="287" t="s">
        <v>697</v>
      </c>
      <c r="B255" s="288">
        <v>2025</v>
      </c>
      <c r="C255" s="288">
        <v>6</v>
      </c>
      <c r="D255" s="287" t="s">
        <v>661</v>
      </c>
      <c r="E255" s="287" t="s">
        <v>341</v>
      </c>
      <c r="F255" s="287" t="s">
        <v>698</v>
      </c>
      <c r="G255" s="284">
        <v>1831552.01</v>
      </c>
    </row>
    <row r="256" spans="1:7" x14ac:dyDescent="0.25">
      <c r="A256" s="287" t="s">
        <v>697</v>
      </c>
      <c r="B256" s="288">
        <v>2025</v>
      </c>
      <c r="C256" s="288">
        <v>7</v>
      </c>
      <c r="D256" s="287" t="s">
        <v>661</v>
      </c>
      <c r="E256" s="287" t="s">
        <v>341</v>
      </c>
      <c r="F256" s="287" t="s">
        <v>698</v>
      </c>
      <c r="G256" s="284">
        <v>79278.98</v>
      </c>
    </row>
    <row r="257" spans="1:7" x14ac:dyDescent="0.25">
      <c r="A257" s="287" t="s">
        <v>697</v>
      </c>
      <c r="B257" s="288">
        <v>2025</v>
      </c>
      <c r="C257" s="288">
        <v>8</v>
      </c>
      <c r="D257" s="287" t="s">
        <v>661</v>
      </c>
      <c r="E257" s="287" t="s">
        <v>341</v>
      </c>
      <c r="F257" s="287" t="s">
        <v>698</v>
      </c>
      <c r="G257" s="284">
        <v>79279</v>
      </c>
    </row>
    <row r="258" spans="1:7" x14ac:dyDescent="0.25">
      <c r="A258" s="287" t="s">
        <v>697</v>
      </c>
      <c r="B258" s="288">
        <v>2025</v>
      </c>
      <c r="C258" s="288">
        <v>0</v>
      </c>
      <c r="D258" s="287" t="s">
        <v>661</v>
      </c>
      <c r="E258" s="287" t="s">
        <v>342</v>
      </c>
      <c r="F258" s="287" t="s">
        <v>699</v>
      </c>
      <c r="G258" s="284">
        <v>15723743.619999999</v>
      </c>
    </row>
    <row r="259" spans="1:7" x14ac:dyDescent="0.25">
      <c r="A259" s="287" t="s">
        <v>697</v>
      </c>
      <c r="B259" s="288">
        <v>2025</v>
      </c>
      <c r="C259" s="288">
        <v>1</v>
      </c>
      <c r="D259" s="287" t="s">
        <v>661</v>
      </c>
      <c r="E259" s="287" t="s">
        <v>342</v>
      </c>
      <c r="F259" s="287" t="s">
        <v>699</v>
      </c>
      <c r="G259" s="284">
        <v>-61327.64</v>
      </c>
    </row>
    <row r="260" spans="1:7" x14ac:dyDescent="0.25">
      <c r="A260" s="287" t="s">
        <v>697</v>
      </c>
      <c r="B260" s="288">
        <v>2025</v>
      </c>
      <c r="C260" s="288">
        <v>2</v>
      </c>
      <c r="D260" s="287" t="s">
        <v>661</v>
      </c>
      <c r="E260" s="287" t="s">
        <v>342</v>
      </c>
      <c r="F260" s="287" t="s">
        <v>699</v>
      </c>
      <c r="G260" s="284">
        <v>-68045.22</v>
      </c>
    </row>
    <row r="261" spans="1:7" x14ac:dyDescent="0.25">
      <c r="A261" s="287" t="s">
        <v>697</v>
      </c>
      <c r="B261" s="288">
        <v>2025</v>
      </c>
      <c r="C261" s="288">
        <v>3</v>
      </c>
      <c r="D261" s="287" t="s">
        <v>661</v>
      </c>
      <c r="E261" s="287" t="s">
        <v>342</v>
      </c>
      <c r="F261" s="287" t="s">
        <v>699</v>
      </c>
      <c r="G261" s="284">
        <v>15765.98</v>
      </c>
    </row>
    <row r="262" spans="1:7" x14ac:dyDescent="0.25">
      <c r="A262" s="287" t="s">
        <v>697</v>
      </c>
      <c r="B262" s="288">
        <v>2025</v>
      </c>
      <c r="C262" s="288">
        <v>4</v>
      </c>
      <c r="D262" s="287" t="s">
        <v>661</v>
      </c>
      <c r="E262" s="287" t="s">
        <v>342</v>
      </c>
      <c r="F262" s="287" t="s">
        <v>699</v>
      </c>
      <c r="G262" s="284">
        <v>-57717.53</v>
      </c>
    </row>
    <row r="263" spans="1:7" x14ac:dyDescent="0.25">
      <c r="A263" s="287" t="s">
        <v>697</v>
      </c>
      <c r="B263" s="288">
        <v>2025</v>
      </c>
      <c r="C263" s="288">
        <v>5</v>
      </c>
      <c r="D263" s="287" t="s">
        <v>661</v>
      </c>
      <c r="E263" s="287" t="s">
        <v>342</v>
      </c>
      <c r="F263" s="287" t="s">
        <v>699</v>
      </c>
      <c r="G263" s="284">
        <v>-59391.69</v>
      </c>
    </row>
    <row r="264" spans="1:7" x14ac:dyDescent="0.25">
      <c r="A264" s="287" t="s">
        <v>697</v>
      </c>
      <c r="B264" s="288">
        <v>2025</v>
      </c>
      <c r="C264" s="288">
        <v>6</v>
      </c>
      <c r="D264" s="287" t="s">
        <v>661</v>
      </c>
      <c r="E264" s="287" t="s">
        <v>342</v>
      </c>
      <c r="F264" s="287" t="s">
        <v>699</v>
      </c>
      <c r="G264" s="284">
        <v>-60316.1</v>
      </c>
    </row>
    <row r="265" spans="1:7" x14ac:dyDescent="0.25">
      <c r="A265" s="287" t="s">
        <v>697</v>
      </c>
      <c r="B265" s="288">
        <v>2025</v>
      </c>
      <c r="C265" s="288">
        <v>7</v>
      </c>
      <c r="D265" s="287" t="s">
        <v>661</v>
      </c>
      <c r="E265" s="287" t="s">
        <v>342</v>
      </c>
      <c r="F265" s="287" t="s">
        <v>699</v>
      </c>
      <c r="G265" s="284">
        <v>-57388.88</v>
      </c>
    </row>
    <row r="266" spans="1:7" x14ac:dyDescent="0.25">
      <c r="A266" s="287" t="s">
        <v>697</v>
      </c>
      <c r="B266" s="288">
        <v>2025</v>
      </c>
      <c r="C266" s="288">
        <v>8</v>
      </c>
      <c r="D266" s="287" t="s">
        <v>661</v>
      </c>
      <c r="E266" s="287" t="s">
        <v>342</v>
      </c>
      <c r="F266" s="287" t="s">
        <v>699</v>
      </c>
      <c r="G266" s="284">
        <v>-61461.18</v>
      </c>
    </row>
    <row r="267" spans="1:7" x14ac:dyDescent="0.25">
      <c r="A267" s="287" t="s">
        <v>697</v>
      </c>
      <c r="B267" s="288">
        <v>2025</v>
      </c>
      <c r="C267" s="288">
        <v>0</v>
      </c>
      <c r="D267" s="287" t="s">
        <v>661</v>
      </c>
      <c r="E267" s="287" t="s">
        <v>343</v>
      </c>
      <c r="F267" s="287" t="s">
        <v>700</v>
      </c>
      <c r="G267" s="284">
        <v>-9451227</v>
      </c>
    </row>
    <row r="268" spans="1:7" x14ac:dyDescent="0.25">
      <c r="A268" s="287" t="s">
        <v>697</v>
      </c>
      <c r="B268" s="288">
        <v>2025</v>
      </c>
      <c r="C268" s="288">
        <v>1</v>
      </c>
      <c r="D268" s="287" t="s">
        <v>661</v>
      </c>
      <c r="E268" s="287" t="s">
        <v>343</v>
      </c>
      <c r="F268" s="287" t="s">
        <v>700</v>
      </c>
      <c r="G268" s="284">
        <v>215235</v>
      </c>
    </row>
    <row r="269" spans="1:7" x14ac:dyDescent="0.25">
      <c r="A269" s="287" t="s">
        <v>697</v>
      </c>
      <c r="B269" s="288">
        <v>2025</v>
      </c>
      <c r="C269" s="288">
        <v>2</v>
      </c>
      <c r="D269" s="287" t="s">
        <v>661</v>
      </c>
      <c r="E269" s="287" t="s">
        <v>343</v>
      </c>
      <c r="F269" s="287" t="s">
        <v>700</v>
      </c>
      <c r="G269" s="284">
        <v>215235</v>
      </c>
    </row>
    <row r="270" spans="1:7" x14ac:dyDescent="0.25">
      <c r="A270" s="287" t="s">
        <v>697</v>
      </c>
      <c r="B270" s="288">
        <v>2025</v>
      </c>
      <c r="C270" s="288">
        <v>3</v>
      </c>
      <c r="D270" s="287" t="s">
        <v>661</v>
      </c>
      <c r="E270" s="287" t="s">
        <v>343</v>
      </c>
      <c r="F270" s="287" t="s">
        <v>700</v>
      </c>
      <c r="G270" s="284">
        <v>215235</v>
      </c>
    </row>
    <row r="271" spans="1:7" x14ac:dyDescent="0.25">
      <c r="A271" s="287" t="s">
        <v>697</v>
      </c>
      <c r="B271" s="288">
        <v>2025</v>
      </c>
      <c r="C271" s="288">
        <v>4</v>
      </c>
      <c r="D271" s="287" t="s">
        <v>661</v>
      </c>
      <c r="E271" s="287" t="s">
        <v>343</v>
      </c>
      <c r="F271" s="287" t="s">
        <v>700</v>
      </c>
      <c r="G271" s="284">
        <v>215235</v>
      </c>
    </row>
    <row r="272" spans="1:7" x14ac:dyDescent="0.25">
      <c r="A272" s="287" t="s">
        <v>697</v>
      </c>
      <c r="B272" s="288">
        <v>2025</v>
      </c>
      <c r="C272" s="288">
        <v>5</v>
      </c>
      <c r="D272" s="287" t="s">
        <v>661</v>
      </c>
      <c r="E272" s="287" t="s">
        <v>343</v>
      </c>
      <c r="F272" s="287" t="s">
        <v>700</v>
      </c>
      <c r="G272" s="284">
        <v>215235</v>
      </c>
    </row>
    <row r="273" spans="1:7" x14ac:dyDescent="0.25">
      <c r="A273" s="287" t="s">
        <v>697</v>
      </c>
      <c r="B273" s="288">
        <v>2025</v>
      </c>
      <c r="C273" s="288">
        <v>6</v>
      </c>
      <c r="D273" s="287" t="s">
        <v>661</v>
      </c>
      <c r="E273" s="287" t="s">
        <v>343</v>
      </c>
      <c r="F273" s="287" t="s">
        <v>700</v>
      </c>
      <c r="G273" s="284">
        <v>215235</v>
      </c>
    </row>
    <row r="274" spans="1:7" x14ac:dyDescent="0.25">
      <c r="A274" s="287" t="s">
        <v>697</v>
      </c>
      <c r="B274" s="288">
        <v>2025</v>
      </c>
      <c r="C274" s="288">
        <v>7</v>
      </c>
      <c r="D274" s="287" t="s">
        <v>661</v>
      </c>
      <c r="E274" s="287" t="s">
        <v>343</v>
      </c>
      <c r="F274" s="287" t="s">
        <v>700</v>
      </c>
      <c r="G274" s="284">
        <v>215235</v>
      </c>
    </row>
    <row r="275" spans="1:7" x14ac:dyDescent="0.25">
      <c r="A275" s="287" t="s">
        <v>697</v>
      </c>
      <c r="B275" s="288">
        <v>2025</v>
      </c>
      <c r="C275" s="288">
        <v>8</v>
      </c>
      <c r="D275" s="287" t="s">
        <v>661</v>
      </c>
      <c r="E275" s="287" t="s">
        <v>343</v>
      </c>
      <c r="F275" s="287" t="s">
        <v>700</v>
      </c>
      <c r="G275" s="284">
        <v>215235</v>
      </c>
    </row>
    <row r="276" spans="1:7" x14ac:dyDescent="0.25">
      <c r="A276" s="287" t="s">
        <v>697</v>
      </c>
      <c r="B276" s="288">
        <v>2025</v>
      </c>
      <c r="C276" s="288">
        <v>0</v>
      </c>
      <c r="D276" s="287" t="s">
        <v>661</v>
      </c>
      <c r="E276" s="287" t="s">
        <v>344</v>
      </c>
      <c r="F276" s="287" t="s">
        <v>701</v>
      </c>
      <c r="G276" s="284">
        <v>3595971.15</v>
      </c>
    </row>
    <row r="277" spans="1:7" x14ac:dyDescent="0.25">
      <c r="A277" s="287" t="s">
        <v>697</v>
      </c>
      <c r="B277" s="288">
        <v>2025</v>
      </c>
      <c r="C277" s="288">
        <v>1</v>
      </c>
      <c r="D277" s="287" t="s">
        <v>661</v>
      </c>
      <c r="E277" s="287" t="s">
        <v>344</v>
      </c>
      <c r="F277" s="287" t="s">
        <v>701</v>
      </c>
      <c r="G277" s="284">
        <v>-81657.83</v>
      </c>
    </row>
    <row r="278" spans="1:7" x14ac:dyDescent="0.25">
      <c r="A278" s="287" t="s">
        <v>697</v>
      </c>
      <c r="B278" s="288">
        <v>2025</v>
      </c>
      <c r="C278" s="288">
        <v>2</v>
      </c>
      <c r="D278" s="287" t="s">
        <v>661</v>
      </c>
      <c r="E278" s="287" t="s">
        <v>344</v>
      </c>
      <c r="F278" s="287" t="s">
        <v>701</v>
      </c>
      <c r="G278" s="284">
        <v>-81657.84</v>
      </c>
    </row>
    <row r="279" spans="1:7" x14ac:dyDescent="0.25">
      <c r="A279" s="287" t="s">
        <v>697</v>
      </c>
      <c r="B279" s="288">
        <v>2025</v>
      </c>
      <c r="C279" s="288">
        <v>3</v>
      </c>
      <c r="D279" s="287" t="s">
        <v>661</v>
      </c>
      <c r="E279" s="287" t="s">
        <v>344</v>
      </c>
      <c r="F279" s="287" t="s">
        <v>701</v>
      </c>
      <c r="G279" s="284">
        <v>-81657.83</v>
      </c>
    </row>
    <row r="280" spans="1:7" x14ac:dyDescent="0.25">
      <c r="A280" s="287" t="s">
        <v>697</v>
      </c>
      <c r="B280" s="288">
        <v>2025</v>
      </c>
      <c r="C280" s="288">
        <v>4</v>
      </c>
      <c r="D280" s="287" t="s">
        <v>661</v>
      </c>
      <c r="E280" s="287" t="s">
        <v>344</v>
      </c>
      <c r="F280" s="287" t="s">
        <v>701</v>
      </c>
      <c r="G280" s="284">
        <v>-81657.84</v>
      </c>
    </row>
    <row r="281" spans="1:7" x14ac:dyDescent="0.25">
      <c r="A281" s="287" t="s">
        <v>697</v>
      </c>
      <c r="B281" s="288">
        <v>2025</v>
      </c>
      <c r="C281" s="288">
        <v>5</v>
      </c>
      <c r="D281" s="287" t="s">
        <v>661</v>
      </c>
      <c r="E281" s="287" t="s">
        <v>344</v>
      </c>
      <c r="F281" s="287" t="s">
        <v>701</v>
      </c>
      <c r="G281" s="284">
        <v>-81657.84</v>
      </c>
    </row>
    <row r="282" spans="1:7" x14ac:dyDescent="0.25">
      <c r="A282" s="287" t="s">
        <v>697</v>
      </c>
      <c r="B282" s="288">
        <v>2025</v>
      </c>
      <c r="C282" s="288">
        <v>6</v>
      </c>
      <c r="D282" s="287" t="s">
        <v>661</v>
      </c>
      <c r="E282" s="287" t="s">
        <v>344</v>
      </c>
      <c r="F282" s="287" t="s">
        <v>701</v>
      </c>
      <c r="G282" s="284">
        <v>-81657.83</v>
      </c>
    </row>
    <row r="283" spans="1:7" x14ac:dyDescent="0.25">
      <c r="A283" s="287" t="s">
        <v>697</v>
      </c>
      <c r="B283" s="288">
        <v>2025</v>
      </c>
      <c r="C283" s="288">
        <v>7</v>
      </c>
      <c r="D283" s="287" t="s">
        <v>661</v>
      </c>
      <c r="E283" s="287" t="s">
        <v>344</v>
      </c>
      <c r="F283" s="287" t="s">
        <v>701</v>
      </c>
      <c r="G283" s="284">
        <v>-81657.84</v>
      </c>
    </row>
    <row r="284" spans="1:7" x14ac:dyDescent="0.25">
      <c r="A284" s="287" t="s">
        <v>697</v>
      </c>
      <c r="B284" s="288">
        <v>2025</v>
      </c>
      <c r="C284" s="288">
        <v>8</v>
      </c>
      <c r="D284" s="287" t="s">
        <v>661</v>
      </c>
      <c r="E284" s="287" t="s">
        <v>344</v>
      </c>
      <c r="F284" s="287" t="s">
        <v>701</v>
      </c>
      <c r="G284" s="284">
        <v>-81657.83</v>
      </c>
    </row>
    <row r="285" spans="1:7" x14ac:dyDescent="0.25">
      <c r="A285" s="287" t="s">
        <v>697</v>
      </c>
      <c r="B285" s="288">
        <v>2025</v>
      </c>
      <c r="C285" s="288">
        <v>0</v>
      </c>
      <c r="D285" s="287" t="s">
        <v>661</v>
      </c>
      <c r="E285" s="287" t="s">
        <v>345</v>
      </c>
      <c r="F285" s="287" t="s">
        <v>702</v>
      </c>
      <c r="G285" s="284">
        <v>9451227</v>
      </c>
    </row>
    <row r="286" spans="1:7" x14ac:dyDescent="0.25">
      <c r="A286" s="287" t="s">
        <v>697</v>
      </c>
      <c r="B286" s="288">
        <v>2025</v>
      </c>
      <c r="C286" s="288">
        <v>1</v>
      </c>
      <c r="D286" s="287" t="s">
        <v>661</v>
      </c>
      <c r="E286" s="287" t="s">
        <v>345</v>
      </c>
      <c r="F286" s="287" t="s">
        <v>702</v>
      </c>
      <c r="G286" s="284">
        <v>-215235</v>
      </c>
    </row>
    <row r="287" spans="1:7" x14ac:dyDescent="0.25">
      <c r="A287" s="287" t="s">
        <v>697</v>
      </c>
      <c r="B287" s="288">
        <v>2025</v>
      </c>
      <c r="C287" s="288">
        <v>2</v>
      </c>
      <c r="D287" s="287" t="s">
        <v>661</v>
      </c>
      <c r="E287" s="287" t="s">
        <v>345</v>
      </c>
      <c r="F287" s="287" t="s">
        <v>702</v>
      </c>
      <c r="G287" s="284">
        <v>-215235</v>
      </c>
    </row>
    <row r="288" spans="1:7" x14ac:dyDescent="0.25">
      <c r="A288" s="287" t="s">
        <v>697</v>
      </c>
      <c r="B288" s="288">
        <v>2025</v>
      </c>
      <c r="C288" s="288">
        <v>3</v>
      </c>
      <c r="D288" s="287" t="s">
        <v>661</v>
      </c>
      <c r="E288" s="287" t="s">
        <v>345</v>
      </c>
      <c r="F288" s="287" t="s">
        <v>702</v>
      </c>
      <c r="G288" s="284">
        <v>-215235</v>
      </c>
    </row>
    <row r="289" spans="1:7" x14ac:dyDescent="0.25">
      <c r="A289" s="287" t="s">
        <v>697</v>
      </c>
      <c r="B289" s="288">
        <v>2025</v>
      </c>
      <c r="C289" s="288">
        <v>4</v>
      </c>
      <c r="D289" s="287" t="s">
        <v>661</v>
      </c>
      <c r="E289" s="287" t="s">
        <v>345</v>
      </c>
      <c r="F289" s="287" t="s">
        <v>702</v>
      </c>
      <c r="G289" s="284">
        <v>-215235</v>
      </c>
    </row>
    <row r="290" spans="1:7" x14ac:dyDescent="0.25">
      <c r="A290" s="287" t="s">
        <v>697</v>
      </c>
      <c r="B290" s="288">
        <v>2025</v>
      </c>
      <c r="C290" s="288">
        <v>5</v>
      </c>
      <c r="D290" s="287" t="s">
        <v>661</v>
      </c>
      <c r="E290" s="287" t="s">
        <v>345</v>
      </c>
      <c r="F290" s="287" t="s">
        <v>702</v>
      </c>
      <c r="G290" s="284">
        <v>-215235</v>
      </c>
    </row>
    <row r="291" spans="1:7" x14ac:dyDescent="0.25">
      <c r="A291" s="287" t="s">
        <v>697</v>
      </c>
      <c r="B291" s="288">
        <v>2025</v>
      </c>
      <c r="C291" s="288">
        <v>6</v>
      </c>
      <c r="D291" s="287" t="s">
        <v>661</v>
      </c>
      <c r="E291" s="287" t="s">
        <v>345</v>
      </c>
      <c r="F291" s="287" t="s">
        <v>702</v>
      </c>
      <c r="G291" s="284">
        <v>-215235</v>
      </c>
    </row>
    <row r="292" spans="1:7" x14ac:dyDescent="0.25">
      <c r="A292" s="287" t="s">
        <v>697</v>
      </c>
      <c r="B292" s="288">
        <v>2025</v>
      </c>
      <c r="C292" s="288">
        <v>7</v>
      </c>
      <c r="D292" s="287" t="s">
        <v>661</v>
      </c>
      <c r="E292" s="287" t="s">
        <v>345</v>
      </c>
      <c r="F292" s="287" t="s">
        <v>702</v>
      </c>
      <c r="G292" s="284">
        <v>-215235</v>
      </c>
    </row>
    <row r="293" spans="1:7" x14ac:dyDescent="0.25">
      <c r="A293" s="287" t="s">
        <v>697</v>
      </c>
      <c r="B293" s="288">
        <v>2025</v>
      </c>
      <c r="C293" s="288">
        <v>8</v>
      </c>
      <c r="D293" s="287" t="s">
        <v>661</v>
      </c>
      <c r="E293" s="287" t="s">
        <v>345</v>
      </c>
      <c r="F293" s="287" t="s">
        <v>702</v>
      </c>
      <c r="G293" s="284">
        <v>-215235</v>
      </c>
    </row>
    <row r="294" spans="1:7" x14ac:dyDescent="0.25">
      <c r="A294" s="287" t="s">
        <v>697</v>
      </c>
      <c r="B294" s="288">
        <v>2025</v>
      </c>
      <c r="C294" s="288">
        <v>0</v>
      </c>
      <c r="D294" s="287" t="s">
        <v>661</v>
      </c>
      <c r="E294" s="287" t="s">
        <v>346</v>
      </c>
      <c r="F294" s="287" t="s">
        <v>703</v>
      </c>
      <c r="G294" s="284">
        <v>17241390.390000001</v>
      </c>
    </row>
    <row r="295" spans="1:7" x14ac:dyDescent="0.25">
      <c r="A295" s="287" t="s">
        <v>697</v>
      </c>
      <c r="B295" s="288">
        <v>2025</v>
      </c>
      <c r="C295" s="288">
        <v>1</v>
      </c>
      <c r="D295" s="287" t="s">
        <v>661</v>
      </c>
      <c r="E295" s="287" t="s">
        <v>346</v>
      </c>
      <c r="F295" s="287" t="s">
        <v>703</v>
      </c>
      <c r="G295" s="284">
        <v>-34443</v>
      </c>
    </row>
    <row r="296" spans="1:7" x14ac:dyDescent="0.25">
      <c r="A296" s="287" t="s">
        <v>697</v>
      </c>
      <c r="B296" s="288">
        <v>2025</v>
      </c>
      <c r="C296" s="288">
        <v>2</v>
      </c>
      <c r="D296" s="287" t="s">
        <v>661</v>
      </c>
      <c r="E296" s="287" t="s">
        <v>346</v>
      </c>
      <c r="F296" s="287" t="s">
        <v>703</v>
      </c>
      <c r="G296" s="284">
        <v>-34443</v>
      </c>
    </row>
    <row r="297" spans="1:7" x14ac:dyDescent="0.25">
      <c r="A297" s="287" t="s">
        <v>697</v>
      </c>
      <c r="B297" s="288">
        <v>2025</v>
      </c>
      <c r="C297" s="288">
        <v>3</v>
      </c>
      <c r="D297" s="287" t="s">
        <v>661</v>
      </c>
      <c r="E297" s="287" t="s">
        <v>346</v>
      </c>
      <c r="F297" s="287" t="s">
        <v>703</v>
      </c>
      <c r="G297" s="284">
        <v>-34443</v>
      </c>
    </row>
    <row r="298" spans="1:7" x14ac:dyDescent="0.25">
      <c r="A298" s="287" t="s">
        <v>697</v>
      </c>
      <c r="B298" s="288">
        <v>2025</v>
      </c>
      <c r="C298" s="288">
        <v>4</v>
      </c>
      <c r="D298" s="287" t="s">
        <v>661</v>
      </c>
      <c r="E298" s="287" t="s">
        <v>346</v>
      </c>
      <c r="F298" s="287" t="s">
        <v>703</v>
      </c>
      <c r="G298" s="284">
        <v>-34443</v>
      </c>
    </row>
    <row r="299" spans="1:7" x14ac:dyDescent="0.25">
      <c r="A299" s="287" t="s">
        <v>697</v>
      </c>
      <c r="B299" s="288">
        <v>2025</v>
      </c>
      <c r="C299" s="288">
        <v>5</v>
      </c>
      <c r="D299" s="287" t="s">
        <v>661</v>
      </c>
      <c r="E299" s="287" t="s">
        <v>346</v>
      </c>
      <c r="F299" s="287" t="s">
        <v>703</v>
      </c>
      <c r="G299" s="284">
        <v>-34443</v>
      </c>
    </row>
    <row r="300" spans="1:7" x14ac:dyDescent="0.25">
      <c r="A300" s="287" t="s">
        <v>697</v>
      </c>
      <c r="B300" s="288">
        <v>2025</v>
      </c>
      <c r="C300" s="288">
        <v>6</v>
      </c>
      <c r="D300" s="287" t="s">
        <v>661</v>
      </c>
      <c r="E300" s="287" t="s">
        <v>346</v>
      </c>
      <c r="F300" s="287" t="s">
        <v>703</v>
      </c>
      <c r="G300" s="284">
        <v>-1831552</v>
      </c>
    </row>
    <row r="301" spans="1:7" x14ac:dyDescent="0.25">
      <c r="A301" s="287" t="s">
        <v>697</v>
      </c>
      <c r="B301" s="288">
        <v>2025</v>
      </c>
      <c r="C301" s="288">
        <v>7</v>
      </c>
      <c r="D301" s="287" t="s">
        <v>661</v>
      </c>
      <c r="E301" s="287" t="s">
        <v>346</v>
      </c>
      <c r="F301" s="287" t="s">
        <v>703</v>
      </c>
      <c r="G301" s="284">
        <v>-79279</v>
      </c>
    </row>
    <row r="302" spans="1:7" x14ac:dyDescent="0.25">
      <c r="A302" s="287" t="s">
        <v>697</v>
      </c>
      <c r="B302" s="288">
        <v>2025</v>
      </c>
      <c r="C302" s="288">
        <v>8</v>
      </c>
      <c r="D302" s="287" t="s">
        <v>661</v>
      </c>
      <c r="E302" s="287" t="s">
        <v>346</v>
      </c>
      <c r="F302" s="287" t="s">
        <v>703</v>
      </c>
      <c r="G302" s="284">
        <v>-79279</v>
      </c>
    </row>
    <row r="303" spans="1:7" x14ac:dyDescent="0.25">
      <c r="A303" s="287" t="s">
        <v>697</v>
      </c>
      <c r="B303" s="288">
        <v>2025</v>
      </c>
      <c r="C303" s="288">
        <v>0</v>
      </c>
      <c r="D303" s="287" t="s">
        <v>661</v>
      </c>
      <c r="E303" s="287" t="s">
        <v>359</v>
      </c>
      <c r="F303" s="287" t="s">
        <v>680</v>
      </c>
      <c r="G303" s="284">
        <v>11122823.640000001</v>
      </c>
    </row>
    <row r="304" spans="1:7" x14ac:dyDescent="0.25">
      <c r="A304" s="287" t="s">
        <v>697</v>
      </c>
      <c r="B304" s="288">
        <v>2025</v>
      </c>
      <c r="C304" s="288">
        <v>1</v>
      </c>
      <c r="D304" s="287" t="s">
        <v>661</v>
      </c>
      <c r="E304" s="287" t="s">
        <v>359</v>
      </c>
      <c r="F304" s="287" t="s">
        <v>680</v>
      </c>
      <c r="G304" s="284">
        <v>1017339.82</v>
      </c>
    </row>
    <row r="305" spans="1:7" x14ac:dyDescent="0.25">
      <c r="A305" s="287" t="s">
        <v>697</v>
      </c>
      <c r="B305" s="288">
        <v>2025</v>
      </c>
      <c r="C305" s="288">
        <v>2</v>
      </c>
      <c r="D305" s="287" t="s">
        <v>661</v>
      </c>
      <c r="E305" s="287" t="s">
        <v>359</v>
      </c>
      <c r="F305" s="287" t="s">
        <v>680</v>
      </c>
      <c r="G305" s="284">
        <v>388826.55</v>
      </c>
    </row>
    <row r="306" spans="1:7" x14ac:dyDescent="0.25">
      <c r="A306" s="287" t="s">
        <v>697</v>
      </c>
      <c r="B306" s="288">
        <v>2025</v>
      </c>
      <c r="C306" s="288">
        <v>3</v>
      </c>
      <c r="D306" s="287" t="s">
        <v>661</v>
      </c>
      <c r="E306" s="287" t="s">
        <v>359</v>
      </c>
      <c r="F306" s="287" t="s">
        <v>680</v>
      </c>
      <c r="G306" s="284">
        <v>443351.35</v>
      </c>
    </row>
    <row r="307" spans="1:7" x14ac:dyDescent="0.25">
      <c r="A307" s="287" t="s">
        <v>697</v>
      </c>
      <c r="B307" s="288">
        <v>2025</v>
      </c>
      <c r="C307" s="288">
        <v>4</v>
      </c>
      <c r="D307" s="287" t="s">
        <v>661</v>
      </c>
      <c r="E307" s="287" t="s">
        <v>359</v>
      </c>
      <c r="F307" s="287" t="s">
        <v>680</v>
      </c>
      <c r="G307" s="284">
        <v>35030.57</v>
      </c>
    </row>
    <row r="308" spans="1:7" x14ac:dyDescent="0.25">
      <c r="A308" s="287" t="s">
        <v>697</v>
      </c>
      <c r="B308" s="288">
        <v>2025</v>
      </c>
      <c r="C308" s="288">
        <v>5</v>
      </c>
      <c r="D308" s="287" t="s">
        <v>661</v>
      </c>
      <c r="E308" s="287" t="s">
        <v>359</v>
      </c>
      <c r="F308" s="287" t="s">
        <v>680</v>
      </c>
      <c r="G308" s="284">
        <v>3509.68</v>
      </c>
    </row>
    <row r="309" spans="1:7" x14ac:dyDescent="0.25">
      <c r="A309" s="287" t="s">
        <v>697</v>
      </c>
      <c r="B309" s="288">
        <v>2025</v>
      </c>
      <c r="C309" s="288">
        <v>6</v>
      </c>
      <c r="D309" s="287" t="s">
        <v>661</v>
      </c>
      <c r="E309" s="287" t="s">
        <v>359</v>
      </c>
      <c r="F309" s="287" t="s">
        <v>680</v>
      </c>
      <c r="G309" s="284">
        <v>578014.24</v>
      </c>
    </row>
    <row r="310" spans="1:7" x14ac:dyDescent="0.25">
      <c r="A310" s="287" t="s">
        <v>697</v>
      </c>
      <c r="B310" s="288">
        <v>2025</v>
      </c>
      <c r="C310" s="288">
        <v>7</v>
      </c>
      <c r="D310" s="287" t="s">
        <v>661</v>
      </c>
      <c r="E310" s="287" t="s">
        <v>359</v>
      </c>
      <c r="F310" s="287" t="s">
        <v>680</v>
      </c>
      <c r="G310" s="284">
        <v>-1222635.46</v>
      </c>
    </row>
    <row r="311" spans="1:7" x14ac:dyDescent="0.25">
      <c r="A311" s="287" t="s">
        <v>697</v>
      </c>
      <c r="B311" s="288">
        <v>2025</v>
      </c>
      <c r="C311" s="288">
        <v>8</v>
      </c>
      <c r="D311" s="287" t="s">
        <v>661</v>
      </c>
      <c r="E311" s="287" t="s">
        <v>359</v>
      </c>
      <c r="F311" s="287" t="s">
        <v>680</v>
      </c>
      <c r="G311" s="284">
        <v>-1123537.52</v>
      </c>
    </row>
    <row r="312" spans="1:7" x14ac:dyDescent="0.25">
      <c r="A312" s="287" t="s">
        <v>697</v>
      </c>
      <c r="B312" s="288">
        <v>2025</v>
      </c>
      <c r="C312" s="288">
        <v>0</v>
      </c>
      <c r="D312" s="287" t="s">
        <v>661</v>
      </c>
      <c r="E312" s="287" t="s">
        <v>360</v>
      </c>
      <c r="F312" s="287" t="s">
        <v>681</v>
      </c>
      <c r="G312" s="284">
        <v>1416401.24</v>
      </c>
    </row>
    <row r="313" spans="1:7" x14ac:dyDescent="0.25">
      <c r="A313" s="287" t="s">
        <v>697</v>
      </c>
      <c r="B313" s="288">
        <v>2025</v>
      </c>
      <c r="C313" s="288">
        <v>1</v>
      </c>
      <c r="D313" s="287" t="s">
        <v>661</v>
      </c>
      <c r="E313" s="287" t="s">
        <v>360</v>
      </c>
      <c r="F313" s="287" t="s">
        <v>681</v>
      </c>
      <c r="G313" s="284">
        <v>433863.36</v>
      </c>
    </row>
    <row r="314" spans="1:7" x14ac:dyDescent="0.25">
      <c r="A314" s="287" t="s">
        <v>697</v>
      </c>
      <c r="B314" s="288">
        <v>2025</v>
      </c>
      <c r="C314" s="288">
        <v>2</v>
      </c>
      <c r="D314" s="287" t="s">
        <v>661</v>
      </c>
      <c r="E314" s="287" t="s">
        <v>360</v>
      </c>
      <c r="F314" s="287" t="s">
        <v>681</v>
      </c>
      <c r="G314" s="284">
        <v>200727.24</v>
      </c>
    </row>
    <row r="315" spans="1:7" x14ac:dyDescent="0.25">
      <c r="A315" s="287" t="s">
        <v>697</v>
      </c>
      <c r="B315" s="288">
        <v>2025</v>
      </c>
      <c r="C315" s="288">
        <v>3</v>
      </c>
      <c r="D315" s="287" t="s">
        <v>661</v>
      </c>
      <c r="E315" s="287" t="s">
        <v>360</v>
      </c>
      <c r="F315" s="287" t="s">
        <v>681</v>
      </c>
      <c r="G315" s="284">
        <v>-1099139.58</v>
      </c>
    </row>
    <row r="316" spans="1:7" x14ac:dyDescent="0.25">
      <c r="A316" s="287" t="s">
        <v>697</v>
      </c>
      <c r="B316" s="288">
        <v>2025</v>
      </c>
      <c r="C316" s="288">
        <v>6</v>
      </c>
      <c r="D316" s="287" t="s">
        <v>661</v>
      </c>
      <c r="E316" s="287" t="s">
        <v>360</v>
      </c>
      <c r="F316" s="287" t="s">
        <v>681</v>
      </c>
      <c r="G316" s="284">
        <v>203727.51</v>
      </c>
    </row>
    <row r="317" spans="1:7" x14ac:dyDescent="0.25">
      <c r="A317" s="287" t="s">
        <v>697</v>
      </c>
      <c r="B317" s="288">
        <v>2025</v>
      </c>
      <c r="C317" s="288">
        <v>7</v>
      </c>
      <c r="D317" s="287" t="s">
        <v>661</v>
      </c>
      <c r="E317" s="287" t="s">
        <v>362</v>
      </c>
      <c r="F317" s="287" t="s">
        <v>361</v>
      </c>
      <c r="G317" s="284">
        <v>2920.94</v>
      </c>
    </row>
    <row r="318" spans="1:7" x14ac:dyDescent="0.25">
      <c r="A318" s="287" t="s">
        <v>697</v>
      </c>
      <c r="B318" s="288">
        <v>2025</v>
      </c>
      <c r="C318" s="288">
        <v>8</v>
      </c>
      <c r="D318" s="287" t="s">
        <v>661</v>
      </c>
      <c r="E318" s="287" t="s">
        <v>362</v>
      </c>
      <c r="F318" s="287" t="s">
        <v>361</v>
      </c>
      <c r="G318" s="284">
        <v>-2920.94</v>
      </c>
    </row>
    <row r="319" spans="1:7" x14ac:dyDescent="0.25">
      <c r="A319" s="287" t="s">
        <v>697</v>
      </c>
      <c r="B319" s="288">
        <v>2025</v>
      </c>
      <c r="C319" s="288">
        <v>0</v>
      </c>
      <c r="D319" s="287" t="s">
        <v>661</v>
      </c>
      <c r="E319" s="287" t="s">
        <v>363</v>
      </c>
      <c r="F319" s="287" t="s">
        <v>662</v>
      </c>
      <c r="G319" s="284">
        <v>214012.81</v>
      </c>
    </row>
    <row r="320" spans="1:7" x14ac:dyDescent="0.25">
      <c r="A320" s="287" t="s">
        <v>697</v>
      </c>
      <c r="B320" s="288">
        <v>2025</v>
      </c>
      <c r="C320" s="288">
        <v>0</v>
      </c>
      <c r="D320" s="287" t="s">
        <v>661</v>
      </c>
      <c r="E320" s="287" t="s">
        <v>365</v>
      </c>
      <c r="F320" s="287" t="s">
        <v>364</v>
      </c>
      <c r="G320" s="284">
        <v>64039.42</v>
      </c>
    </row>
    <row r="321" spans="1:7" x14ac:dyDescent="0.25">
      <c r="A321" s="287" t="s">
        <v>697</v>
      </c>
      <c r="B321" s="288">
        <v>2025</v>
      </c>
      <c r="C321" s="288">
        <v>3</v>
      </c>
      <c r="D321" s="287" t="s">
        <v>661</v>
      </c>
      <c r="E321" s="287" t="s">
        <v>365</v>
      </c>
      <c r="F321" s="287" t="s">
        <v>364</v>
      </c>
      <c r="G321" s="284">
        <v>303450</v>
      </c>
    </row>
    <row r="322" spans="1:7" x14ac:dyDescent="0.25">
      <c r="A322" s="287" t="s">
        <v>697</v>
      </c>
      <c r="B322" s="288">
        <v>2025</v>
      </c>
      <c r="C322" s="288">
        <v>6</v>
      </c>
      <c r="D322" s="287" t="s">
        <v>661</v>
      </c>
      <c r="E322" s="287" t="s">
        <v>365</v>
      </c>
      <c r="F322" s="287" t="s">
        <v>364</v>
      </c>
      <c r="G322" s="284">
        <v>735000</v>
      </c>
    </row>
    <row r="323" spans="1:7" x14ac:dyDescent="0.25">
      <c r="A323" s="287" t="s">
        <v>697</v>
      </c>
      <c r="B323" s="288">
        <v>2025</v>
      </c>
      <c r="C323" s="288">
        <v>7</v>
      </c>
      <c r="D323" s="287" t="s">
        <v>661</v>
      </c>
      <c r="E323" s="287" t="s">
        <v>365</v>
      </c>
      <c r="F323" s="287" t="s">
        <v>364</v>
      </c>
      <c r="G323" s="284">
        <v>-963889.5</v>
      </c>
    </row>
    <row r="324" spans="1:7" x14ac:dyDescent="0.25">
      <c r="A324" s="287" t="s">
        <v>697</v>
      </c>
      <c r="B324" s="288">
        <v>2025</v>
      </c>
      <c r="C324" s="288">
        <v>0</v>
      </c>
      <c r="D324" s="287" t="s">
        <v>661</v>
      </c>
      <c r="E324" s="287" t="s">
        <v>367</v>
      </c>
      <c r="F324" s="287" t="s">
        <v>366</v>
      </c>
      <c r="G324" s="284">
        <v>2547314.91</v>
      </c>
    </row>
    <row r="325" spans="1:7" x14ac:dyDescent="0.25">
      <c r="A325" s="287" t="s">
        <v>697</v>
      </c>
      <c r="B325" s="288">
        <v>2025</v>
      </c>
      <c r="C325" s="288">
        <v>0</v>
      </c>
      <c r="D325" s="287" t="s">
        <v>661</v>
      </c>
      <c r="E325" s="287" t="s">
        <v>368</v>
      </c>
      <c r="F325" s="287" t="s">
        <v>682</v>
      </c>
      <c r="G325" s="284">
        <v>47911.91</v>
      </c>
    </row>
    <row r="326" spans="1:7" x14ac:dyDescent="0.25">
      <c r="A326" s="287" t="s">
        <v>697</v>
      </c>
      <c r="B326" s="288">
        <v>2025</v>
      </c>
      <c r="C326" s="288">
        <v>1</v>
      </c>
      <c r="D326" s="287" t="s">
        <v>661</v>
      </c>
      <c r="E326" s="287" t="s">
        <v>368</v>
      </c>
      <c r="F326" s="287" t="s">
        <v>682</v>
      </c>
      <c r="G326" s="284">
        <v>770.29</v>
      </c>
    </row>
    <row r="327" spans="1:7" x14ac:dyDescent="0.25">
      <c r="A327" s="287" t="s">
        <v>697</v>
      </c>
      <c r="B327" s="288">
        <v>2025</v>
      </c>
      <c r="C327" s="288">
        <v>2</v>
      </c>
      <c r="D327" s="287" t="s">
        <v>661</v>
      </c>
      <c r="E327" s="287" t="s">
        <v>368</v>
      </c>
      <c r="F327" s="287" t="s">
        <v>682</v>
      </c>
      <c r="G327" s="284">
        <v>816.55</v>
      </c>
    </row>
    <row r="328" spans="1:7" x14ac:dyDescent="0.25">
      <c r="A328" s="287" t="s">
        <v>697</v>
      </c>
      <c r="B328" s="288">
        <v>2025</v>
      </c>
      <c r="C328" s="288">
        <v>3</v>
      </c>
      <c r="D328" s="287" t="s">
        <v>661</v>
      </c>
      <c r="E328" s="287" t="s">
        <v>368</v>
      </c>
      <c r="F328" s="287" t="s">
        <v>682</v>
      </c>
      <c r="G328" s="284">
        <v>12431.37</v>
      </c>
    </row>
    <row r="329" spans="1:7" x14ac:dyDescent="0.25">
      <c r="A329" s="287" t="s">
        <v>697</v>
      </c>
      <c r="B329" s="288">
        <v>2025</v>
      </c>
      <c r="C329" s="288">
        <v>4</v>
      </c>
      <c r="D329" s="287" t="s">
        <v>661</v>
      </c>
      <c r="E329" s="287" t="s">
        <v>368</v>
      </c>
      <c r="F329" s="287" t="s">
        <v>682</v>
      </c>
      <c r="G329" s="284">
        <v>800.37</v>
      </c>
    </row>
    <row r="330" spans="1:7" x14ac:dyDescent="0.25">
      <c r="A330" s="287" t="s">
        <v>697</v>
      </c>
      <c r="B330" s="288">
        <v>2025</v>
      </c>
      <c r="C330" s="288">
        <v>5</v>
      </c>
      <c r="D330" s="287" t="s">
        <v>661</v>
      </c>
      <c r="E330" s="287" t="s">
        <v>368</v>
      </c>
      <c r="F330" s="287" t="s">
        <v>682</v>
      </c>
      <c r="G330" s="284">
        <v>1200.56</v>
      </c>
    </row>
    <row r="331" spans="1:7" x14ac:dyDescent="0.25">
      <c r="A331" s="287" t="s">
        <v>697</v>
      </c>
      <c r="B331" s="288">
        <v>2025</v>
      </c>
      <c r="C331" s="288">
        <v>6</v>
      </c>
      <c r="D331" s="287" t="s">
        <v>661</v>
      </c>
      <c r="E331" s="287" t="s">
        <v>368</v>
      </c>
      <c r="F331" s="287" t="s">
        <v>682</v>
      </c>
      <c r="G331" s="284">
        <v>6661</v>
      </c>
    </row>
    <row r="332" spans="1:7" x14ac:dyDescent="0.25">
      <c r="A332" s="287" t="s">
        <v>697</v>
      </c>
      <c r="B332" s="288">
        <v>2025</v>
      </c>
      <c r="C332" s="288">
        <v>7</v>
      </c>
      <c r="D332" s="287" t="s">
        <v>661</v>
      </c>
      <c r="E332" s="287" t="s">
        <v>368</v>
      </c>
      <c r="F332" s="287" t="s">
        <v>682</v>
      </c>
      <c r="G332" s="284">
        <v>800.38</v>
      </c>
    </row>
    <row r="333" spans="1:7" x14ac:dyDescent="0.25">
      <c r="A333" s="287" t="s">
        <v>697</v>
      </c>
      <c r="B333" s="288">
        <v>2025</v>
      </c>
      <c r="C333" s="288">
        <v>8</v>
      </c>
      <c r="D333" s="287" t="s">
        <v>661</v>
      </c>
      <c r="E333" s="287" t="s">
        <v>368</v>
      </c>
      <c r="F333" s="287" t="s">
        <v>682</v>
      </c>
      <c r="G333" s="284">
        <v>-46335.98</v>
      </c>
    </row>
    <row r="334" spans="1:7" x14ac:dyDescent="0.25">
      <c r="A334" s="287" t="s">
        <v>697</v>
      </c>
      <c r="B334" s="288">
        <v>2025</v>
      </c>
      <c r="C334" s="288">
        <v>0</v>
      </c>
      <c r="D334" s="287" t="s">
        <v>661</v>
      </c>
      <c r="E334" s="287" t="s">
        <v>369</v>
      </c>
      <c r="F334" s="287" t="s">
        <v>704</v>
      </c>
      <c r="G334" s="284">
        <v>10258968.92</v>
      </c>
    </row>
    <row r="335" spans="1:7" x14ac:dyDescent="0.25">
      <c r="A335" s="287" t="s">
        <v>697</v>
      </c>
      <c r="B335" s="288">
        <v>2025</v>
      </c>
      <c r="C335" s="288">
        <v>1</v>
      </c>
      <c r="D335" s="287" t="s">
        <v>661</v>
      </c>
      <c r="E335" s="287" t="s">
        <v>369</v>
      </c>
      <c r="F335" s="287" t="s">
        <v>704</v>
      </c>
      <c r="G335" s="284">
        <v>559498.03</v>
      </c>
    </row>
    <row r="336" spans="1:7" x14ac:dyDescent="0.25">
      <c r="A336" s="287" t="s">
        <v>697</v>
      </c>
      <c r="B336" s="288">
        <v>2025</v>
      </c>
      <c r="C336" s="288">
        <v>2</v>
      </c>
      <c r="D336" s="287" t="s">
        <v>661</v>
      </c>
      <c r="E336" s="287" t="s">
        <v>369</v>
      </c>
      <c r="F336" s="287" t="s">
        <v>704</v>
      </c>
      <c r="G336" s="284">
        <v>339268.58</v>
      </c>
    </row>
    <row r="337" spans="1:7" x14ac:dyDescent="0.25">
      <c r="A337" s="287" t="s">
        <v>697</v>
      </c>
      <c r="B337" s="288">
        <v>2025</v>
      </c>
      <c r="C337" s="288">
        <v>3</v>
      </c>
      <c r="D337" s="287" t="s">
        <v>661</v>
      </c>
      <c r="E337" s="287" t="s">
        <v>369</v>
      </c>
      <c r="F337" s="287" t="s">
        <v>704</v>
      </c>
      <c r="G337" s="284">
        <v>-685568.08</v>
      </c>
    </row>
    <row r="338" spans="1:7" x14ac:dyDescent="0.25">
      <c r="A338" s="287" t="s">
        <v>697</v>
      </c>
      <c r="B338" s="288">
        <v>2025</v>
      </c>
      <c r="C338" s="288">
        <v>4</v>
      </c>
      <c r="D338" s="287" t="s">
        <v>661</v>
      </c>
      <c r="E338" s="287" t="s">
        <v>369</v>
      </c>
      <c r="F338" s="287" t="s">
        <v>704</v>
      </c>
      <c r="G338" s="284">
        <v>164215.14000000001</v>
      </c>
    </row>
    <row r="339" spans="1:7" x14ac:dyDescent="0.25">
      <c r="A339" s="287" t="s">
        <v>697</v>
      </c>
      <c r="B339" s="288">
        <v>2025</v>
      </c>
      <c r="C339" s="288">
        <v>5</v>
      </c>
      <c r="D339" s="287" t="s">
        <v>661</v>
      </c>
      <c r="E339" s="287" t="s">
        <v>369</v>
      </c>
      <c r="F339" s="287" t="s">
        <v>704</v>
      </c>
      <c r="G339" s="284">
        <v>170948.66</v>
      </c>
    </row>
    <row r="340" spans="1:7" x14ac:dyDescent="0.25">
      <c r="A340" s="287" t="s">
        <v>697</v>
      </c>
      <c r="B340" s="288">
        <v>2025</v>
      </c>
      <c r="C340" s="288">
        <v>6</v>
      </c>
      <c r="D340" s="287" t="s">
        <v>661</v>
      </c>
      <c r="E340" s="287" t="s">
        <v>369</v>
      </c>
      <c r="F340" s="287" t="s">
        <v>704</v>
      </c>
      <c r="G340" s="284">
        <v>309960.40000000002</v>
      </c>
    </row>
    <row r="341" spans="1:7" x14ac:dyDescent="0.25">
      <c r="A341" s="287" t="s">
        <v>697</v>
      </c>
      <c r="B341" s="288">
        <v>2025</v>
      </c>
      <c r="C341" s="288">
        <v>7</v>
      </c>
      <c r="D341" s="287" t="s">
        <v>661</v>
      </c>
      <c r="E341" s="287" t="s">
        <v>369</v>
      </c>
      <c r="F341" s="287" t="s">
        <v>704</v>
      </c>
      <c r="G341" s="284">
        <v>392051.1</v>
      </c>
    </row>
    <row r="342" spans="1:7" x14ac:dyDescent="0.25">
      <c r="A342" s="287" t="s">
        <v>697</v>
      </c>
      <c r="B342" s="288">
        <v>2025</v>
      </c>
      <c r="C342" s="288">
        <v>8</v>
      </c>
      <c r="D342" s="287" t="s">
        <v>661</v>
      </c>
      <c r="E342" s="287" t="s">
        <v>369</v>
      </c>
      <c r="F342" s="287" t="s">
        <v>704</v>
      </c>
      <c r="G342" s="284">
        <v>274448.13</v>
      </c>
    </row>
    <row r="343" spans="1:7" x14ac:dyDescent="0.25">
      <c r="A343" s="287" t="s">
        <v>697</v>
      </c>
      <c r="B343" s="288">
        <v>2025</v>
      </c>
      <c r="C343" s="288">
        <v>0</v>
      </c>
      <c r="D343" s="287" t="s">
        <v>661</v>
      </c>
      <c r="E343" s="287" t="s">
        <v>372</v>
      </c>
      <c r="F343" s="287" t="s">
        <v>684</v>
      </c>
      <c r="G343" s="284">
        <v>2578077.2999999998</v>
      </c>
    </row>
    <row r="344" spans="1:7" x14ac:dyDescent="0.25">
      <c r="A344" s="287" t="s">
        <v>697</v>
      </c>
      <c r="B344" s="288">
        <v>2025</v>
      </c>
      <c r="C344" s="288">
        <v>1</v>
      </c>
      <c r="D344" s="287" t="s">
        <v>661</v>
      </c>
      <c r="E344" s="287" t="s">
        <v>372</v>
      </c>
      <c r="F344" s="287" t="s">
        <v>684</v>
      </c>
      <c r="G344" s="284">
        <v>258722.3</v>
      </c>
    </row>
    <row r="345" spans="1:7" x14ac:dyDescent="0.25">
      <c r="A345" s="287" t="s">
        <v>697</v>
      </c>
      <c r="B345" s="288">
        <v>2025</v>
      </c>
      <c r="C345" s="288">
        <v>2</v>
      </c>
      <c r="D345" s="287" t="s">
        <v>661</v>
      </c>
      <c r="E345" s="287" t="s">
        <v>372</v>
      </c>
      <c r="F345" s="287" t="s">
        <v>684</v>
      </c>
      <c r="G345" s="284">
        <v>-226166.61</v>
      </c>
    </row>
    <row r="346" spans="1:7" x14ac:dyDescent="0.25">
      <c r="A346" s="287" t="s">
        <v>697</v>
      </c>
      <c r="B346" s="288">
        <v>2025</v>
      </c>
      <c r="C346" s="288">
        <v>3</v>
      </c>
      <c r="D346" s="287" t="s">
        <v>661</v>
      </c>
      <c r="E346" s="287" t="s">
        <v>372</v>
      </c>
      <c r="F346" s="287" t="s">
        <v>684</v>
      </c>
      <c r="G346" s="284">
        <v>209830.67</v>
      </c>
    </row>
    <row r="347" spans="1:7" x14ac:dyDescent="0.25">
      <c r="A347" s="287" t="s">
        <v>697</v>
      </c>
      <c r="B347" s="288">
        <v>2025</v>
      </c>
      <c r="C347" s="288">
        <v>4</v>
      </c>
      <c r="D347" s="287" t="s">
        <v>661</v>
      </c>
      <c r="E347" s="287" t="s">
        <v>372</v>
      </c>
      <c r="F347" s="287" t="s">
        <v>684</v>
      </c>
      <c r="G347" s="284">
        <v>14368.62</v>
      </c>
    </row>
    <row r="348" spans="1:7" x14ac:dyDescent="0.25">
      <c r="A348" s="287" t="s">
        <v>697</v>
      </c>
      <c r="B348" s="288">
        <v>2025</v>
      </c>
      <c r="C348" s="288">
        <v>5</v>
      </c>
      <c r="D348" s="287" t="s">
        <v>661</v>
      </c>
      <c r="E348" s="287" t="s">
        <v>372</v>
      </c>
      <c r="F348" s="287" t="s">
        <v>684</v>
      </c>
      <c r="G348" s="284">
        <v>-96856.06</v>
      </c>
    </row>
    <row r="349" spans="1:7" x14ac:dyDescent="0.25">
      <c r="A349" s="287" t="s">
        <v>697</v>
      </c>
      <c r="B349" s="288">
        <v>2025</v>
      </c>
      <c r="C349" s="288">
        <v>6</v>
      </c>
      <c r="D349" s="287" t="s">
        <v>661</v>
      </c>
      <c r="E349" s="287" t="s">
        <v>372</v>
      </c>
      <c r="F349" s="287" t="s">
        <v>684</v>
      </c>
      <c r="G349" s="284">
        <v>30002.77</v>
      </c>
    </row>
    <row r="350" spans="1:7" x14ac:dyDescent="0.25">
      <c r="A350" s="287" t="s">
        <v>697</v>
      </c>
      <c r="B350" s="288">
        <v>2025</v>
      </c>
      <c r="C350" s="288">
        <v>7</v>
      </c>
      <c r="D350" s="287" t="s">
        <v>661</v>
      </c>
      <c r="E350" s="287" t="s">
        <v>372</v>
      </c>
      <c r="F350" s="287" t="s">
        <v>684</v>
      </c>
      <c r="G350" s="284">
        <v>453759.18</v>
      </c>
    </row>
    <row r="351" spans="1:7" x14ac:dyDescent="0.25">
      <c r="A351" s="287" t="s">
        <v>697</v>
      </c>
      <c r="B351" s="288">
        <v>2025</v>
      </c>
      <c r="C351" s="288">
        <v>8</v>
      </c>
      <c r="D351" s="287" t="s">
        <v>661</v>
      </c>
      <c r="E351" s="287" t="s">
        <v>372</v>
      </c>
      <c r="F351" s="287" t="s">
        <v>684</v>
      </c>
      <c r="G351" s="284">
        <v>-16883.009999999998</v>
      </c>
    </row>
    <row r="352" spans="1:7" x14ac:dyDescent="0.25">
      <c r="A352" s="287" t="s">
        <v>697</v>
      </c>
      <c r="B352" s="288">
        <v>2025</v>
      </c>
      <c r="C352" s="288">
        <v>0</v>
      </c>
      <c r="D352" s="287" t="s">
        <v>661</v>
      </c>
      <c r="E352" s="287" t="s">
        <v>375</v>
      </c>
      <c r="F352" s="287" t="s">
        <v>685</v>
      </c>
      <c r="G352" s="284">
        <v>18242258.300000001</v>
      </c>
    </row>
    <row r="353" spans="1:7" x14ac:dyDescent="0.25">
      <c r="A353" s="287" t="s">
        <v>697</v>
      </c>
      <c r="B353" s="288">
        <v>2025</v>
      </c>
      <c r="C353" s="288">
        <v>1</v>
      </c>
      <c r="D353" s="287" t="s">
        <v>661</v>
      </c>
      <c r="E353" s="287" t="s">
        <v>375</v>
      </c>
      <c r="F353" s="287" t="s">
        <v>685</v>
      </c>
      <c r="G353" s="284">
        <v>-3749651.54</v>
      </c>
    </row>
    <row r="354" spans="1:7" x14ac:dyDescent="0.25">
      <c r="A354" s="287" t="s">
        <v>697</v>
      </c>
      <c r="B354" s="288">
        <v>2025</v>
      </c>
      <c r="C354" s="288">
        <v>2</v>
      </c>
      <c r="D354" s="287" t="s">
        <v>661</v>
      </c>
      <c r="E354" s="287" t="s">
        <v>375</v>
      </c>
      <c r="F354" s="287" t="s">
        <v>685</v>
      </c>
      <c r="G354" s="284">
        <v>-1336287.75</v>
      </c>
    </row>
    <row r="355" spans="1:7" x14ac:dyDescent="0.25">
      <c r="A355" s="287" t="s">
        <v>697</v>
      </c>
      <c r="B355" s="288">
        <v>2025</v>
      </c>
      <c r="C355" s="288">
        <v>3</v>
      </c>
      <c r="D355" s="287" t="s">
        <v>661</v>
      </c>
      <c r="E355" s="287" t="s">
        <v>375</v>
      </c>
      <c r="F355" s="287" t="s">
        <v>685</v>
      </c>
      <c r="G355" s="284">
        <v>10056525.300000001</v>
      </c>
    </row>
    <row r="356" spans="1:7" x14ac:dyDescent="0.25">
      <c r="A356" s="287" t="s">
        <v>697</v>
      </c>
      <c r="B356" s="288">
        <v>2025</v>
      </c>
      <c r="C356" s="288">
        <v>4</v>
      </c>
      <c r="D356" s="287" t="s">
        <v>661</v>
      </c>
      <c r="E356" s="287" t="s">
        <v>375</v>
      </c>
      <c r="F356" s="287" t="s">
        <v>685</v>
      </c>
      <c r="G356" s="284">
        <v>-2906777.89</v>
      </c>
    </row>
    <row r="357" spans="1:7" x14ac:dyDescent="0.25">
      <c r="A357" s="287" t="s">
        <v>697</v>
      </c>
      <c r="B357" s="288">
        <v>2025</v>
      </c>
      <c r="C357" s="288">
        <v>5</v>
      </c>
      <c r="D357" s="287" t="s">
        <v>661</v>
      </c>
      <c r="E357" s="287" t="s">
        <v>375</v>
      </c>
      <c r="F357" s="287" t="s">
        <v>685</v>
      </c>
      <c r="G357" s="284">
        <v>1669901.43</v>
      </c>
    </row>
    <row r="358" spans="1:7" x14ac:dyDescent="0.25">
      <c r="A358" s="287" t="s">
        <v>697</v>
      </c>
      <c r="B358" s="288">
        <v>2025</v>
      </c>
      <c r="C358" s="288">
        <v>6</v>
      </c>
      <c r="D358" s="287" t="s">
        <v>661</v>
      </c>
      <c r="E358" s="287" t="s">
        <v>375</v>
      </c>
      <c r="F358" s="287" t="s">
        <v>685</v>
      </c>
      <c r="G358" s="284">
        <v>6455721.8099999996</v>
      </c>
    </row>
    <row r="359" spans="1:7" x14ac:dyDescent="0.25">
      <c r="A359" s="287" t="s">
        <v>697</v>
      </c>
      <c r="B359" s="288">
        <v>2025</v>
      </c>
      <c r="C359" s="288">
        <v>7</v>
      </c>
      <c r="D359" s="287" t="s">
        <v>661</v>
      </c>
      <c r="E359" s="287" t="s">
        <v>375</v>
      </c>
      <c r="F359" s="287" t="s">
        <v>685</v>
      </c>
      <c r="G359" s="284">
        <v>-2501636.88</v>
      </c>
    </row>
    <row r="360" spans="1:7" x14ac:dyDescent="0.25">
      <c r="A360" s="287" t="s">
        <v>697</v>
      </c>
      <c r="B360" s="288">
        <v>2025</v>
      </c>
      <c r="C360" s="288">
        <v>8</v>
      </c>
      <c r="D360" s="287" t="s">
        <v>661</v>
      </c>
      <c r="E360" s="287" t="s">
        <v>375</v>
      </c>
      <c r="F360" s="287" t="s">
        <v>685</v>
      </c>
      <c r="G360" s="284">
        <v>1443900</v>
      </c>
    </row>
    <row r="361" spans="1:7" x14ac:dyDescent="0.25">
      <c r="A361" s="287" t="s">
        <v>697</v>
      </c>
      <c r="B361" s="288">
        <v>2025</v>
      </c>
      <c r="C361" s="288">
        <v>0</v>
      </c>
      <c r="D361" s="287" t="s">
        <v>661</v>
      </c>
      <c r="E361" s="287" t="s">
        <v>377</v>
      </c>
      <c r="F361" s="287" t="s">
        <v>706</v>
      </c>
      <c r="G361" s="284">
        <v>36336.129999999997</v>
      </c>
    </row>
    <row r="362" spans="1:7" x14ac:dyDescent="0.25">
      <c r="A362" s="287" t="s">
        <v>697</v>
      </c>
      <c r="B362" s="288">
        <v>2025</v>
      </c>
      <c r="C362" s="288">
        <v>0</v>
      </c>
      <c r="D362" s="287" t="s">
        <v>661</v>
      </c>
      <c r="E362" s="287" t="s">
        <v>378</v>
      </c>
      <c r="F362" s="287" t="s">
        <v>707</v>
      </c>
      <c r="G362" s="284">
        <v>7048787.6900000004</v>
      </c>
    </row>
    <row r="363" spans="1:7" x14ac:dyDescent="0.25">
      <c r="A363" s="287" t="s">
        <v>697</v>
      </c>
      <c r="B363" s="288">
        <v>2025</v>
      </c>
      <c r="C363" s="288">
        <v>3</v>
      </c>
      <c r="D363" s="287" t="s">
        <v>661</v>
      </c>
      <c r="E363" s="287" t="s">
        <v>378</v>
      </c>
      <c r="F363" s="287" t="s">
        <v>707</v>
      </c>
      <c r="G363" s="284">
        <v>-83856.289999999994</v>
      </c>
    </row>
    <row r="364" spans="1:7" x14ac:dyDescent="0.25">
      <c r="A364" s="287" t="s">
        <v>697</v>
      </c>
      <c r="B364" s="288">
        <v>2025</v>
      </c>
      <c r="C364" s="288">
        <v>6</v>
      </c>
      <c r="D364" s="287" t="s">
        <v>661</v>
      </c>
      <c r="E364" s="287" t="s">
        <v>378</v>
      </c>
      <c r="F364" s="287" t="s">
        <v>707</v>
      </c>
      <c r="G364" s="284">
        <v>-83856.28</v>
      </c>
    </row>
    <row r="365" spans="1:7" x14ac:dyDescent="0.25">
      <c r="A365" s="287" t="s">
        <v>697</v>
      </c>
      <c r="B365" s="288">
        <v>2025</v>
      </c>
      <c r="C365" s="288">
        <v>8</v>
      </c>
      <c r="D365" s="287" t="s">
        <v>661</v>
      </c>
      <c r="E365" s="287" t="s">
        <v>378</v>
      </c>
      <c r="F365" s="287" t="s">
        <v>707</v>
      </c>
      <c r="G365" s="284">
        <v>-55904.19</v>
      </c>
    </row>
    <row r="366" spans="1:7" x14ac:dyDescent="0.25">
      <c r="A366" s="287" t="s">
        <v>697</v>
      </c>
      <c r="B366" s="288">
        <v>2025</v>
      </c>
      <c r="C366" s="288">
        <v>0</v>
      </c>
      <c r="D366" s="287" t="s">
        <v>661</v>
      </c>
      <c r="E366" s="287" t="s">
        <v>380</v>
      </c>
      <c r="F366" s="287" t="s">
        <v>709</v>
      </c>
      <c r="G366" s="284">
        <v>158861.10999999999</v>
      </c>
    </row>
    <row r="367" spans="1:7" x14ac:dyDescent="0.25">
      <c r="A367" s="287" t="s">
        <v>697</v>
      </c>
      <c r="B367" s="288">
        <v>2025</v>
      </c>
      <c r="C367" s="288">
        <v>1</v>
      </c>
      <c r="D367" s="287" t="s">
        <v>661</v>
      </c>
      <c r="E367" s="287" t="s">
        <v>380</v>
      </c>
      <c r="F367" s="287" t="s">
        <v>709</v>
      </c>
      <c r="G367" s="284">
        <v>8191.89</v>
      </c>
    </row>
    <row r="368" spans="1:7" x14ac:dyDescent="0.25">
      <c r="A368" s="287" t="s">
        <v>697</v>
      </c>
      <c r="B368" s="288">
        <v>2025</v>
      </c>
      <c r="C368" s="288">
        <v>3</v>
      </c>
      <c r="D368" s="287" t="s">
        <v>661</v>
      </c>
      <c r="E368" s="287" t="s">
        <v>380</v>
      </c>
      <c r="F368" s="287" t="s">
        <v>709</v>
      </c>
      <c r="G368" s="284">
        <v>142210.95000000001</v>
      </c>
    </row>
    <row r="369" spans="1:7" x14ac:dyDescent="0.25">
      <c r="A369" s="287" t="s">
        <v>697</v>
      </c>
      <c r="B369" s="288">
        <v>2025</v>
      </c>
      <c r="C369" s="288">
        <v>5</v>
      </c>
      <c r="D369" s="287" t="s">
        <v>661</v>
      </c>
      <c r="E369" s="287" t="s">
        <v>380</v>
      </c>
      <c r="F369" s="287" t="s">
        <v>709</v>
      </c>
      <c r="G369" s="284">
        <v>44390.22</v>
      </c>
    </row>
    <row r="370" spans="1:7" x14ac:dyDescent="0.25">
      <c r="A370" s="287" t="s">
        <v>697</v>
      </c>
      <c r="B370" s="288">
        <v>2025</v>
      </c>
      <c r="C370" s="288">
        <v>6</v>
      </c>
      <c r="D370" s="287" t="s">
        <v>661</v>
      </c>
      <c r="E370" s="287" t="s">
        <v>380</v>
      </c>
      <c r="F370" s="287" t="s">
        <v>709</v>
      </c>
      <c r="G370" s="284">
        <v>84395.43</v>
      </c>
    </row>
    <row r="371" spans="1:7" x14ac:dyDescent="0.25">
      <c r="A371" s="287" t="s">
        <v>697</v>
      </c>
      <c r="B371" s="288">
        <v>2025</v>
      </c>
      <c r="C371" s="288">
        <v>7</v>
      </c>
      <c r="D371" s="287" t="s">
        <v>661</v>
      </c>
      <c r="E371" s="287" t="s">
        <v>380</v>
      </c>
      <c r="F371" s="287" t="s">
        <v>709</v>
      </c>
      <c r="G371" s="284">
        <v>42189</v>
      </c>
    </row>
    <row r="372" spans="1:7" x14ac:dyDescent="0.25">
      <c r="A372" s="287" t="s">
        <v>697</v>
      </c>
      <c r="B372" s="288">
        <v>2025</v>
      </c>
      <c r="C372" s="288">
        <v>8</v>
      </c>
      <c r="D372" s="287" t="s">
        <v>661</v>
      </c>
      <c r="E372" s="287" t="s">
        <v>380</v>
      </c>
      <c r="F372" s="287" t="s">
        <v>709</v>
      </c>
      <c r="G372" s="284">
        <v>-15378.93</v>
      </c>
    </row>
    <row r="373" spans="1:7" x14ac:dyDescent="0.25">
      <c r="A373" s="287" t="s">
        <v>697</v>
      </c>
      <c r="B373" s="288">
        <v>2025</v>
      </c>
      <c r="C373" s="288">
        <v>0</v>
      </c>
      <c r="D373" s="287" t="s">
        <v>661</v>
      </c>
      <c r="E373" s="287" t="s">
        <v>381</v>
      </c>
      <c r="F373" s="287" t="s">
        <v>710</v>
      </c>
      <c r="G373" s="284">
        <v>7161944.2300000004</v>
      </c>
    </row>
    <row r="374" spans="1:7" x14ac:dyDescent="0.25">
      <c r="A374" s="287" t="s">
        <v>697</v>
      </c>
      <c r="B374" s="288">
        <v>2025</v>
      </c>
      <c r="C374" s="288">
        <v>1</v>
      </c>
      <c r="D374" s="287" t="s">
        <v>661</v>
      </c>
      <c r="E374" s="287" t="s">
        <v>381</v>
      </c>
      <c r="F374" s="287" t="s">
        <v>710</v>
      </c>
      <c r="G374" s="284">
        <v>649546.14</v>
      </c>
    </row>
    <row r="375" spans="1:7" x14ac:dyDescent="0.25">
      <c r="A375" s="287" t="s">
        <v>697</v>
      </c>
      <c r="B375" s="288">
        <v>2025</v>
      </c>
      <c r="C375" s="288">
        <v>2</v>
      </c>
      <c r="D375" s="287" t="s">
        <v>661</v>
      </c>
      <c r="E375" s="287" t="s">
        <v>381</v>
      </c>
      <c r="F375" s="287" t="s">
        <v>710</v>
      </c>
      <c r="G375" s="284">
        <v>538500.27</v>
      </c>
    </row>
    <row r="376" spans="1:7" x14ac:dyDescent="0.25">
      <c r="A376" s="287" t="s">
        <v>697</v>
      </c>
      <c r="B376" s="288">
        <v>2025</v>
      </c>
      <c r="C376" s="288">
        <v>3</v>
      </c>
      <c r="D376" s="287" t="s">
        <v>661</v>
      </c>
      <c r="E376" s="287" t="s">
        <v>381</v>
      </c>
      <c r="F376" s="287" t="s">
        <v>710</v>
      </c>
      <c r="G376" s="284">
        <v>840389.33</v>
      </c>
    </row>
    <row r="377" spans="1:7" x14ac:dyDescent="0.25">
      <c r="A377" s="287" t="s">
        <v>697</v>
      </c>
      <c r="B377" s="288">
        <v>2025</v>
      </c>
      <c r="C377" s="288">
        <v>4</v>
      </c>
      <c r="D377" s="287" t="s">
        <v>661</v>
      </c>
      <c r="E377" s="287" t="s">
        <v>381</v>
      </c>
      <c r="F377" s="287" t="s">
        <v>710</v>
      </c>
      <c r="G377" s="284">
        <v>414345.68</v>
      </c>
    </row>
    <row r="378" spans="1:7" x14ac:dyDescent="0.25">
      <c r="A378" s="287" t="s">
        <v>697</v>
      </c>
      <c r="B378" s="288">
        <v>2025</v>
      </c>
      <c r="C378" s="288">
        <v>5</v>
      </c>
      <c r="D378" s="287" t="s">
        <v>661</v>
      </c>
      <c r="E378" s="287" t="s">
        <v>381</v>
      </c>
      <c r="F378" s="287" t="s">
        <v>710</v>
      </c>
      <c r="G378" s="284">
        <v>452733.62</v>
      </c>
    </row>
    <row r="379" spans="1:7" x14ac:dyDescent="0.25">
      <c r="A379" s="287" t="s">
        <v>697</v>
      </c>
      <c r="B379" s="288">
        <v>2025</v>
      </c>
      <c r="C379" s="288">
        <v>6</v>
      </c>
      <c r="D379" s="287" t="s">
        <v>661</v>
      </c>
      <c r="E379" s="287" t="s">
        <v>381</v>
      </c>
      <c r="F379" s="287" t="s">
        <v>710</v>
      </c>
      <c r="G379" s="284">
        <v>-5487042.7400000002</v>
      </c>
    </row>
    <row r="380" spans="1:7" x14ac:dyDescent="0.25">
      <c r="A380" s="287" t="s">
        <v>697</v>
      </c>
      <c r="B380" s="288">
        <v>2025</v>
      </c>
      <c r="C380" s="288">
        <v>7</v>
      </c>
      <c r="D380" s="287" t="s">
        <v>661</v>
      </c>
      <c r="E380" s="287" t="s">
        <v>381</v>
      </c>
      <c r="F380" s="287" t="s">
        <v>710</v>
      </c>
      <c r="G380" s="284">
        <v>941349.38</v>
      </c>
    </row>
    <row r="381" spans="1:7" x14ac:dyDescent="0.25">
      <c r="A381" s="287" t="s">
        <v>697</v>
      </c>
      <c r="B381" s="288">
        <v>2025</v>
      </c>
      <c r="C381" s="288">
        <v>8</v>
      </c>
      <c r="D381" s="287" t="s">
        <v>661</v>
      </c>
      <c r="E381" s="287" t="s">
        <v>381</v>
      </c>
      <c r="F381" s="287" t="s">
        <v>710</v>
      </c>
      <c r="G381" s="284">
        <v>797795.89</v>
      </c>
    </row>
    <row r="382" spans="1:7" x14ac:dyDescent="0.25">
      <c r="A382" s="287" t="s">
        <v>697</v>
      </c>
      <c r="B382" s="288">
        <v>2025</v>
      </c>
      <c r="C382" s="288">
        <v>0</v>
      </c>
      <c r="D382" s="287" t="s">
        <v>661</v>
      </c>
      <c r="E382" s="287" t="s">
        <v>382</v>
      </c>
      <c r="F382" s="287" t="s">
        <v>711</v>
      </c>
      <c r="G382" s="284">
        <v>644785.12</v>
      </c>
    </row>
    <row r="383" spans="1:7" x14ac:dyDescent="0.25">
      <c r="A383" s="287" t="s">
        <v>697</v>
      </c>
      <c r="B383" s="288">
        <v>2025</v>
      </c>
      <c r="C383" s="288">
        <v>0</v>
      </c>
      <c r="D383" s="287" t="s">
        <v>661</v>
      </c>
      <c r="E383" s="287" t="s">
        <v>383</v>
      </c>
      <c r="F383" s="287" t="s">
        <v>663</v>
      </c>
      <c r="G383" s="284">
        <v>0.11</v>
      </c>
    </row>
    <row r="384" spans="1:7" x14ac:dyDescent="0.25">
      <c r="A384" s="287" t="s">
        <v>697</v>
      </c>
      <c r="B384" s="288">
        <v>2025</v>
      </c>
      <c r="C384" s="288">
        <v>0</v>
      </c>
      <c r="D384" s="287" t="s">
        <v>661</v>
      </c>
      <c r="E384" s="287" t="s">
        <v>384</v>
      </c>
      <c r="F384" s="287" t="s">
        <v>712</v>
      </c>
      <c r="G384" s="284">
        <v>197391.82</v>
      </c>
    </row>
    <row r="385" spans="1:7" x14ac:dyDescent="0.25">
      <c r="A385" s="287" t="s">
        <v>697</v>
      </c>
      <c r="B385" s="288">
        <v>2025</v>
      </c>
      <c r="C385" s="288">
        <v>3</v>
      </c>
      <c r="D385" s="287" t="s">
        <v>661</v>
      </c>
      <c r="E385" s="287" t="s">
        <v>384</v>
      </c>
      <c r="F385" s="287" t="s">
        <v>712</v>
      </c>
      <c r="G385" s="284">
        <v>3415.86</v>
      </c>
    </row>
    <row r="386" spans="1:7" x14ac:dyDescent="0.25">
      <c r="A386" s="287" t="s">
        <v>697</v>
      </c>
      <c r="B386" s="288">
        <v>2025</v>
      </c>
      <c r="C386" s="288">
        <v>6</v>
      </c>
      <c r="D386" s="287" t="s">
        <v>661</v>
      </c>
      <c r="E386" s="287" t="s">
        <v>384</v>
      </c>
      <c r="F386" s="287" t="s">
        <v>712</v>
      </c>
      <c r="G386" s="284">
        <v>3415.86</v>
      </c>
    </row>
    <row r="387" spans="1:7" x14ac:dyDescent="0.25">
      <c r="A387" s="287" t="s">
        <v>697</v>
      </c>
      <c r="B387" s="288">
        <v>2025</v>
      </c>
      <c r="C387" s="288">
        <v>8</v>
      </c>
      <c r="D387" s="287" t="s">
        <v>661</v>
      </c>
      <c r="E387" s="287" t="s">
        <v>384</v>
      </c>
      <c r="F387" s="287" t="s">
        <v>712</v>
      </c>
      <c r="G387" s="284">
        <v>2277.2399999999998</v>
      </c>
    </row>
    <row r="388" spans="1:7" x14ac:dyDescent="0.25">
      <c r="A388" s="287" t="s">
        <v>697</v>
      </c>
      <c r="B388" s="288">
        <v>2025</v>
      </c>
      <c r="C388" s="288">
        <v>0</v>
      </c>
      <c r="D388" s="287" t="s">
        <v>661</v>
      </c>
      <c r="E388" s="287" t="s">
        <v>385</v>
      </c>
      <c r="F388" s="287" t="s">
        <v>686</v>
      </c>
      <c r="G388" s="284">
        <v>1676.72</v>
      </c>
    </row>
    <row r="389" spans="1:7" x14ac:dyDescent="0.25">
      <c r="A389" s="287" t="s">
        <v>697</v>
      </c>
      <c r="B389" s="288">
        <v>2025</v>
      </c>
      <c r="C389" s="288">
        <v>1</v>
      </c>
      <c r="D389" s="287" t="s">
        <v>661</v>
      </c>
      <c r="E389" s="287" t="s">
        <v>385</v>
      </c>
      <c r="F389" s="287" t="s">
        <v>686</v>
      </c>
      <c r="G389" s="284">
        <v>180.81</v>
      </c>
    </row>
    <row r="390" spans="1:7" x14ac:dyDescent="0.25">
      <c r="A390" s="287" t="s">
        <v>697</v>
      </c>
      <c r="B390" s="288">
        <v>2025</v>
      </c>
      <c r="C390" s="288">
        <v>2</v>
      </c>
      <c r="D390" s="287" t="s">
        <v>661</v>
      </c>
      <c r="E390" s="287" t="s">
        <v>385</v>
      </c>
      <c r="F390" s="287" t="s">
        <v>686</v>
      </c>
      <c r="G390" s="284">
        <v>181.65</v>
      </c>
    </row>
    <row r="391" spans="1:7" x14ac:dyDescent="0.25">
      <c r="A391" s="287" t="s">
        <v>697</v>
      </c>
      <c r="B391" s="288">
        <v>2025</v>
      </c>
      <c r="C391" s="288">
        <v>3</v>
      </c>
      <c r="D391" s="287" t="s">
        <v>661</v>
      </c>
      <c r="E391" s="287" t="s">
        <v>385</v>
      </c>
      <c r="F391" s="287" t="s">
        <v>686</v>
      </c>
      <c r="G391" s="284">
        <v>182.28</v>
      </c>
    </row>
    <row r="392" spans="1:7" x14ac:dyDescent="0.25">
      <c r="A392" s="287" t="s">
        <v>697</v>
      </c>
      <c r="B392" s="288">
        <v>2025</v>
      </c>
      <c r="C392" s="288">
        <v>5</v>
      </c>
      <c r="D392" s="287" t="s">
        <v>661</v>
      </c>
      <c r="E392" s="287" t="s">
        <v>385</v>
      </c>
      <c r="F392" s="287" t="s">
        <v>686</v>
      </c>
      <c r="G392" s="284">
        <v>367.08</v>
      </c>
    </row>
    <row r="393" spans="1:7" x14ac:dyDescent="0.25">
      <c r="A393" s="287" t="s">
        <v>697</v>
      </c>
      <c r="B393" s="288">
        <v>2025</v>
      </c>
      <c r="C393" s="288">
        <v>6</v>
      </c>
      <c r="D393" s="287" t="s">
        <v>661</v>
      </c>
      <c r="E393" s="287" t="s">
        <v>385</v>
      </c>
      <c r="F393" s="287" t="s">
        <v>686</v>
      </c>
      <c r="G393" s="284">
        <v>184.8</v>
      </c>
    </row>
    <row r="394" spans="1:7" x14ac:dyDescent="0.25">
      <c r="A394" s="287" t="s">
        <v>697</v>
      </c>
      <c r="B394" s="288">
        <v>2025</v>
      </c>
      <c r="C394" s="288">
        <v>7</v>
      </c>
      <c r="D394" s="287" t="s">
        <v>661</v>
      </c>
      <c r="E394" s="287" t="s">
        <v>385</v>
      </c>
      <c r="F394" s="287" t="s">
        <v>686</v>
      </c>
      <c r="G394" s="284">
        <v>185.43</v>
      </c>
    </row>
    <row r="395" spans="1:7" x14ac:dyDescent="0.25">
      <c r="A395" s="287" t="s">
        <v>697</v>
      </c>
      <c r="B395" s="288">
        <v>2025</v>
      </c>
      <c r="C395" s="288">
        <v>8</v>
      </c>
      <c r="D395" s="287" t="s">
        <v>661</v>
      </c>
      <c r="E395" s="287" t="s">
        <v>385</v>
      </c>
      <c r="F395" s="287" t="s">
        <v>686</v>
      </c>
      <c r="G395" s="284">
        <v>186.27</v>
      </c>
    </row>
    <row r="396" spans="1:7" x14ac:dyDescent="0.25">
      <c r="A396" s="287" t="s">
        <v>697</v>
      </c>
      <c r="B396" s="288">
        <v>2025</v>
      </c>
      <c r="C396" s="288">
        <v>0</v>
      </c>
      <c r="D396" s="287" t="s">
        <v>661</v>
      </c>
      <c r="E396" s="287" t="s">
        <v>386</v>
      </c>
      <c r="F396" s="287" t="s">
        <v>664</v>
      </c>
      <c r="G396" s="284">
        <v>52095057.960000001</v>
      </c>
    </row>
    <row r="397" spans="1:7" x14ac:dyDescent="0.25">
      <c r="A397" s="287" t="s">
        <v>697</v>
      </c>
      <c r="B397" s="288">
        <v>2025</v>
      </c>
      <c r="C397" s="288">
        <v>1</v>
      </c>
      <c r="D397" s="287" t="s">
        <v>661</v>
      </c>
      <c r="E397" s="287" t="s">
        <v>386</v>
      </c>
      <c r="F397" s="287" t="s">
        <v>664</v>
      </c>
      <c r="G397" s="284">
        <v>-350064.09</v>
      </c>
    </row>
    <row r="398" spans="1:7" x14ac:dyDescent="0.25">
      <c r="A398" s="287" t="s">
        <v>697</v>
      </c>
      <c r="B398" s="288">
        <v>2025</v>
      </c>
      <c r="C398" s="288">
        <v>2</v>
      </c>
      <c r="D398" s="287" t="s">
        <v>661</v>
      </c>
      <c r="E398" s="287" t="s">
        <v>386</v>
      </c>
      <c r="F398" s="287" t="s">
        <v>664</v>
      </c>
      <c r="G398" s="284">
        <v>-350064.08</v>
      </c>
    </row>
    <row r="399" spans="1:7" x14ac:dyDescent="0.25">
      <c r="A399" s="287" t="s">
        <v>697</v>
      </c>
      <c r="B399" s="288">
        <v>2025</v>
      </c>
      <c r="C399" s="288">
        <v>3</v>
      </c>
      <c r="D399" s="287" t="s">
        <v>661</v>
      </c>
      <c r="E399" s="287" t="s">
        <v>386</v>
      </c>
      <c r="F399" s="287" t="s">
        <v>664</v>
      </c>
      <c r="G399" s="284">
        <v>-350064.09</v>
      </c>
    </row>
    <row r="400" spans="1:7" x14ac:dyDescent="0.25">
      <c r="A400" s="287" t="s">
        <v>697</v>
      </c>
      <c r="B400" s="288">
        <v>2025</v>
      </c>
      <c r="C400" s="288">
        <v>4</v>
      </c>
      <c r="D400" s="287" t="s">
        <v>661</v>
      </c>
      <c r="E400" s="287" t="s">
        <v>386</v>
      </c>
      <c r="F400" s="287" t="s">
        <v>664</v>
      </c>
      <c r="G400" s="284">
        <v>-350064.08</v>
      </c>
    </row>
    <row r="401" spans="1:7" x14ac:dyDescent="0.25">
      <c r="A401" s="287" t="s">
        <v>697</v>
      </c>
      <c r="B401" s="288">
        <v>2025</v>
      </c>
      <c r="C401" s="288">
        <v>5</v>
      </c>
      <c r="D401" s="287" t="s">
        <v>661</v>
      </c>
      <c r="E401" s="287" t="s">
        <v>386</v>
      </c>
      <c r="F401" s="287" t="s">
        <v>664</v>
      </c>
      <c r="G401" s="284">
        <v>-350064.09</v>
      </c>
    </row>
    <row r="402" spans="1:7" x14ac:dyDescent="0.25">
      <c r="A402" s="287" t="s">
        <v>697</v>
      </c>
      <c r="B402" s="288">
        <v>2025</v>
      </c>
      <c r="C402" s="288">
        <v>6</v>
      </c>
      <c r="D402" s="287" t="s">
        <v>661</v>
      </c>
      <c r="E402" s="287" t="s">
        <v>386</v>
      </c>
      <c r="F402" s="287" t="s">
        <v>664</v>
      </c>
      <c r="G402" s="284">
        <v>-350064.08</v>
      </c>
    </row>
    <row r="403" spans="1:7" x14ac:dyDescent="0.25">
      <c r="A403" s="287" t="s">
        <v>697</v>
      </c>
      <c r="B403" s="288">
        <v>2025</v>
      </c>
      <c r="C403" s="288">
        <v>7</v>
      </c>
      <c r="D403" s="287" t="s">
        <v>661</v>
      </c>
      <c r="E403" s="287" t="s">
        <v>386</v>
      </c>
      <c r="F403" s="287" t="s">
        <v>664</v>
      </c>
      <c r="G403" s="284">
        <v>-350064.09</v>
      </c>
    </row>
    <row r="404" spans="1:7" x14ac:dyDescent="0.25">
      <c r="A404" s="287" t="s">
        <v>697</v>
      </c>
      <c r="B404" s="288">
        <v>2025</v>
      </c>
      <c r="C404" s="288">
        <v>8</v>
      </c>
      <c r="D404" s="287" t="s">
        <v>661</v>
      </c>
      <c r="E404" s="287" t="s">
        <v>386</v>
      </c>
      <c r="F404" s="287" t="s">
        <v>664</v>
      </c>
      <c r="G404" s="284">
        <v>-350064.08</v>
      </c>
    </row>
    <row r="405" spans="1:7" x14ac:dyDescent="0.25">
      <c r="A405" s="287" t="s">
        <v>697</v>
      </c>
      <c r="B405" s="288">
        <v>2025</v>
      </c>
      <c r="C405" s="288">
        <v>0</v>
      </c>
      <c r="D405" s="287" t="s">
        <v>661</v>
      </c>
      <c r="E405" s="287" t="s">
        <v>387</v>
      </c>
      <c r="F405" s="287" t="s">
        <v>713</v>
      </c>
      <c r="G405" s="284">
        <v>-295387.25</v>
      </c>
    </row>
    <row r="406" spans="1:7" x14ac:dyDescent="0.25">
      <c r="A406" s="287" t="s">
        <v>697</v>
      </c>
      <c r="B406" s="288">
        <v>2025</v>
      </c>
      <c r="C406" s="288">
        <v>1</v>
      </c>
      <c r="D406" s="287" t="s">
        <v>661</v>
      </c>
      <c r="E406" s="287" t="s">
        <v>387</v>
      </c>
      <c r="F406" s="287" t="s">
        <v>713</v>
      </c>
      <c r="G406" s="284">
        <v>-31105.58</v>
      </c>
    </row>
    <row r="407" spans="1:7" x14ac:dyDescent="0.25">
      <c r="A407" s="287" t="s">
        <v>697</v>
      </c>
      <c r="B407" s="288">
        <v>2025</v>
      </c>
      <c r="C407" s="288">
        <v>2</v>
      </c>
      <c r="D407" s="287" t="s">
        <v>661</v>
      </c>
      <c r="E407" s="287" t="s">
        <v>387</v>
      </c>
      <c r="F407" s="287" t="s">
        <v>713</v>
      </c>
      <c r="G407" s="284">
        <v>61592.79</v>
      </c>
    </row>
    <row r="408" spans="1:7" x14ac:dyDescent="0.25">
      <c r="A408" s="287" t="s">
        <v>697</v>
      </c>
      <c r="B408" s="288">
        <v>2025</v>
      </c>
      <c r="C408" s="288">
        <v>3</v>
      </c>
      <c r="D408" s="287" t="s">
        <v>661</v>
      </c>
      <c r="E408" s="287" t="s">
        <v>387</v>
      </c>
      <c r="F408" s="287" t="s">
        <v>713</v>
      </c>
      <c r="G408" s="284">
        <v>151725.29</v>
      </c>
    </row>
    <row r="409" spans="1:7" x14ac:dyDescent="0.25">
      <c r="A409" s="287" t="s">
        <v>697</v>
      </c>
      <c r="B409" s="288">
        <v>2025</v>
      </c>
      <c r="C409" s="288">
        <v>4</v>
      </c>
      <c r="D409" s="287" t="s">
        <v>661</v>
      </c>
      <c r="E409" s="287" t="s">
        <v>387</v>
      </c>
      <c r="F409" s="287" t="s">
        <v>713</v>
      </c>
      <c r="G409" s="284">
        <v>-17521.59</v>
      </c>
    </row>
    <row r="410" spans="1:7" x14ac:dyDescent="0.25">
      <c r="A410" s="287" t="s">
        <v>697</v>
      </c>
      <c r="B410" s="288">
        <v>2025</v>
      </c>
      <c r="C410" s="288">
        <v>5</v>
      </c>
      <c r="D410" s="287" t="s">
        <v>661</v>
      </c>
      <c r="E410" s="287" t="s">
        <v>387</v>
      </c>
      <c r="F410" s="287" t="s">
        <v>713</v>
      </c>
      <c r="G410" s="284">
        <v>10750.41</v>
      </c>
    </row>
    <row r="411" spans="1:7" x14ac:dyDescent="0.25">
      <c r="A411" s="287" t="s">
        <v>697</v>
      </c>
      <c r="B411" s="288">
        <v>2025</v>
      </c>
      <c r="C411" s="288">
        <v>6</v>
      </c>
      <c r="D411" s="287" t="s">
        <v>661</v>
      </c>
      <c r="E411" s="287" t="s">
        <v>387</v>
      </c>
      <c r="F411" s="287" t="s">
        <v>713</v>
      </c>
      <c r="G411" s="284">
        <v>59561.04</v>
      </c>
    </row>
    <row r="412" spans="1:7" x14ac:dyDescent="0.25">
      <c r="A412" s="287" t="s">
        <v>697</v>
      </c>
      <c r="B412" s="288">
        <v>2025</v>
      </c>
      <c r="C412" s="288">
        <v>7</v>
      </c>
      <c r="D412" s="287" t="s">
        <v>661</v>
      </c>
      <c r="E412" s="287" t="s">
        <v>387</v>
      </c>
      <c r="F412" s="287" t="s">
        <v>713</v>
      </c>
      <c r="G412" s="284">
        <v>161180.79</v>
      </c>
    </row>
    <row r="413" spans="1:7" x14ac:dyDescent="0.25">
      <c r="A413" s="287" t="s">
        <v>697</v>
      </c>
      <c r="B413" s="288">
        <v>2025</v>
      </c>
      <c r="C413" s="288">
        <v>8</v>
      </c>
      <c r="D413" s="287" t="s">
        <v>661</v>
      </c>
      <c r="E413" s="287" t="s">
        <v>387</v>
      </c>
      <c r="F413" s="287" t="s">
        <v>713</v>
      </c>
      <c r="G413" s="284">
        <v>84447.98</v>
      </c>
    </row>
    <row r="414" spans="1:7" x14ac:dyDescent="0.25">
      <c r="A414" s="287" t="s">
        <v>697</v>
      </c>
      <c r="B414" s="288">
        <v>2025</v>
      </c>
      <c r="C414" s="288">
        <v>0</v>
      </c>
      <c r="D414" s="287" t="s">
        <v>661</v>
      </c>
      <c r="E414" s="287" t="s">
        <v>388</v>
      </c>
      <c r="F414" s="287" t="s">
        <v>714</v>
      </c>
      <c r="G414" s="284">
        <v>158131.68</v>
      </c>
    </row>
    <row r="415" spans="1:7" x14ac:dyDescent="0.25">
      <c r="A415" s="287" t="s">
        <v>697</v>
      </c>
      <c r="B415" s="288">
        <v>2025</v>
      </c>
      <c r="C415" s="288">
        <v>1</v>
      </c>
      <c r="D415" s="287" t="s">
        <v>661</v>
      </c>
      <c r="E415" s="287" t="s">
        <v>388</v>
      </c>
      <c r="F415" s="287" t="s">
        <v>714</v>
      </c>
      <c r="G415" s="284">
        <v>37.590000000000003</v>
      </c>
    </row>
    <row r="416" spans="1:7" x14ac:dyDescent="0.25">
      <c r="A416" s="287" t="s">
        <v>697</v>
      </c>
      <c r="B416" s="288">
        <v>2025</v>
      </c>
      <c r="C416" s="288">
        <v>2</v>
      </c>
      <c r="D416" s="287" t="s">
        <v>661</v>
      </c>
      <c r="E416" s="287" t="s">
        <v>388</v>
      </c>
      <c r="F416" s="287" t="s">
        <v>714</v>
      </c>
      <c r="G416" s="284">
        <v>37.799999999999997</v>
      </c>
    </row>
    <row r="417" spans="1:7" x14ac:dyDescent="0.25">
      <c r="A417" s="287" t="s">
        <v>697</v>
      </c>
      <c r="B417" s="288">
        <v>2025</v>
      </c>
      <c r="C417" s="288">
        <v>3</v>
      </c>
      <c r="D417" s="287" t="s">
        <v>661</v>
      </c>
      <c r="E417" s="287" t="s">
        <v>388</v>
      </c>
      <c r="F417" s="287" t="s">
        <v>714</v>
      </c>
      <c r="G417" s="284">
        <v>38.01</v>
      </c>
    </row>
    <row r="418" spans="1:7" x14ac:dyDescent="0.25">
      <c r="A418" s="287" t="s">
        <v>697</v>
      </c>
      <c r="B418" s="288">
        <v>2025</v>
      </c>
      <c r="C418" s="288">
        <v>5</v>
      </c>
      <c r="D418" s="287" t="s">
        <v>661</v>
      </c>
      <c r="E418" s="287" t="s">
        <v>388</v>
      </c>
      <c r="F418" s="287" t="s">
        <v>714</v>
      </c>
      <c r="G418" s="284">
        <v>76.23</v>
      </c>
    </row>
    <row r="419" spans="1:7" x14ac:dyDescent="0.25">
      <c r="A419" s="287" t="s">
        <v>697</v>
      </c>
      <c r="B419" s="288">
        <v>2025</v>
      </c>
      <c r="C419" s="288">
        <v>6</v>
      </c>
      <c r="D419" s="287" t="s">
        <v>661</v>
      </c>
      <c r="E419" s="287" t="s">
        <v>388</v>
      </c>
      <c r="F419" s="287" t="s">
        <v>714</v>
      </c>
      <c r="G419" s="284">
        <v>-101.01</v>
      </c>
    </row>
    <row r="420" spans="1:7" x14ac:dyDescent="0.25">
      <c r="A420" s="287" t="s">
        <v>697</v>
      </c>
      <c r="B420" s="288">
        <v>2025</v>
      </c>
      <c r="C420" s="288">
        <v>7</v>
      </c>
      <c r="D420" s="287" t="s">
        <v>661</v>
      </c>
      <c r="E420" s="287" t="s">
        <v>388</v>
      </c>
      <c r="F420" s="287" t="s">
        <v>714</v>
      </c>
      <c r="G420" s="284">
        <v>2.52</v>
      </c>
    </row>
    <row r="421" spans="1:7" x14ac:dyDescent="0.25">
      <c r="A421" s="287" t="s">
        <v>697</v>
      </c>
      <c r="B421" s="288">
        <v>2025</v>
      </c>
      <c r="C421" s="288">
        <v>8</v>
      </c>
      <c r="D421" s="287" t="s">
        <v>661</v>
      </c>
      <c r="E421" s="287" t="s">
        <v>388</v>
      </c>
      <c r="F421" s="287" t="s">
        <v>714</v>
      </c>
      <c r="G421" s="284">
        <v>-74222.61</v>
      </c>
    </row>
    <row r="422" spans="1:7" x14ac:dyDescent="0.25">
      <c r="A422" s="287" t="s">
        <v>697</v>
      </c>
      <c r="B422" s="288">
        <v>2025</v>
      </c>
      <c r="C422" s="288">
        <v>0</v>
      </c>
      <c r="D422" s="287" t="s">
        <v>671</v>
      </c>
      <c r="E422" s="287" t="s">
        <v>389</v>
      </c>
      <c r="F422" s="287" t="s">
        <v>717</v>
      </c>
      <c r="G422" s="284">
        <v>76392616.359999999</v>
      </c>
    </row>
    <row r="423" spans="1:7" x14ac:dyDescent="0.25">
      <c r="A423" s="287" t="s">
        <v>697</v>
      </c>
      <c r="B423" s="288">
        <v>2025</v>
      </c>
      <c r="C423" s="288">
        <v>1</v>
      </c>
      <c r="D423" s="287" t="s">
        <v>671</v>
      </c>
      <c r="E423" s="287" t="s">
        <v>389</v>
      </c>
      <c r="F423" s="287" t="s">
        <v>717</v>
      </c>
      <c r="G423" s="284">
        <v>-265151.73</v>
      </c>
    </row>
    <row r="424" spans="1:7" x14ac:dyDescent="0.25">
      <c r="A424" s="287" t="s">
        <v>697</v>
      </c>
      <c r="B424" s="288">
        <v>2025</v>
      </c>
      <c r="C424" s="288">
        <v>2</v>
      </c>
      <c r="D424" s="287" t="s">
        <v>671</v>
      </c>
      <c r="E424" s="287" t="s">
        <v>389</v>
      </c>
      <c r="F424" s="287" t="s">
        <v>717</v>
      </c>
      <c r="G424" s="284">
        <v>-290422.58</v>
      </c>
    </row>
    <row r="425" spans="1:7" x14ac:dyDescent="0.25">
      <c r="A425" s="287" t="s">
        <v>697</v>
      </c>
      <c r="B425" s="288">
        <v>2025</v>
      </c>
      <c r="C425" s="288">
        <v>3</v>
      </c>
      <c r="D425" s="287" t="s">
        <v>671</v>
      </c>
      <c r="E425" s="287" t="s">
        <v>389</v>
      </c>
      <c r="F425" s="287" t="s">
        <v>717</v>
      </c>
      <c r="G425" s="284">
        <v>24867.08</v>
      </c>
    </row>
    <row r="426" spans="1:7" x14ac:dyDescent="0.25">
      <c r="A426" s="287" t="s">
        <v>697</v>
      </c>
      <c r="B426" s="288">
        <v>2025</v>
      </c>
      <c r="C426" s="288">
        <v>4</v>
      </c>
      <c r="D426" s="287" t="s">
        <v>671</v>
      </c>
      <c r="E426" s="287" t="s">
        <v>389</v>
      </c>
      <c r="F426" s="287" t="s">
        <v>717</v>
      </c>
      <c r="G426" s="284">
        <v>-251570.84</v>
      </c>
    </row>
    <row r="427" spans="1:7" x14ac:dyDescent="0.25">
      <c r="A427" s="287" t="s">
        <v>697</v>
      </c>
      <c r="B427" s="288">
        <v>2025</v>
      </c>
      <c r="C427" s="288">
        <v>5</v>
      </c>
      <c r="D427" s="287" t="s">
        <v>671</v>
      </c>
      <c r="E427" s="287" t="s">
        <v>389</v>
      </c>
      <c r="F427" s="287" t="s">
        <v>717</v>
      </c>
      <c r="G427" s="284">
        <v>-257868.93</v>
      </c>
    </row>
    <row r="428" spans="1:7" x14ac:dyDescent="0.25">
      <c r="A428" s="287" t="s">
        <v>697</v>
      </c>
      <c r="B428" s="288">
        <v>2025</v>
      </c>
      <c r="C428" s="288">
        <v>6</v>
      </c>
      <c r="D428" s="287" t="s">
        <v>671</v>
      </c>
      <c r="E428" s="287" t="s">
        <v>389</v>
      </c>
      <c r="F428" s="287" t="s">
        <v>717</v>
      </c>
      <c r="G428" s="284">
        <v>-2058455.43</v>
      </c>
    </row>
    <row r="429" spans="1:7" x14ac:dyDescent="0.25">
      <c r="A429" s="287" t="s">
        <v>697</v>
      </c>
      <c r="B429" s="288">
        <v>2025</v>
      </c>
      <c r="C429" s="288">
        <v>7</v>
      </c>
      <c r="D429" s="287" t="s">
        <v>671</v>
      </c>
      <c r="E429" s="287" t="s">
        <v>389</v>
      </c>
      <c r="F429" s="287" t="s">
        <v>717</v>
      </c>
      <c r="G429" s="284">
        <v>-295170.43</v>
      </c>
    </row>
    <row r="430" spans="1:7" x14ac:dyDescent="0.25">
      <c r="A430" s="287" t="s">
        <v>697</v>
      </c>
      <c r="B430" s="288">
        <v>2025</v>
      </c>
      <c r="C430" s="288">
        <v>8</v>
      </c>
      <c r="D430" s="287" t="s">
        <v>671</v>
      </c>
      <c r="E430" s="287" t="s">
        <v>389</v>
      </c>
      <c r="F430" s="287" t="s">
        <v>717</v>
      </c>
      <c r="G430" s="284">
        <v>-310490.06</v>
      </c>
    </row>
    <row r="431" spans="1:7" x14ac:dyDescent="0.25">
      <c r="A431" s="287" t="s">
        <v>697</v>
      </c>
      <c r="B431" s="288">
        <v>2025</v>
      </c>
      <c r="C431" s="288">
        <v>0</v>
      </c>
      <c r="D431" s="287" t="s">
        <v>671</v>
      </c>
      <c r="E431" s="287" t="s">
        <v>392</v>
      </c>
      <c r="F431" s="287" t="s">
        <v>718</v>
      </c>
      <c r="G431" s="284">
        <v>-94871202.409999996</v>
      </c>
    </row>
    <row r="432" spans="1:7" x14ac:dyDescent="0.25">
      <c r="A432" s="287" t="s">
        <v>697</v>
      </c>
      <c r="B432" s="288">
        <v>2025</v>
      </c>
      <c r="C432" s="288">
        <v>1</v>
      </c>
      <c r="D432" s="287" t="s">
        <v>671</v>
      </c>
      <c r="E432" s="287" t="s">
        <v>392</v>
      </c>
      <c r="F432" s="287" t="s">
        <v>718</v>
      </c>
      <c r="G432" s="284">
        <v>-333585.03999999998</v>
      </c>
    </row>
    <row r="433" spans="1:7" x14ac:dyDescent="0.25">
      <c r="A433" s="287" t="s">
        <v>697</v>
      </c>
      <c r="B433" s="288">
        <v>2025</v>
      </c>
      <c r="C433" s="288">
        <v>2</v>
      </c>
      <c r="D433" s="287" t="s">
        <v>671</v>
      </c>
      <c r="E433" s="287" t="s">
        <v>392</v>
      </c>
      <c r="F433" s="287" t="s">
        <v>718</v>
      </c>
      <c r="G433" s="284">
        <v>-326748.18</v>
      </c>
    </row>
    <row r="434" spans="1:7" x14ac:dyDescent="0.25">
      <c r="A434" s="287" t="s">
        <v>697</v>
      </c>
      <c r="B434" s="288">
        <v>2025</v>
      </c>
      <c r="C434" s="288">
        <v>3</v>
      </c>
      <c r="D434" s="287" t="s">
        <v>671</v>
      </c>
      <c r="E434" s="287" t="s">
        <v>392</v>
      </c>
      <c r="F434" s="287" t="s">
        <v>718</v>
      </c>
      <c r="G434" s="284">
        <v>457410.76</v>
      </c>
    </row>
    <row r="435" spans="1:7" x14ac:dyDescent="0.25">
      <c r="A435" s="287" t="s">
        <v>697</v>
      </c>
      <c r="B435" s="288">
        <v>2025</v>
      </c>
      <c r="C435" s="288">
        <v>4</v>
      </c>
      <c r="D435" s="287" t="s">
        <v>671</v>
      </c>
      <c r="E435" s="287" t="s">
        <v>392</v>
      </c>
      <c r="F435" s="287" t="s">
        <v>718</v>
      </c>
      <c r="G435" s="284">
        <v>-379123.92</v>
      </c>
    </row>
    <row r="436" spans="1:7" x14ac:dyDescent="0.25">
      <c r="A436" s="287" t="s">
        <v>697</v>
      </c>
      <c r="B436" s="288">
        <v>2025</v>
      </c>
      <c r="C436" s="288">
        <v>5</v>
      </c>
      <c r="D436" s="287" t="s">
        <v>671</v>
      </c>
      <c r="E436" s="287" t="s">
        <v>392</v>
      </c>
      <c r="F436" s="287" t="s">
        <v>718</v>
      </c>
      <c r="G436" s="284">
        <v>-306842.57</v>
      </c>
    </row>
    <row r="437" spans="1:7" x14ac:dyDescent="0.25">
      <c r="A437" s="287" t="s">
        <v>697</v>
      </c>
      <c r="B437" s="288">
        <v>2025</v>
      </c>
      <c r="C437" s="288">
        <v>6</v>
      </c>
      <c r="D437" s="287" t="s">
        <v>671</v>
      </c>
      <c r="E437" s="287" t="s">
        <v>392</v>
      </c>
      <c r="F437" s="287" t="s">
        <v>718</v>
      </c>
      <c r="G437" s="284">
        <v>6518571.71</v>
      </c>
    </row>
    <row r="438" spans="1:7" x14ac:dyDescent="0.25">
      <c r="A438" s="287" t="s">
        <v>697</v>
      </c>
      <c r="B438" s="288">
        <v>2025</v>
      </c>
      <c r="C438" s="288">
        <v>7</v>
      </c>
      <c r="D438" s="287" t="s">
        <v>671</v>
      </c>
      <c r="E438" s="287" t="s">
        <v>392</v>
      </c>
      <c r="F438" s="287" t="s">
        <v>718</v>
      </c>
      <c r="G438" s="284">
        <v>-52585.54</v>
      </c>
    </row>
    <row r="439" spans="1:7" x14ac:dyDescent="0.25">
      <c r="A439" s="287" t="s">
        <v>697</v>
      </c>
      <c r="B439" s="288">
        <v>2025</v>
      </c>
      <c r="C439" s="288">
        <v>8</v>
      </c>
      <c r="D439" s="287" t="s">
        <v>671</v>
      </c>
      <c r="E439" s="287" t="s">
        <v>392</v>
      </c>
      <c r="F439" s="287" t="s">
        <v>718</v>
      </c>
      <c r="G439" s="284">
        <v>-79285.039999999994</v>
      </c>
    </row>
    <row r="440" spans="1:7" x14ac:dyDescent="0.25">
      <c r="A440" s="287" t="s">
        <v>697</v>
      </c>
      <c r="B440" s="288">
        <v>2025</v>
      </c>
      <c r="C440" s="288">
        <v>0</v>
      </c>
      <c r="D440" s="287" t="s">
        <v>671</v>
      </c>
      <c r="E440" s="287" t="s">
        <v>395</v>
      </c>
      <c r="F440" s="287" t="s">
        <v>719</v>
      </c>
      <c r="G440" s="284">
        <v>-10061371.23</v>
      </c>
    </row>
    <row r="441" spans="1:7" x14ac:dyDescent="0.25">
      <c r="A441" s="287" t="s">
        <v>697</v>
      </c>
      <c r="B441" s="288">
        <v>2025</v>
      </c>
      <c r="C441" s="288">
        <v>1</v>
      </c>
      <c r="D441" s="287" t="s">
        <v>671</v>
      </c>
      <c r="E441" s="287" t="s">
        <v>395</v>
      </c>
      <c r="F441" s="287" t="s">
        <v>719</v>
      </c>
      <c r="G441" s="284">
        <v>-1519139.28</v>
      </c>
    </row>
    <row r="442" spans="1:7" x14ac:dyDescent="0.25">
      <c r="A442" s="287" t="s">
        <v>697</v>
      </c>
      <c r="B442" s="288">
        <v>2025</v>
      </c>
      <c r="C442" s="288">
        <v>2</v>
      </c>
      <c r="D442" s="287" t="s">
        <v>671</v>
      </c>
      <c r="E442" s="287" t="s">
        <v>395</v>
      </c>
      <c r="F442" s="287" t="s">
        <v>719</v>
      </c>
      <c r="G442" s="284">
        <v>-899964.03</v>
      </c>
    </row>
    <row r="443" spans="1:7" x14ac:dyDescent="0.25">
      <c r="A443" s="287" t="s">
        <v>697</v>
      </c>
      <c r="B443" s="288">
        <v>2025</v>
      </c>
      <c r="C443" s="288">
        <v>3</v>
      </c>
      <c r="D443" s="287" t="s">
        <v>671</v>
      </c>
      <c r="E443" s="287" t="s">
        <v>395</v>
      </c>
      <c r="F443" s="287" t="s">
        <v>719</v>
      </c>
      <c r="G443" s="284">
        <v>-1836939.31</v>
      </c>
    </row>
    <row r="444" spans="1:7" x14ac:dyDescent="0.25">
      <c r="A444" s="287" t="s">
        <v>697</v>
      </c>
      <c r="B444" s="288">
        <v>2025</v>
      </c>
      <c r="C444" s="288">
        <v>4</v>
      </c>
      <c r="D444" s="287" t="s">
        <v>671</v>
      </c>
      <c r="E444" s="287" t="s">
        <v>395</v>
      </c>
      <c r="F444" s="287" t="s">
        <v>719</v>
      </c>
      <c r="G444" s="284">
        <v>-2352694.89</v>
      </c>
    </row>
    <row r="445" spans="1:7" x14ac:dyDescent="0.25">
      <c r="A445" s="287" t="s">
        <v>697</v>
      </c>
      <c r="B445" s="288">
        <v>2025</v>
      </c>
      <c r="C445" s="288">
        <v>5</v>
      </c>
      <c r="D445" s="287" t="s">
        <v>671</v>
      </c>
      <c r="E445" s="287" t="s">
        <v>395</v>
      </c>
      <c r="F445" s="287" t="s">
        <v>719</v>
      </c>
      <c r="G445" s="284">
        <v>-1429268.62</v>
      </c>
    </row>
    <row r="446" spans="1:7" x14ac:dyDescent="0.25">
      <c r="A446" s="287" t="s">
        <v>697</v>
      </c>
      <c r="B446" s="288">
        <v>2025</v>
      </c>
      <c r="C446" s="288">
        <v>6</v>
      </c>
      <c r="D446" s="287" t="s">
        <v>671</v>
      </c>
      <c r="E446" s="287" t="s">
        <v>395</v>
      </c>
      <c r="F446" s="287" t="s">
        <v>719</v>
      </c>
      <c r="G446" s="284">
        <v>-6335261.6900000004</v>
      </c>
    </row>
    <row r="447" spans="1:7" x14ac:dyDescent="0.25">
      <c r="A447" s="287" t="s">
        <v>697</v>
      </c>
      <c r="B447" s="288">
        <v>2025</v>
      </c>
      <c r="C447" s="288">
        <v>7</v>
      </c>
      <c r="D447" s="287" t="s">
        <v>671</v>
      </c>
      <c r="E447" s="287" t="s">
        <v>395</v>
      </c>
      <c r="F447" s="287" t="s">
        <v>719</v>
      </c>
      <c r="G447" s="284">
        <v>-2146423.7400000002</v>
      </c>
    </row>
    <row r="448" spans="1:7" x14ac:dyDescent="0.25">
      <c r="A448" s="287" t="s">
        <v>697</v>
      </c>
      <c r="B448" s="288">
        <v>2025</v>
      </c>
      <c r="C448" s="288">
        <v>8</v>
      </c>
      <c r="D448" s="287" t="s">
        <v>671</v>
      </c>
      <c r="E448" s="287" t="s">
        <v>395</v>
      </c>
      <c r="F448" s="287" t="s">
        <v>719</v>
      </c>
      <c r="G448" s="284">
        <v>-2259419.06</v>
      </c>
    </row>
    <row r="449" spans="1:7" x14ac:dyDescent="0.25">
      <c r="A449" s="287" t="s">
        <v>697</v>
      </c>
      <c r="B449" s="288">
        <v>2025</v>
      </c>
      <c r="C449" s="288">
        <v>0</v>
      </c>
      <c r="D449" s="287" t="s">
        <v>671</v>
      </c>
      <c r="E449" s="287" t="s">
        <v>398</v>
      </c>
      <c r="F449" s="287" t="s">
        <v>672</v>
      </c>
      <c r="G449" s="284">
        <v>1623.51</v>
      </c>
    </row>
    <row r="450" spans="1:7" x14ac:dyDescent="0.25">
      <c r="A450" s="287" t="s">
        <v>697</v>
      </c>
      <c r="B450" s="288">
        <v>2025</v>
      </c>
      <c r="C450" s="288">
        <v>1</v>
      </c>
      <c r="D450" s="287" t="s">
        <v>671</v>
      </c>
      <c r="E450" s="287" t="s">
        <v>398</v>
      </c>
      <c r="F450" s="287" t="s">
        <v>672</v>
      </c>
      <c r="G450" s="284">
        <v>135.29</v>
      </c>
    </row>
    <row r="451" spans="1:7" x14ac:dyDescent="0.25">
      <c r="A451" s="287" t="s">
        <v>697</v>
      </c>
      <c r="B451" s="288">
        <v>2025</v>
      </c>
      <c r="C451" s="288">
        <v>2</v>
      </c>
      <c r="D451" s="287" t="s">
        <v>671</v>
      </c>
      <c r="E451" s="287" t="s">
        <v>398</v>
      </c>
      <c r="F451" s="287" t="s">
        <v>672</v>
      </c>
      <c r="G451" s="284">
        <v>135.30000000000001</v>
      </c>
    </row>
    <row r="452" spans="1:7" x14ac:dyDescent="0.25">
      <c r="A452" s="287" t="s">
        <v>697</v>
      </c>
      <c r="B452" s="288">
        <v>2025</v>
      </c>
      <c r="C452" s="288">
        <v>3</v>
      </c>
      <c r="D452" s="287" t="s">
        <v>671</v>
      </c>
      <c r="E452" s="287" t="s">
        <v>398</v>
      </c>
      <c r="F452" s="287" t="s">
        <v>672</v>
      </c>
      <c r="G452" s="284">
        <v>135.29</v>
      </c>
    </row>
    <row r="453" spans="1:7" x14ac:dyDescent="0.25">
      <c r="A453" s="287" t="s">
        <v>697</v>
      </c>
      <c r="B453" s="288">
        <v>2025</v>
      </c>
      <c r="C453" s="288">
        <v>4</v>
      </c>
      <c r="D453" s="287" t="s">
        <v>671</v>
      </c>
      <c r="E453" s="287" t="s">
        <v>398</v>
      </c>
      <c r="F453" s="287" t="s">
        <v>672</v>
      </c>
      <c r="G453" s="284">
        <v>135.29</v>
      </c>
    </row>
    <row r="454" spans="1:7" x14ac:dyDescent="0.25">
      <c r="A454" s="287" t="s">
        <v>697</v>
      </c>
      <c r="B454" s="288">
        <v>2025</v>
      </c>
      <c r="C454" s="288">
        <v>5</v>
      </c>
      <c r="D454" s="287" t="s">
        <v>671</v>
      </c>
      <c r="E454" s="287" t="s">
        <v>398</v>
      </c>
      <c r="F454" s="287" t="s">
        <v>672</v>
      </c>
      <c r="G454" s="284">
        <v>135.29</v>
      </c>
    </row>
    <row r="455" spans="1:7" x14ac:dyDescent="0.25">
      <c r="A455" s="287" t="s">
        <v>697</v>
      </c>
      <c r="B455" s="288">
        <v>2025</v>
      </c>
      <c r="C455" s="288">
        <v>6</v>
      </c>
      <c r="D455" s="287" t="s">
        <v>671</v>
      </c>
      <c r="E455" s="287" t="s">
        <v>398</v>
      </c>
      <c r="F455" s="287" t="s">
        <v>672</v>
      </c>
      <c r="G455" s="284">
        <v>135.30000000000001</v>
      </c>
    </row>
    <row r="456" spans="1:7" x14ac:dyDescent="0.25">
      <c r="A456" s="287" t="s">
        <v>697</v>
      </c>
      <c r="B456" s="288">
        <v>2025</v>
      </c>
      <c r="C456" s="288">
        <v>7</v>
      </c>
      <c r="D456" s="287" t="s">
        <v>671</v>
      </c>
      <c r="E456" s="287" t="s">
        <v>398</v>
      </c>
      <c r="F456" s="287" t="s">
        <v>672</v>
      </c>
      <c r="G456" s="284">
        <v>135.29</v>
      </c>
    </row>
    <row r="457" spans="1:7" x14ac:dyDescent="0.25">
      <c r="A457" s="287" t="s">
        <v>697</v>
      </c>
      <c r="B457" s="288">
        <v>2025</v>
      </c>
      <c r="C457" s="288">
        <v>8</v>
      </c>
      <c r="D457" s="287" t="s">
        <v>671</v>
      </c>
      <c r="E457" s="287" t="s">
        <v>398</v>
      </c>
      <c r="F457" s="287" t="s">
        <v>672</v>
      </c>
      <c r="G457" s="284">
        <v>135.29</v>
      </c>
    </row>
    <row r="458" spans="1:7" x14ac:dyDescent="0.25">
      <c r="A458" s="287" t="s">
        <v>697</v>
      </c>
      <c r="B458" s="288">
        <v>2025</v>
      </c>
      <c r="C458" s="288">
        <v>0</v>
      </c>
      <c r="D458" s="287" t="s">
        <v>665</v>
      </c>
      <c r="E458" s="287" t="s">
        <v>399</v>
      </c>
      <c r="F458" s="287" t="s">
        <v>720</v>
      </c>
      <c r="G458" s="284">
        <v>13527701</v>
      </c>
    </row>
    <row r="459" spans="1:7" x14ac:dyDescent="0.25">
      <c r="A459" s="287" t="s">
        <v>697</v>
      </c>
      <c r="B459" s="288">
        <v>2025</v>
      </c>
      <c r="C459" s="288">
        <v>1</v>
      </c>
      <c r="D459" s="287" t="s">
        <v>665</v>
      </c>
      <c r="E459" s="287" t="s">
        <v>399</v>
      </c>
      <c r="F459" s="287" t="s">
        <v>720</v>
      </c>
      <c r="G459" s="284">
        <v>-307189</v>
      </c>
    </row>
    <row r="460" spans="1:7" x14ac:dyDescent="0.25">
      <c r="A460" s="287" t="s">
        <v>697</v>
      </c>
      <c r="B460" s="288">
        <v>2025</v>
      </c>
      <c r="C460" s="288">
        <v>2</v>
      </c>
      <c r="D460" s="287" t="s">
        <v>665</v>
      </c>
      <c r="E460" s="287" t="s">
        <v>399</v>
      </c>
      <c r="F460" s="287" t="s">
        <v>720</v>
      </c>
      <c r="G460" s="284">
        <v>-307189</v>
      </c>
    </row>
    <row r="461" spans="1:7" x14ac:dyDescent="0.25">
      <c r="A461" s="287" t="s">
        <v>697</v>
      </c>
      <c r="B461" s="288">
        <v>2025</v>
      </c>
      <c r="C461" s="288">
        <v>3</v>
      </c>
      <c r="D461" s="287" t="s">
        <v>665</v>
      </c>
      <c r="E461" s="287" t="s">
        <v>399</v>
      </c>
      <c r="F461" s="287" t="s">
        <v>720</v>
      </c>
      <c r="G461" s="284">
        <v>-307189</v>
      </c>
    </row>
    <row r="462" spans="1:7" x14ac:dyDescent="0.25">
      <c r="A462" s="287" t="s">
        <v>697</v>
      </c>
      <c r="B462" s="288">
        <v>2025</v>
      </c>
      <c r="C462" s="288">
        <v>4</v>
      </c>
      <c r="D462" s="287" t="s">
        <v>665</v>
      </c>
      <c r="E462" s="287" t="s">
        <v>399</v>
      </c>
      <c r="F462" s="287" t="s">
        <v>720</v>
      </c>
      <c r="G462" s="284">
        <v>-307189</v>
      </c>
    </row>
    <row r="463" spans="1:7" x14ac:dyDescent="0.25">
      <c r="A463" s="287" t="s">
        <v>697</v>
      </c>
      <c r="B463" s="288">
        <v>2025</v>
      </c>
      <c r="C463" s="288">
        <v>5</v>
      </c>
      <c r="D463" s="287" t="s">
        <v>665</v>
      </c>
      <c r="E463" s="287" t="s">
        <v>399</v>
      </c>
      <c r="F463" s="287" t="s">
        <v>720</v>
      </c>
      <c r="G463" s="284">
        <v>-307189</v>
      </c>
    </row>
    <row r="464" spans="1:7" x14ac:dyDescent="0.25">
      <c r="A464" s="287" t="s">
        <v>697</v>
      </c>
      <c r="B464" s="288">
        <v>2025</v>
      </c>
      <c r="C464" s="288">
        <v>6</v>
      </c>
      <c r="D464" s="287" t="s">
        <v>665</v>
      </c>
      <c r="E464" s="287" t="s">
        <v>399</v>
      </c>
      <c r="F464" s="287" t="s">
        <v>720</v>
      </c>
      <c r="G464" s="284">
        <v>-307189</v>
      </c>
    </row>
    <row r="465" spans="1:7" x14ac:dyDescent="0.25">
      <c r="A465" s="287" t="s">
        <v>697</v>
      </c>
      <c r="B465" s="288">
        <v>2025</v>
      </c>
      <c r="C465" s="288">
        <v>7</v>
      </c>
      <c r="D465" s="287" t="s">
        <v>665</v>
      </c>
      <c r="E465" s="287" t="s">
        <v>399</v>
      </c>
      <c r="F465" s="287" t="s">
        <v>720</v>
      </c>
      <c r="G465" s="284">
        <v>-307189</v>
      </c>
    </row>
    <row r="466" spans="1:7" x14ac:dyDescent="0.25">
      <c r="A466" s="287" t="s">
        <v>697</v>
      </c>
      <c r="B466" s="288">
        <v>2025</v>
      </c>
      <c r="C466" s="288">
        <v>8</v>
      </c>
      <c r="D466" s="287" t="s">
        <v>665</v>
      </c>
      <c r="E466" s="287" t="s">
        <v>399</v>
      </c>
      <c r="F466" s="287" t="s">
        <v>720</v>
      </c>
      <c r="G466" s="284">
        <v>-307189</v>
      </c>
    </row>
    <row r="467" spans="1:7" x14ac:dyDescent="0.25">
      <c r="A467" s="287" t="s">
        <v>697</v>
      </c>
      <c r="B467" s="288">
        <v>2025</v>
      </c>
      <c r="C467" s="288">
        <v>0</v>
      </c>
      <c r="D467" s="287" t="s">
        <v>665</v>
      </c>
      <c r="E467" s="287" t="s">
        <v>400</v>
      </c>
      <c r="F467" s="287" t="s">
        <v>721</v>
      </c>
      <c r="G467" s="284">
        <v>-2512351.48</v>
      </c>
    </row>
    <row r="468" spans="1:7" x14ac:dyDescent="0.25">
      <c r="A468" s="287" t="s">
        <v>697</v>
      </c>
      <c r="B468" s="288">
        <v>2025</v>
      </c>
      <c r="C468" s="288">
        <v>1</v>
      </c>
      <c r="D468" s="287" t="s">
        <v>665</v>
      </c>
      <c r="E468" s="287" t="s">
        <v>400</v>
      </c>
      <c r="F468" s="287" t="s">
        <v>721</v>
      </c>
      <c r="G468" s="284">
        <v>57214.37</v>
      </c>
    </row>
    <row r="469" spans="1:7" x14ac:dyDescent="0.25">
      <c r="A469" s="287" t="s">
        <v>697</v>
      </c>
      <c r="B469" s="288">
        <v>2025</v>
      </c>
      <c r="C469" s="288">
        <v>2</v>
      </c>
      <c r="D469" s="287" t="s">
        <v>665</v>
      </c>
      <c r="E469" s="287" t="s">
        <v>400</v>
      </c>
      <c r="F469" s="287" t="s">
        <v>721</v>
      </c>
      <c r="G469" s="284">
        <v>57214.36</v>
      </c>
    </row>
    <row r="470" spans="1:7" x14ac:dyDescent="0.25">
      <c r="A470" s="287" t="s">
        <v>697</v>
      </c>
      <c r="B470" s="288">
        <v>2025</v>
      </c>
      <c r="C470" s="288">
        <v>3</v>
      </c>
      <c r="D470" s="287" t="s">
        <v>665</v>
      </c>
      <c r="E470" s="287" t="s">
        <v>400</v>
      </c>
      <c r="F470" s="287" t="s">
        <v>721</v>
      </c>
      <c r="G470" s="284">
        <v>57214.37</v>
      </c>
    </row>
    <row r="471" spans="1:7" x14ac:dyDescent="0.25">
      <c r="A471" s="287" t="s">
        <v>697</v>
      </c>
      <c r="B471" s="288">
        <v>2025</v>
      </c>
      <c r="C471" s="288">
        <v>4</v>
      </c>
      <c r="D471" s="287" t="s">
        <v>665</v>
      </c>
      <c r="E471" s="287" t="s">
        <v>400</v>
      </c>
      <c r="F471" s="287" t="s">
        <v>721</v>
      </c>
      <c r="G471" s="284">
        <v>57214.37</v>
      </c>
    </row>
    <row r="472" spans="1:7" x14ac:dyDescent="0.25">
      <c r="A472" s="287" t="s">
        <v>697</v>
      </c>
      <c r="B472" s="288">
        <v>2025</v>
      </c>
      <c r="C472" s="288">
        <v>5</v>
      </c>
      <c r="D472" s="287" t="s">
        <v>665</v>
      </c>
      <c r="E472" s="287" t="s">
        <v>400</v>
      </c>
      <c r="F472" s="287" t="s">
        <v>721</v>
      </c>
      <c r="G472" s="284">
        <v>57214.36</v>
      </c>
    </row>
    <row r="473" spans="1:7" x14ac:dyDescent="0.25">
      <c r="A473" s="287" t="s">
        <v>697</v>
      </c>
      <c r="B473" s="288">
        <v>2025</v>
      </c>
      <c r="C473" s="288">
        <v>6</v>
      </c>
      <c r="D473" s="287" t="s">
        <v>665</v>
      </c>
      <c r="E473" s="287" t="s">
        <v>400</v>
      </c>
      <c r="F473" s="287" t="s">
        <v>721</v>
      </c>
      <c r="G473" s="284">
        <v>57214.37</v>
      </c>
    </row>
    <row r="474" spans="1:7" x14ac:dyDescent="0.25">
      <c r="A474" s="287" t="s">
        <v>697</v>
      </c>
      <c r="B474" s="288">
        <v>2025</v>
      </c>
      <c r="C474" s="288">
        <v>7</v>
      </c>
      <c r="D474" s="287" t="s">
        <v>665</v>
      </c>
      <c r="E474" s="287" t="s">
        <v>400</v>
      </c>
      <c r="F474" s="287" t="s">
        <v>721</v>
      </c>
      <c r="G474" s="284">
        <v>57214.37</v>
      </c>
    </row>
    <row r="475" spans="1:7" x14ac:dyDescent="0.25">
      <c r="A475" s="287" t="s">
        <v>697</v>
      </c>
      <c r="B475" s="288">
        <v>2025</v>
      </c>
      <c r="C475" s="288">
        <v>8</v>
      </c>
      <c r="D475" s="287" t="s">
        <v>665</v>
      </c>
      <c r="E475" s="287" t="s">
        <v>400</v>
      </c>
      <c r="F475" s="287" t="s">
        <v>721</v>
      </c>
      <c r="G475" s="284">
        <v>57214.37</v>
      </c>
    </row>
    <row r="476" spans="1:7" x14ac:dyDescent="0.25">
      <c r="A476" s="287" t="s">
        <v>697</v>
      </c>
      <c r="B476" s="288">
        <v>2025</v>
      </c>
      <c r="C476" s="288">
        <v>0</v>
      </c>
      <c r="D476" s="287" t="s">
        <v>665</v>
      </c>
      <c r="E476" s="287" t="s">
        <v>401</v>
      </c>
      <c r="F476" s="287" t="s">
        <v>722</v>
      </c>
      <c r="G476" s="284">
        <v>-13527701</v>
      </c>
    </row>
    <row r="477" spans="1:7" x14ac:dyDescent="0.25">
      <c r="A477" s="287" t="s">
        <v>697</v>
      </c>
      <c r="B477" s="288">
        <v>2025</v>
      </c>
      <c r="C477" s="288">
        <v>1</v>
      </c>
      <c r="D477" s="287" t="s">
        <v>665</v>
      </c>
      <c r="E477" s="287" t="s">
        <v>401</v>
      </c>
      <c r="F477" s="287" t="s">
        <v>722</v>
      </c>
      <c r="G477" s="284">
        <v>307189</v>
      </c>
    </row>
    <row r="478" spans="1:7" x14ac:dyDescent="0.25">
      <c r="A478" s="287" t="s">
        <v>697</v>
      </c>
      <c r="B478" s="288">
        <v>2025</v>
      </c>
      <c r="C478" s="288">
        <v>2</v>
      </c>
      <c r="D478" s="287" t="s">
        <v>665</v>
      </c>
      <c r="E478" s="287" t="s">
        <v>401</v>
      </c>
      <c r="F478" s="287" t="s">
        <v>722</v>
      </c>
      <c r="G478" s="284">
        <v>307189</v>
      </c>
    </row>
    <row r="479" spans="1:7" x14ac:dyDescent="0.25">
      <c r="A479" s="287" t="s">
        <v>697</v>
      </c>
      <c r="B479" s="288">
        <v>2025</v>
      </c>
      <c r="C479" s="288">
        <v>3</v>
      </c>
      <c r="D479" s="287" t="s">
        <v>665</v>
      </c>
      <c r="E479" s="287" t="s">
        <v>401</v>
      </c>
      <c r="F479" s="287" t="s">
        <v>722</v>
      </c>
      <c r="G479" s="284">
        <v>307189</v>
      </c>
    </row>
    <row r="480" spans="1:7" x14ac:dyDescent="0.25">
      <c r="A480" s="287" t="s">
        <v>697</v>
      </c>
      <c r="B480" s="288">
        <v>2025</v>
      </c>
      <c r="C480" s="288">
        <v>4</v>
      </c>
      <c r="D480" s="287" t="s">
        <v>665</v>
      </c>
      <c r="E480" s="287" t="s">
        <v>401</v>
      </c>
      <c r="F480" s="287" t="s">
        <v>722</v>
      </c>
      <c r="G480" s="284">
        <v>307189</v>
      </c>
    </row>
    <row r="481" spans="1:7" x14ac:dyDescent="0.25">
      <c r="A481" s="287" t="s">
        <v>697</v>
      </c>
      <c r="B481" s="288">
        <v>2025</v>
      </c>
      <c r="C481" s="288">
        <v>5</v>
      </c>
      <c r="D481" s="287" t="s">
        <v>665</v>
      </c>
      <c r="E481" s="287" t="s">
        <v>401</v>
      </c>
      <c r="F481" s="287" t="s">
        <v>722</v>
      </c>
      <c r="G481" s="284">
        <v>307189</v>
      </c>
    </row>
    <row r="482" spans="1:7" x14ac:dyDescent="0.25">
      <c r="A482" s="287" t="s">
        <v>697</v>
      </c>
      <c r="B482" s="288">
        <v>2025</v>
      </c>
      <c r="C482" s="288">
        <v>6</v>
      </c>
      <c r="D482" s="287" t="s">
        <v>665</v>
      </c>
      <c r="E482" s="287" t="s">
        <v>401</v>
      </c>
      <c r="F482" s="287" t="s">
        <v>722</v>
      </c>
      <c r="G482" s="284">
        <v>307189</v>
      </c>
    </row>
    <row r="483" spans="1:7" x14ac:dyDescent="0.25">
      <c r="A483" s="287" t="s">
        <v>697</v>
      </c>
      <c r="B483" s="288">
        <v>2025</v>
      </c>
      <c r="C483" s="288">
        <v>7</v>
      </c>
      <c r="D483" s="287" t="s">
        <v>665</v>
      </c>
      <c r="E483" s="287" t="s">
        <v>401</v>
      </c>
      <c r="F483" s="287" t="s">
        <v>722</v>
      </c>
      <c r="G483" s="284">
        <v>307189</v>
      </c>
    </row>
    <row r="484" spans="1:7" x14ac:dyDescent="0.25">
      <c r="A484" s="287" t="s">
        <v>697</v>
      </c>
      <c r="B484" s="288">
        <v>2025</v>
      </c>
      <c r="C484" s="288">
        <v>8</v>
      </c>
      <c r="D484" s="287" t="s">
        <v>665</v>
      </c>
      <c r="E484" s="287" t="s">
        <v>401</v>
      </c>
      <c r="F484" s="287" t="s">
        <v>722</v>
      </c>
      <c r="G484" s="284">
        <v>307189</v>
      </c>
    </row>
    <row r="485" spans="1:7" x14ac:dyDescent="0.25">
      <c r="A485" s="287" t="s">
        <v>697</v>
      </c>
      <c r="B485" s="288">
        <v>2025</v>
      </c>
      <c r="C485" s="288">
        <v>0</v>
      </c>
      <c r="D485" s="287" t="s">
        <v>665</v>
      </c>
      <c r="E485" s="287" t="s">
        <v>411</v>
      </c>
      <c r="F485" s="287" t="s">
        <v>693</v>
      </c>
      <c r="G485" s="284">
        <v>-327038.33</v>
      </c>
    </row>
    <row r="486" spans="1:7" x14ac:dyDescent="0.25">
      <c r="A486" s="287" t="s">
        <v>697</v>
      </c>
      <c r="B486" s="288">
        <v>2025</v>
      </c>
      <c r="C486" s="288">
        <v>0</v>
      </c>
      <c r="D486" s="287" t="s">
        <v>665</v>
      </c>
      <c r="E486" s="287" t="s">
        <v>412</v>
      </c>
      <c r="F486" s="287" t="s">
        <v>723</v>
      </c>
      <c r="G486" s="284">
        <v>-7595034.3300000001</v>
      </c>
    </row>
    <row r="487" spans="1:7" x14ac:dyDescent="0.25">
      <c r="A487" s="287" t="s">
        <v>697</v>
      </c>
      <c r="B487" s="288">
        <v>2025</v>
      </c>
      <c r="C487" s="288">
        <v>1</v>
      </c>
      <c r="D487" s="287" t="s">
        <v>665</v>
      </c>
      <c r="E487" s="287" t="s">
        <v>412</v>
      </c>
      <c r="F487" s="287" t="s">
        <v>723</v>
      </c>
      <c r="G487" s="284">
        <v>1181747.49</v>
      </c>
    </row>
    <row r="488" spans="1:7" x14ac:dyDescent="0.25">
      <c r="A488" s="287" t="s">
        <v>697</v>
      </c>
      <c r="B488" s="288">
        <v>2025</v>
      </c>
      <c r="C488" s="288">
        <v>2</v>
      </c>
      <c r="D488" s="287" t="s">
        <v>665</v>
      </c>
      <c r="E488" s="287" t="s">
        <v>412</v>
      </c>
      <c r="F488" s="287" t="s">
        <v>723</v>
      </c>
      <c r="G488" s="284">
        <v>613235.24</v>
      </c>
    </row>
    <row r="489" spans="1:7" x14ac:dyDescent="0.25">
      <c r="A489" s="287" t="s">
        <v>697</v>
      </c>
      <c r="B489" s="288">
        <v>2025</v>
      </c>
      <c r="C489" s="288">
        <v>3</v>
      </c>
      <c r="D489" s="287" t="s">
        <v>665</v>
      </c>
      <c r="E489" s="287" t="s">
        <v>412</v>
      </c>
      <c r="F489" s="287" t="s">
        <v>723</v>
      </c>
      <c r="G489" s="284">
        <v>2585139.58</v>
      </c>
    </row>
    <row r="490" spans="1:7" x14ac:dyDescent="0.25">
      <c r="A490" s="287" t="s">
        <v>697</v>
      </c>
      <c r="B490" s="288">
        <v>2025</v>
      </c>
      <c r="C490" s="288">
        <v>4</v>
      </c>
      <c r="D490" s="287" t="s">
        <v>665</v>
      </c>
      <c r="E490" s="287" t="s">
        <v>412</v>
      </c>
      <c r="F490" s="287" t="s">
        <v>723</v>
      </c>
      <c r="G490" s="284">
        <v>483395.45</v>
      </c>
    </row>
    <row r="491" spans="1:7" x14ac:dyDescent="0.25">
      <c r="A491" s="287" t="s">
        <v>697</v>
      </c>
      <c r="B491" s="288">
        <v>2025</v>
      </c>
      <c r="C491" s="288">
        <v>5</v>
      </c>
      <c r="D491" s="287" t="s">
        <v>665</v>
      </c>
      <c r="E491" s="287" t="s">
        <v>412</v>
      </c>
      <c r="F491" s="287" t="s">
        <v>723</v>
      </c>
      <c r="G491" s="284">
        <v>1046185.91</v>
      </c>
    </row>
    <row r="492" spans="1:7" x14ac:dyDescent="0.25">
      <c r="A492" s="287" t="s">
        <v>697</v>
      </c>
      <c r="B492" s="288">
        <v>2025</v>
      </c>
      <c r="C492" s="288">
        <v>6</v>
      </c>
      <c r="D492" s="287" t="s">
        <v>665</v>
      </c>
      <c r="E492" s="287" t="s">
        <v>412</v>
      </c>
      <c r="F492" s="287" t="s">
        <v>723</v>
      </c>
      <c r="G492" s="284">
        <v>959133.25</v>
      </c>
    </row>
    <row r="493" spans="1:7" x14ac:dyDescent="0.25">
      <c r="A493" s="287" t="s">
        <v>697</v>
      </c>
      <c r="B493" s="288">
        <v>2025</v>
      </c>
      <c r="C493" s="288">
        <v>7</v>
      </c>
      <c r="D493" s="287" t="s">
        <v>665</v>
      </c>
      <c r="E493" s="287" t="s">
        <v>412</v>
      </c>
      <c r="F493" s="287" t="s">
        <v>723</v>
      </c>
      <c r="G493" s="284">
        <v>421359.43</v>
      </c>
    </row>
    <row r="494" spans="1:7" x14ac:dyDescent="0.25">
      <c r="A494" s="287" t="s">
        <v>697</v>
      </c>
      <c r="B494" s="288">
        <v>2025</v>
      </c>
      <c r="C494" s="288">
        <v>8</v>
      </c>
      <c r="D494" s="287" t="s">
        <v>665</v>
      </c>
      <c r="E494" s="287" t="s">
        <v>412</v>
      </c>
      <c r="F494" s="287" t="s">
        <v>723</v>
      </c>
      <c r="G494" s="284">
        <v>978588.95</v>
      </c>
    </row>
    <row r="495" spans="1:7" x14ac:dyDescent="0.25">
      <c r="A495" s="287" t="s">
        <v>697</v>
      </c>
      <c r="B495" s="288">
        <v>2025</v>
      </c>
      <c r="C495" s="288">
        <v>0</v>
      </c>
      <c r="D495" s="287" t="s">
        <v>665</v>
      </c>
      <c r="E495" s="287" t="s">
        <v>413</v>
      </c>
      <c r="F495" s="287" t="s">
        <v>694</v>
      </c>
      <c r="G495" s="284">
        <v>-19714044.579999998</v>
      </c>
    </row>
    <row r="496" spans="1:7" x14ac:dyDescent="0.25">
      <c r="A496" s="287" t="s">
        <v>697</v>
      </c>
      <c r="B496" s="288">
        <v>2025</v>
      </c>
      <c r="C496" s="288">
        <v>1</v>
      </c>
      <c r="D496" s="287" t="s">
        <v>665</v>
      </c>
      <c r="E496" s="287" t="s">
        <v>413</v>
      </c>
      <c r="F496" s="287" t="s">
        <v>694</v>
      </c>
      <c r="G496" s="284">
        <v>7626243.9699999997</v>
      </c>
    </row>
    <row r="497" spans="1:7" x14ac:dyDescent="0.25">
      <c r="A497" s="287" t="s">
        <v>697</v>
      </c>
      <c r="B497" s="288">
        <v>2025</v>
      </c>
      <c r="C497" s="288">
        <v>2</v>
      </c>
      <c r="D497" s="287" t="s">
        <v>665</v>
      </c>
      <c r="E497" s="287" t="s">
        <v>413</v>
      </c>
      <c r="F497" s="287" t="s">
        <v>694</v>
      </c>
      <c r="G497" s="284">
        <v>-2081129.47</v>
      </c>
    </row>
    <row r="498" spans="1:7" x14ac:dyDescent="0.25">
      <c r="A498" s="287" t="s">
        <v>697</v>
      </c>
      <c r="B498" s="288">
        <v>2025</v>
      </c>
      <c r="C498" s="288">
        <v>3</v>
      </c>
      <c r="D498" s="287" t="s">
        <v>665</v>
      </c>
      <c r="E498" s="287" t="s">
        <v>413</v>
      </c>
      <c r="F498" s="287" t="s">
        <v>694</v>
      </c>
      <c r="G498" s="284">
        <v>-4224439.74</v>
      </c>
    </row>
    <row r="499" spans="1:7" x14ac:dyDescent="0.25">
      <c r="A499" s="287" t="s">
        <v>697</v>
      </c>
      <c r="B499" s="288">
        <v>2025</v>
      </c>
      <c r="C499" s="288">
        <v>4</v>
      </c>
      <c r="D499" s="287" t="s">
        <v>665</v>
      </c>
      <c r="E499" s="287" t="s">
        <v>413</v>
      </c>
      <c r="F499" s="287" t="s">
        <v>694</v>
      </c>
      <c r="G499" s="284">
        <v>1482733.32</v>
      </c>
    </row>
    <row r="500" spans="1:7" x14ac:dyDescent="0.25">
      <c r="A500" s="287" t="s">
        <v>697</v>
      </c>
      <c r="B500" s="288">
        <v>2025</v>
      </c>
      <c r="C500" s="288">
        <v>5</v>
      </c>
      <c r="D500" s="287" t="s">
        <v>665</v>
      </c>
      <c r="E500" s="287" t="s">
        <v>413</v>
      </c>
      <c r="F500" s="287" t="s">
        <v>694</v>
      </c>
      <c r="G500" s="284">
        <v>-2710043.14</v>
      </c>
    </row>
    <row r="501" spans="1:7" x14ac:dyDescent="0.25">
      <c r="A501" s="287" t="s">
        <v>697</v>
      </c>
      <c r="B501" s="288">
        <v>2025</v>
      </c>
      <c r="C501" s="288">
        <v>6</v>
      </c>
      <c r="D501" s="287" t="s">
        <v>665</v>
      </c>
      <c r="E501" s="287" t="s">
        <v>413</v>
      </c>
      <c r="F501" s="287" t="s">
        <v>694</v>
      </c>
      <c r="G501" s="284">
        <v>-6765609.5</v>
      </c>
    </row>
    <row r="502" spans="1:7" x14ac:dyDescent="0.25">
      <c r="A502" s="287" t="s">
        <v>697</v>
      </c>
      <c r="B502" s="288">
        <v>2025</v>
      </c>
      <c r="C502" s="288">
        <v>7</v>
      </c>
      <c r="D502" s="287" t="s">
        <v>665</v>
      </c>
      <c r="E502" s="287" t="s">
        <v>413</v>
      </c>
      <c r="F502" s="287" t="s">
        <v>694</v>
      </c>
      <c r="G502" s="284">
        <v>6067571.2400000002</v>
      </c>
    </row>
    <row r="503" spans="1:7" x14ac:dyDescent="0.25">
      <c r="A503" s="287" t="s">
        <v>697</v>
      </c>
      <c r="B503" s="288">
        <v>2025</v>
      </c>
      <c r="C503" s="288">
        <v>8</v>
      </c>
      <c r="D503" s="287" t="s">
        <v>665</v>
      </c>
      <c r="E503" s="287" t="s">
        <v>413</v>
      </c>
      <c r="F503" s="287" t="s">
        <v>694</v>
      </c>
      <c r="G503" s="284">
        <v>-2577578.2400000002</v>
      </c>
    </row>
    <row r="504" spans="1:7" x14ac:dyDescent="0.25">
      <c r="A504" s="287" t="s">
        <v>697</v>
      </c>
      <c r="B504" s="288">
        <v>2025</v>
      </c>
      <c r="C504" s="288">
        <v>0</v>
      </c>
      <c r="D504" s="287" t="s">
        <v>665</v>
      </c>
      <c r="E504" s="287" t="s">
        <v>414</v>
      </c>
      <c r="F504" s="287" t="s">
        <v>724</v>
      </c>
      <c r="G504" s="284">
        <v>-12486222.279999999</v>
      </c>
    </row>
    <row r="505" spans="1:7" x14ac:dyDescent="0.25">
      <c r="A505" s="287" t="s">
        <v>697</v>
      </c>
      <c r="B505" s="288">
        <v>2025</v>
      </c>
      <c r="C505" s="288">
        <v>1</v>
      </c>
      <c r="D505" s="287" t="s">
        <v>665</v>
      </c>
      <c r="E505" s="287" t="s">
        <v>414</v>
      </c>
      <c r="F505" s="287" t="s">
        <v>724</v>
      </c>
      <c r="G505" s="284">
        <v>-8191.92</v>
      </c>
    </row>
    <row r="506" spans="1:7" x14ac:dyDescent="0.25">
      <c r="A506" s="287" t="s">
        <v>697</v>
      </c>
      <c r="B506" s="288">
        <v>2025</v>
      </c>
      <c r="C506" s="288">
        <v>2</v>
      </c>
      <c r="D506" s="287" t="s">
        <v>665</v>
      </c>
      <c r="E506" s="287" t="s">
        <v>414</v>
      </c>
      <c r="F506" s="287" t="s">
        <v>724</v>
      </c>
      <c r="G506" s="284">
        <v>8966.1299999999992</v>
      </c>
    </row>
    <row r="507" spans="1:7" x14ac:dyDescent="0.25">
      <c r="A507" s="287" t="s">
        <v>697</v>
      </c>
      <c r="B507" s="288">
        <v>2025</v>
      </c>
      <c r="C507" s="288">
        <v>3</v>
      </c>
      <c r="D507" s="287" t="s">
        <v>665</v>
      </c>
      <c r="E507" s="287" t="s">
        <v>414</v>
      </c>
      <c r="F507" s="287" t="s">
        <v>724</v>
      </c>
      <c r="G507" s="284">
        <v>-60884.92</v>
      </c>
    </row>
    <row r="508" spans="1:7" x14ac:dyDescent="0.25">
      <c r="A508" s="287" t="s">
        <v>697</v>
      </c>
      <c r="B508" s="288">
        <v>2025</v>
      </c>
      <c r="C508" s="288">
        <v>4</v>
      </c>
      <c r="D508" s="287" t="s">
        <v>665</v>
      </c>
      <c r="E508" s="287" t="s">
        <v>414</v>
      </c>
      <c r="F508" s="287" t="s">
        <v>724</v>
      </c>
      <c r="G508" s="284">
        <v>-44390.2</v>
      </c>
    </row>
    <row r="509" spans="1:7" x14ac:dyDescent="0.25">
      <c r="A509" s="287" t="s">
        <v>697</v>
      </c>
      <c r="B509" s="288">
        <v>2025</v>
      </c>
      <c r="C509" s="288">
        <v>5</v>
      </c>
      <c r="D509" s="287" t="s">
        <v>665</v>
      </c>
      <c r="E509" s="287" t="s">
        <v>414</v>
      </c>
      <c r="F509" s="287" t="s">
        <v>724</v>
      </c>
      <c r="G509" s="284">
        <v>92184.87</v>
      </c>
    </row>
    <row r="510" spans="1:7" x14ac:dyDescent="0.25">
      <c r="A510" s="287" t="s">
        <v>697</v>
      </c>
      <c r="B510" s="288">
        <v>2025</v>
      </c>
      <c r="C510" s="288">
        <v>6</v>
      </c>
      <c r="D510" s="287" t="s">
        <v>665</v>
      </c>
      <c r="E510" s="287" t="s">
        <v>414</v>
      </c>
      <c r="F510" s="287" t="s">
        <v>724</v>
      </c>
      <c r="G510" s="284">
        <v>32841.47</v>
      </c>
    </row>
    <row r="511" spans="1:7" x14ac:dyDescent="0.25">
      <c r="A511" s="287" t="s">
        <v>697</v>
      </c>
      <c r="B511" s="288">
        <v>2025</v>
      </c>
      <c r="C511" s="288">
        <v>7</v>
      </c>
      <c r="D511" s="287" t="s">
        <v>665</v>
      </c>
      <c r="E511" s="287" t="s">
        <v>414</v>
      </c>
      <c r="F511" s="287" t="s">
        <v>724</v>
      </c>
      <c r="G511" s="284">
        <v>-42188.85</v>
      </c>
    </row>
    <row r="512" spans="1:7" x14ac:dyDescent="0.25">
      <c r="A512" s="287" t="s">
        <v>697</v>
      </c>
      <c r="B512" s="288">
        <v>2025</v>
      </c>
      <c r="C512" s="288">
        <v>8</v>
      </c>
      <c r="D512" s="287" t="s">
        <v>665</v>
      </c>
      <c r="E512" s="287" t="s">
        <v>414</v>
      </c>
      <c r="F512" s="287" t="s">
        <v>724</v>
      </c>
      <c r="G512" s="284">
        <v>13627</v>
      </c>
    </row>
    <row r="513" spans="1:7" x14ac:dyDescent="0.25">
      <c r="A513" s="287" t="s">
        <v>697</v>
      </c>
      <c r="B513" s="288">
        <v>2025</v>
      </c>
      <c r="C513" s="288">
        <v>0</v>
      </c>
      <c r="D513" s="287" t="s">
        <v>665</v>
      </c>
      <c r="E513" s="287" t="s">
        <v>415</v>
      </c>
      <c r="F513" s="287" t="s">
        <v>725</v>
      </c>
      <c r="G513" s="284">
        <v>-30881032</v>
      </c>
    </row>
    <row r="514" spans="1:7" x14ac:dyDescent="0.25">
      <c r="A514" s="287" t="s">
        <v>697</v>
      </c>
      <c r="B514" s="288">
        <v>2025</v>
      </c>
      <c r="C514" s="288">
        <v>1</v>
      </c>
      <c r="D514" s="287" t="s">
        <v>665</v>
      </c>
      <c r="E514" s="287" t="s">
        <v>415</v>
      </c>
      <c r="F514" s="287" t="s">
        <v>725</v>
      </c>
      <c r="G514" s="284">
        <v>-1261466.5900000001</v>
      </c>
    </row>
    <row r="515" spans="1:7" x14ac:dyDescent="0.25">
      <c r="A515" s="287" t="s">
        <v>697</v>
      </c>
      <c r="B515" s="288">
        <v>2025</v>
      </c>
      <c r="C515" s="288">
        <v>2</v>
      </c>
      <c r="D515" s="287" t="s">
        <v>665</v>
      </c>
      <c r="E515" s="287" t="s">
        <v>415</v>
      </c>
      <c r="F515" s="287" t="s">
        <v>725</v>
      </c>
      <c r="G515" s="284">
        <v>1750782.32</v>
      </c>
    </row>
    <row r="516" spans="1:7" x14ac:dyDescent="0.25">
      <c r="A516" s="287" t="s">
        <v>697</v>
      </c>
      <c r="B516" s="288">
        <v>2025</v>
      </c>
      <c r="C516" s="288">
        <v>3</v>
      </c>
      <c r="D516" s="287" t="s">
        <v>665</v>
      </c>
      <c r="E516" s="287" t="s">
        <v>415</v>
      </c>
      <c r="F516" s="287" t="s">
        <v>725</v>
      </c>
      <c r="G516" s="284">
        <v>-462798.86</v>
      </c>
    </row>
    <row r="517" spans="1:7" x14ac:dyDescent="0.25">
      <c r="A517" s="287" t="s">
        <v>697</v>
      </c>
      <c r="B517" s="288">
        <v>2025</v>
      </c>
      <c r="C517" s="288">
        <v>4</v>
      </c>
      <c r="D517" s="287" t="s">
        <v>665</v>
      </c>
      <c r="E517" s="287" t="s">
        <v>415</v>
      </c>
      <c r="F517" s="287" t="s">
        <v>725</v>
      </c>
      <c r="G517" s="284">
        <v>-1455546.04</v>
      </c>
    </row>
    <row r="518" spans="1:7" x14ac:dyDescent="0.25">
      <c r="A518" s="287" t="s">
        <v>697</v>
      </c>
      <c r="B518" s="288">
        <v>2025</v>
      </c>
      <c r="C518" s="288">
        <v>5</v>
      </c>
      <c r="D518" s="287" t="s">
        <v>665</v>
      </c>
      <c r="E518" s="287" t="s">
        <v>415</v>
      </c>
      <c r="F518" s="287" t="s">
        <v>725</v>
      </c>
      <c r="G518" s="284">
        <v>-1101843.99</v>
      </c>
    </row>
    <row r="519" spans="1:7" x14ac:dyDescent="0.25">
      <c r="A519" s="287" t="s">
        <v>697</v>
      </c>
      <c r="B519" s="288">
        <v>2025</v>
      </c>
      <c r="C519" s="288">
        <v>6</v>
      </c>
      <c r="D519" s="287" t="s">
        <v>665</v>
      </c>
      <c r="E519" s="287" t="s">
        <v>415</v>
      </c>
      <c r="F519" s="287" t="s">
        <v>725</v>
      </c>
      <c r="G519" s="284">
        <v>37688.660000000003</v>
      </c>
    </row>
    <row r="520" spans="1:7" x14ac:dyDescent="0.25">
      <c r="A520" s="287" t="s">
        <v>697</v>
      </c>
      <c r="B520" s="288">
        <v>2025</v>
      </c>
      <c r="C520" s="288">
        <v>7</v>
      </c>
      <c r="D520" s="287" t="s">
        <v>665</v>
      </c>
      <c r="E520" s="287" t="s">
        <v>415</v>
      </c>
      <c r="F520" s="287" t="s">
        <v>725</v>
      </c>
      <c r="G520" s="284">
        <v>-444736.93</v>
      </c>
    </row>
    <row r="521" spans="1:7" x14ac:dyDescent="0.25">
      <c r="A521" s="287" t="s">
        <v>697</v>
      </c>
      <c r="B521" s="288">
        <v>2025</v>
      </c>
      <c r="C521" s="288">
        <v>8</v>
      </c>
      <c r="D521" s="287" t="s">
        <v>665</v>
      </c>
      <c r="E521" s="287" t="s">
        <v>415</v>
      </c>
      <c r="F521" s="287" t="s">
        <v>725</v>
      </c>
      <c r="G521" s="284">
        <v>145769.84</v>
      </c>
    </row>
    <row r="522" spans="1:7" x14ac:dyDescent="0.25">
      <c r="A522" s="287" t="s">
        <v>697</v>
      </c>
      <c r="B522" s="288">
        <v>2025</v>
      </c>
      <c r="C522" s="288">
        <v>0</v>
      </c>
      <c r="D522" s="287" t="s">
        <v>665</v>
      </c>
      <c r="E522" s="287" t="s">
        <v>416</v>
      </c>
      <c r="F522" s="287" t="s">
        <v>726</v>
      </c>
      <c r="G522" s="284">
        <v>7562814.9000000004</v>
      </c>
    </row>
    <row r="523" spans="1:7" x14ac:dyDescent="0.25">
      <c r="A523" s="287" t="s">
        <v>697</v>
      </c>
      <c r="B523" s="288">
        <v>2025</v>
      </c>
      <c r="C523" s="288">
        <v>7</v>
      </c>
      <c r="D523" s="287" t="s">
        <v>665</v>
      </c>
      <c r="E523" s="287" t="s">
        <v>416</v>
      </c>
      <c r="F523" s="287" t="s">
        <v>726</v>
      </c>
      <c r="G523" s="284">
        <v>65.010000000000005</v>
      </c>
    </row>
    <row r="524" spans="1:7" x14ac:dyDescent="0.25">
      <c r="A524" s="287" t="s">
        <v>697</v>
      </c>
      <c r="B524" s="288">
        <v>2025</v>
      </c>
      <c r="C524" s="288">
        <v>8</v>
      </c>
      <c r="D524" s="287" t="s">
        <v>665</v>
      </c>
      <c r="E524" s="287" t="s">
        <v>416</v>
      </c>
      <c r="F524" s="287" t="s">
        <v>726</v>
      </c>
      <c r="G524" s="284">
        <v>-65.010000000000005</v>
      </c>
    </row>
    <row r="525" spans="1:7" x14ac:dyDescent="0.25">
      <c r="A525" s="287" t="s">
        <v>697</v>
      </c>
      <c r="B525" s="288">
        <v>2025</v>
      </c>
      <c r="C525" s="288">
        <v>0</v>
      </c>
      <c r="D525" s="287" t="s">
        <v>665</v>
      </c>
      <c r="E525" s="287" t="s">
        <v>418</v>
      </c>
      <c r="F525" s="287" t="s">
        <v>666</v>
      </c>
      <c r="G525" s="284">
        <v>-1113263.44</v>
      </c>
    </row>
    <row r="526" spans="1:7" x14ac:dyDescent="0.25">
      <c r="A526" s="287" t="s">
        <v>697</v>
      </c>
      <c r="B526" s="288">
        <v>2025</v>
      </c>
      <c r="C526" s="288">
        <v>3</v>
      </c>
      <c r="D526" s="287" t="s">
        <v>665</v>
      </c>
      <c r="E526" s="287" t="s">
        <v>418</v>
      </c>
      <c r="F526" s="287" t="s">
        <v>666</v>
      </c>
      <c r="G526" s="284">
        <v>-8317.48</v>
      </c>
    </row>
    <row r="527" spans="1:7" x14ac:dyDescent="0.25">
      <c r="A527" s="287" t="s">
        <v>697</v>
      </c>
      <c r="B527" s="288">
        <v>2025</v>
      </c>
      <c r="C527" s="288">
        <v>6</v>
      </c>
      <c r="D527" s="287" t="s">
        <v>665</v>
      </c>
      <c r="E527" s="287" t="s">
        <v>418</v>
      </c>
      <c r="F527" s="287" t="s">
        <v>666</v>
      </c>
      <c r="G527" s="284">
        <v>-8317.48</v>
      </c>
    </row>
    <row r="528" spans="1:7" x14ac:dyDescent="0.25">
      <c r="A528" s="287" t="s">
        <v>697</v>
      </c>
      <c r="B528" s="288">
        <v>2025</v>
      </c>
      <c r="C528" s="288">
        <v>8</v>
      </c>
      <c r="D528" s="287" t="s">
        <v>665</v>
      </c>
      <c r="E528" s="287" t="s">
        <v>418</v>
      </c>
      <c r="F528" s="287" t="s">
        <v>666</v>
      </c>
      <c r="G528" s="284">
        <v>-5544.99</v>
      </c>
    </row>
    <row r="529" spans="1:7" x14ac:dyDescent="0.25">
      <c r="A529" s="287" t="s">
        <v>697</v>
      </c>
      <c r="B529" s="288">
        <v>2025</v>
      </c>
      <c r="C529" s="288">
        <v>0</v>
      </c>
      <c r="D529" s="287" t="s">
        <v>665</v>
      </c>
      <c r="E529" s="287" t="s">
        <v>419</v>
      </c>
      <c r="F529" s="287" t="s">
        <v>695</v>
      </c>
      <c r="G529" s="284">
        <v>-17253637.370000001</v>
      </c>
    </row>
    <row r="530" spans="1:7" x14ac:dyDescent="0.25">
      <c r="A530" s="287" t="s">
        <v>697</v>
      </c>
      <c r="B530" s="288">
        <v>2025</v>
      </c>
      <c r="C530" s="288">
        <v>1</v>
      </c>
      <c r="D530" s="287" t="s">
        <v>665</v>
      </c>
      <c r="E530" s="287" t="s">
        <v>419</v>
      </c>
      <c r="F530" s="287" t="s">
        <v>695</v>
      </c>
      <c r="G530" s="284">
        <v>72714.81</v>
      </c>
    </row>
    <row r="531" spans="1:7" x14ac:dyDescent="0.25">
      <c r="A531" s="287" t="s">
        <v>697</v>
      </c>
      <c r="B531" s="288">
        <v>2025</v>
      </c>
      <c r="C531" s="288">
        <v>2</v>
      </c>
      <c r="D531" s="287" t="s">
        <v>665</v>
      </c>
      <c r="E531" s="287" t="s">
        <v>419</v>
      </c>
      <c r="F531" s="287" t="s">
        <v>695</v>
      </c>
      <c r="G531" s="284">
        <v>72714.81</v>
      </c>
    </row>
    <row r="532" spans="1:7" x14ac:dyDescent="0.25">
      <c r="A532" s="287" t="s">
        <v>697</v>
      </c>
      <c r="B532" s="288">
        <v>2025</v>
      </c>
      <c r="C532" s="288">
        <v>3</v>
      </c>
      <c r="D532" s="287" t="s">
        <v>665</v>
      </c>
      <c r="E532" s="287" t="s">
        <v>419</v>
      </c>
      <c r="F532" s="287" t="s">
        <v>695</v>
      </c>
      <c r="G532" s="284">
        <v>27498.240000000002</v>
      </c>
    </row>
    <row r="533" spans="1:7" x14ac:dyDescent="0.25">
      <c r="A533" s="287" t="s">
        <v>697</v>
      </c>
      <c r="B533" s="288">
        <v>2025</v>
      </c>
      <c r="C533" s="288">
        <v>4</v>
      </c>
      <c r="D533" s="287" t="s">
        <v>665</v>
      </c>
      <c r="E533" s="287" t="s">
        <v>419</v>
      </c>
      <c r="F533" s="287" t="s">
        <v>695</v>
      </c>
      <c r="G533" s="284">
        <v>57642.69</v>
      </c>
    </row>
    <row r="534" spans="1:7" x14ac:dyDescent="0.25">
      <c r="A534" s="287" t="s">
        <v>697</v>
      </c>
      <c r="B534" s="288">
        <v>2025</v>
      </c>
      <c r="C534" s="288">
        <v>5</v>
      </c>
      <c r="D534" s="287" t="s">
        <v>665</v>
      </c>
      <c r="E534" s="287" t="s">
        <v>419</v>
      </c>
      <c r="F534" s="287" t="s">
        <v>695</v>
      </c>
      <c r="G534" s="284">
        <v>57642.69</v>
      </c>
    </row>
    <row r="535" spans="1:7" x14ac:dyDescent="0.25">
      <c r="A535" s="287" t="s">
        <v>697</v>
      </c>
      <c r="B535" s="288">
        <v>2025</v>
      </c>
      <c r="C535" s="288">
        <v>6</v>
      </c>
      <c r="D535" s="287" t="s">
        <v>665</v>
      </c>
      <c r="E535" s="287" t="s">
        <v>419</v>
      </c>
      <c r="F535" s="287" t="s">
        <v>695</v>
      </c>
      <c r="G535" s="284">
        <v>57642.69</v>
      </c>
    </row>
    <row r="536" spans="1:7" x14ac:dyDescent="0.25">
      <c r="A536" s="287" t="s">
        <v>697</v>
      </c>
      <c r="B536" s="288">
        <v>2025</v>
      </c>
      <c r="C536" s="288">
        <v>7</v>
      </c>
      <c r="D536" s="287" t="s">
        <v>665</v>
      </c>
      <c r="E536" s="287" t="s">
        <v>419</v>
      </c>
      <c r="F536" s="287" t="s">
        <v>695</v>
      </c>
      <c r="G536" s="284">
        <v>57642.48</v>
      </c>
    </row>
    <row r="537" spans="1:7" x14ac:dyDescent="0.25">
      <c r="A537" s="287" t="s">
        <v>697</v>
      </c>
      <c r="B537" s="288">
        <v>2025</v>
      </c>
      <c r="C537" s="288">
        <v>8</v>
      </c>
      <c r="D537" s="287" t="s">
        <v>665</v>
      </c>
      <c r="E537" s="287" t="s">
        <v>419</v>
      </c>
      <c r="F537" s="287" t="s">
        <v>695</v>
      </c>
      <c r="G537" s="284">
        <v>57642.69</v>
      </c>
    </row>
    <row r="538" spans="1:7" x14ac:dyDescent="0.25">
      <c r="A538" s="287" t="s">
        <v>697</v>
      </c>
      <c r="B538" s="288">
        <v>2025</v>
      </c>
      <c r="C538" s="288">
        <v>0</v>
      </c>
      <c r="D538" s="287" t="s">
        <v>665</v>
      </c>
      <c r="E538" s="287" t="s">
        <v>420</v>
      </c>
      <c r="F538" s="287" t="s">
        <v>727</v>
      </c>
      <c r="G538" s="284">
        <v>-3780847.06</v>
      </c>
    </row>
    <row r="539" spans="1:7" x14ac:dyDescent="0.25">
      <c r="A539" s="287" t="s">
        <v>697</v>
      </c>
      <c r="B539" s="288">
        <v>2025</v>
      </c>
      <c r="C539" s="288">
        <v>3</v>
      </c>
      <c r="D539" s="287" t="s">
        <v>665</v>
      </c>
      <c r="E539" s="287" t="s">
        <v>420</v>
      </c>
      <c r="F539" s="287" t="s">
        <v>727</v>
      </c>
      <c r="G539" s="284">
        <v>-470314.95</v>
      </c>
    </row>
    <row r="540" spans="1:7" x14ac:dyDescent="0.25">
      <c r="A540" s="287" t="s">
        <v>697</v>
      </c>
      <c r="B540" s="288">
        <v>2025</v>
      </c>
      <c r="C540" s="288">
        <v>6</v>
      </c>
      <c r="D540" s="287" t="s">
        <v>665</v>
      </c>
      <c r="E540" s="287" t="s">
        <v>420</v>
      </c>
      <c r="F540" s="287" t="s">
        <v>727</v>
      </c>
      <c r="G540" s="284">
        <v>-470314.95</v>
      </c>
    </row>
    <row r="541" spans="1:7" x14ac:dyDescent="0.25">
      <c r="A541" s="287" t="s">
        <v>697</v>
      </c>
      <c r="B541" s="288">
        <v>2025</v>
      </c>
      <c r="C541" s="288">
        <v>8</v>
      </c>
      <c r="D541" s="287" t="s">
        <v>665</v>
      </c>
      <c r="E541" s="287" t="s">
        <v>420</v>
      </c>
      <c r="F541" s="287" t="s">
        <v>727</v>
      </c>
      <c r="G541" s="284">
        <v>-313543.3</v>
      </c>
    </row>
    <row r="542" spans="1:7" x14ac:dyDescent="0.25">
      <c r="A542" s="287" t="s">
        <v>697</v>
      </c>
      <c r="B542" s="288">
        <v>2025</v>
      </c>
      <c r="C542" s="288">
        <v>0</v>
      </c>
      <c r="D542" s="287" t="s">
        <v>665</v>
      </c>
      <c r="E542" s="287" t="s">
        <v>421</v>
      </c>
      <c r="F542" s="287" t="s">
        <v>728</v>
      </c>
      <c r="G542" s="284">
        <v>-13703636.82</v>
      </c>
    </row>
    <row r="543" spans="1:7" x14ac:dyDescent="0.25">
      <c r="A543" s="287" t="s">
        <v>697</v>
      </c>
      <c r="B543" s="288">
        <v>2025</v>
      </c>
      <c r="C543" s="288">
        <v>3</v>
      </c>
      <c r="D543" s="287" t="s">
        <v>665</v>
      </c>
      <c r="E543" s="287" t="s">
        <v>421</v>
      </c>
      <c r="F543" s="287" t="s">
        <v>728</v>
      </c>
      <c r="G543" s="284">
        <v>-52706.43</v>
      </c>
    </row>
    <row r="544" spans="1:7" x14ac:dyDescent="0.25">
      <c r="A544" s="287" t="s">
        <v>697</v>
      </c>
      <c r="B544" s="288">
        <v>2025</v>
      </c>
      <c r="C544" s="288">
        <v>6</v>
      </c>
      <c r="D544" s="287" t="s">
        <v>665</v>
      </c>
      <c r="E544" s="287" t="s">
        <v>421</v>
      </c>
      <c r="F544" s="287" t="s">
        <v>728</v>
      </c>
      <c r="G544" s="284">
        <v>-52706.43</v>
      </c>
    </row>
    <row r="545" spans="1:7" x14ac:dyDescent="0.25">
      <c r="A545" s="287" t="s">
        <v>697</v>
      </c>
      <c r="B545" s="288">
        <v>2025</v>
      </c>
      <c r="C545" s="288">
        <v>8</v>
      </c>
      <c r="D545" s="287" t="s">
        <v>665</v>
      </c>
      <c r="E545" s="287" t="s">
        <v>421</v>
      </c>
      <c r="F545" s="287" t="s">
        <v>728</v>
      </c>
      <c r="G545" s="284">
        <v>-35137.61</v>
      </c>
    </row>
    <row r="546" spans="1:7" x14ac:dyDescent="0.25">
      <c r="A546" s="287" t="s">
        <v>697</v>
      </c>
      <c r="B546" s="288">
        <v>2025</v>
      </c>
      <c r="C546" s="288">
        <v>0</v>
      </c>
      <c r="D546" s="287" t="s">
        <v>665</v>
      </c>
      <c r="E546" s="287" t="s">
        <v>422</v>
      </c>
      <c r="F546" s="287" t="s">
        <v>729</v>
      </c>
      <c r="G546" s="284">
        <v>-95275.11</v>
      </c>
    </row>
    <row r="547" spans="1:7" x14ac:dyDescent="0.25">
      <c r="A547" s="287" t="s">
        <v>697</v>
      </c>
      <c r="B547" s="288">
        <v>2025</v>
      </c>
      <c r="C547" s="288">
        <v>3</v>
      </c>
      <c r="D547" s="287" t="s">
        <v>665</v>
      </c>
      <c r="E547" s="287" t="s">
        <v>422</v>
      </c>
      <c r="F547" s="287" t="s">
        <v>729</v>
      </c>
      <c r="G547" s="284">
        <v>2586.9899999999998</v>
      </c>
    </row>
    <row r="548" spans="1:7" x14ac:dyDescent="0.25">
      <c r="A548" s="287" t="s">
        <v>697</v>
      </c>
      <c r="B548" s="288">
        <v>2025</v>
      </c>
      <c r="C548" s="288">
        <v>6</v>
      </c>
      <c r="D548" s="287" t="s">
        <v>665</v>
      </c>
      <c r="E548" s="287" t="s">
        <v>422</v>
      </c>
      <c r="F548" s="287" t="s">
        <v>729</v>
      </c>
      <c r="G548" s="284">
        <v>2586.9899999999998</v>
      </c>
    </row>
    <row r="549" spans="1:7" x14ac:dyDescent="0.25">
      <c r="A549" s="287" t="s">
        <v>697</v>
      </c>
      <c r="B549" s="288">
        <v>2025</v>
      </c>
      <c r="C549" s="288">
        <v>8</v>
      </c>
      <c r="D549" s="287" t="s">
        <v>665</v>
      </c>
      <c r="E549" s="287" t="s">
        <v>422</v>
      </c>
      <c r="F549" s="287" t="s">
        <v>729</v>
      </c>
      <c r="G549" s="284">
        <v>1724.66</v>
      </c>
    </row>
    <row r="550" spans="1:7" x14ac:dyDescent="0.25">
      <c r="A550" s="287" t="s">
        <v>697</v>
      </c>
      <c r="B550" s="288">
        <v>2025</v>
      </c>
      <c r="C550" s="288">
        <v>0</v>
      </c>
      <c r="D550" s="287" t="s">
        <v>665</v>
      </c>
      <c r="E550" s="287" t="s">
        <v>423</v>
      </c>
      <c r="F550" s="287" t="s">
        <v>730</v>
      </c>
      <c r="G550" s="284">
        <v>-37060.959999999999</v>
      </c>
    </row>
    <row r="551" spans="1:7" x14ac:dyDescent="0.25">
      <c r="A551" s="287" t="s">
        <v>697</v>
      </c>
      <c r="B551" s="288">
        <v>2025</v>
      </c>
      <c r="C551" s="288">
        <v>1</v>
      </c>
      <c r="D551" s="287" t="s">
        <v>665</v>
      </c>
      <c r="E551" s="287" t="s">
        <v>423</v>
      </c>
      <c r="F551" s="287" t="s">
        <v>730</v>
      </c>
      <c r="G551" s="284">
        <v>108.05</v>
      </c>
    </row>
    <row r="552" spans="1:7" x14ac:dyDescent="0.25">
      <c r="A552" s="287" t="s">
        <v>697</v>
      </c>
      <c r="B552" s="288">
        <v>2025</v>
      </c>
      <c r="C552" s="288">
        <v>2</v>
      </c>
      <c r="D552" s="287" t="s">
        <v>665</v>
      </c>
      <c r="E552" s="287" t="s">
        <v>423</v>
      </c>
      <c r="F552" s="287" t="s">
        <v>730</v>
      </c>
      <c r="G552" s="284">
        <v>108.05</v>
      </c>
    </row>
    <row r="553" spans="1:7" x14ac:dyDescent="0.25">
      <c r="A553" s="287" t="s">
        <v>697</v>
      </c>
      <c r="B553" s="288">
        <v>2025</v>
      </c>
      <c r="C553" s="288">
        <v>3</v>
      </c>
      <c r="D553" s="287" t="s">
        <v>665</v>
      </c>
      <c r="E553" s="287" t="s">
        <v>423</v>
      </c>
      <c r="F553" s="287" t="s">
        <v>730</v>
      </c>
      <c r="G553" s="284">
        <v>108.05</v>
      </c>
    </row>
    <row r="554" spans="1:7" x14ac:dyDescent="0.25">
      <c r="A554" s="287" t="s">
        <v>697</v>
      </c>
      <c r="B554" s="288">
        <v>2025</v>
      </c>
      <c r="C554" s="288">
        <v>4</v>
      </c>
      <c r="D554" s="287" t="s">
        <v>665</v>
      </c>
      <c r="E554" s="287" t="s">
        <v>423</v>
      </c>
      <c r="F554" s="287" t="s">
        <v>730</v>
      </c>
      <c r="G554" s="284">
        <v>108.05</v>
      </c>
    </row>
    <row r="555" spans="1:7" x14ac:dyDescent="0.25">
      <c r="A555" s="287" t="s">
        <v>697</v>
      </c>
      <c r="B555" s="288">
        <v>2025</v>
      </c>
      <c r="C555" s="288">
        <v>5</v>
      </c>
      <c r="D555" s="287" t="s">
        <v>665</v>
      </c>
      <c r="E555" s="287" t="s">
        <v>423</v>
      </c>
      <c r="F555" s="287" t="s">
        <v>730</v>
      </c>
      <c r="G555" s="284">
        <v>108.05</v>
      </c>
    </row>
    <row r="556" spans="1:7" x14ac:dyDescent="0.25">
      <c r="A556" s="287" t="s">
        <v>697</v>
      </c>
      <c r="B556" s="288">
        <v>2025</v>
      </c>
      <c r="C556" s="288">
        <v>6</v>
      </c>
      <c r="D556" s="287" t="s">
        <v>665</v>
      </c>
      <c r="E556" s="287" t="s">
        <v>423</v>
      </c>
      <c r="F556" s="287" t="s">
        <v>730</v>
      </c>
      <c r="G556" s="284">
        <v>108.05</v>
      </c>
    </row>
    <row r="557" spans="1:7" x14ac:dyDescent="0.25">
      <c r="A557" s="287" t="s">
        <v>697</v>
      </c>
      <c r="B557" s="288">
        <v>2025</v>
      </c>
      <c r="C557" s="288">
        <v>7</v>
      </c>
      <c r="D557" s="287" t="s">
        <v>665</v>
      </c>
      <c r="E557" s="287" t="s">
        <v>423</v>
      </c>
      <c r="F557" s="287" t="s">
        <v>730</v>
      </c>
      <c r="G557" s="284">
        <v>108.04</v>
      </c>
    </row>
    <row r="558" spans="1:7" x14ac:dyDescent="0.25">
      <c r="A558" s="287" t="s">
        <v>697</v>
      </c>
      <c r="B558" s="288">
        <v>2025</v>
      </c>
      <c r="C558" s="288">
        <v>8</v>
      </c>
      <c r="D558" s="287" t="s">
        <v>665</v>
      </c>
      <c r="E558" s="287" t="s">
        <v>423</v>
      </c>
      <c r="F558" s="287" t="s">
        <v>730</v>
      </c>
      <c r="G558" s="284">
        <v>108.05</v>
      </c>
    </row>
    <row r="559" spans="1:7" x14ac:dyDescent="0.25">
      <c r="A559" s="287" t="s">
        <v>697</v>
      </c>
      <c r="B559" s="288">
        <v>2025</v>
      </c>
      <c r="C559" s="288">
        <v>0</v>
      </c>
      <c r="D559" s="287" t="s">
        <v>665</v>
      </c>
      <c r="E559" s="287" t="s">
        <v>425</v>
      </c>
      <c r="F559" s="287" t="s">
        <v>731</v>
      </c>
      <c r="G559" s="284">
        <v>-837903.77</v>
      </c>
    </row>
    <row r="560" spans="1:7" x14ac:dyDescent="0.25">
      <c r="A560" s="287" t="s">
        <v>697</v>
      </c>
      <c r="B560" s="288">
        <v>2025</v>
      </c>
      <c r="C560" s="288">
        <v>1</v>
      </c>
      <c r="D560" s="287" t="s">
        <v>665</v>
      </c>
      <c r="E560" s="287" t="s">
        <v>425</v>
      </c>
      <c r="F560" s="287" t="s">
        <v>731</v>
      </c>
      <c r="G560" s="284">
        <v>30898.48</v>
      </c>
    </row>
    <row r="561" spans="1:7" x14ac:dyDescent="0.25">
      <c r="A561" s="287" t="s">
        <v>697</v>
      </c>
      <c r="B561" s="288">
        <v>2025</v>
      </c>
      <c r="C561" s="288">
        <v>2</v>
      </c>
      <c r="D561" s="287" t="s">
        <v>665</v>
      </c>
      <c r="E561" s="287" t="s">
        <v>425</v>
      </c>
      <c r="F561" s="287" t="s">
        <v>731</v>
      </c>
      <c r="G561" s="284">
        <v>-61803.7</v>
      </c>
    </row>
    <row r="562" spans="1:7" x14ac:dyDescent="0.25">
      <c r="A562" s="287" t="s">
        <v>697</v>
      </c>
      <c r="B562" s="288">
        <v>2025</v>
      </c>
      <c r="C562" s="288">
        <v>3</v>
      </c>
      <c r="D562" s="287" t="s">
        <v>665</v>
      </c>
      <c r="E562" s="287" t="s">
        <v>425</v>
      </c>
      <c r="F562" s="287" t="s">
        <v>731</v>
      </c>
      <c r="G562" s="284">
        <v>-151582.75</v>
      </c>
    </row>
    <row r="563" spans="1:7" x14ac:dyDescent="0.25">
      <c r="A563" s="287" t="s">
        <v>697</v>
      </c>
      <c r="B563" s="288">
        <v>2025</v>
      </c>
      <c r="C563" s="288">
        <v>4</v>
      </c>
      <c r="D563" s="287" t="s">
        <v>665</v>
      </c>
      <c r="E563" s="287" t="s">
        <v>425</v>
      </c>
      <c r="F563" s="287" t="s">
        <v>731</v>
      </c>
      <c r="G563" s="284">
        <v>17272.560000000001</v>
      </c>
    </row>
    <row r="564" spans="1:7" x14ac:dyDescent="0.25">
      <c r="A564" s="287" t="s">
        <v>697</v>
      </c>
      <c r="B564" s="288">
        <v>2025</v>
      </c>
      <c r="C564" s="288">
        <v>5</v>
      </c>
      <c r="D564" s="287" t="s">
        <v>665</v>
      </c>
      <c r="E564" s="287" t="s">
        <v>425</v>
      </c>
      <c r="F564" s="287" t="s">
        <v>731</v>
      </c>
      <c r="G564" s="284">
        <v>-10999.34</v>
      </c>
    </row>
    <row r="565" spans="1:7" x14ac:dyDescent="0.25">
      <c r="A565" s="287" t="s">
        <v>697</v>
      </c>
      <c r="B565" s="288">
        <v>2025</v>
      </c>
      <c r="C565" s="288">
        <v>6</v>
      </c>
      <c r="D565" s="287" t="s">
        <v>665</v>
      </c>
      <c r="E565" s="287" t="s">
        <v>425</v>
      </c>
      <c r="F565" s="287" t="s">
        <v>731</v>
      </c>
      <c r="G565" s="284">
        <v>-59810.62</v>
      </c>
    </row>
    <row r="566" spans="1:7" x14ac:dyDescent="0.25">
      <c r="A566" s="287" t="s">
        <v>697</v>
      </c>
      <c r="B566" s="288">
        <v>2025</v>
      </c>
      <c r="C566" s="288">
        <v>7</v>
      </c>
      <c r="D566" s="287" t="s">
        <v>665</v>
      </c>
      <c r="E566" s="287" t="s">
        <v>425</v>
      </c>
      <c r="F566" s="287" t="s">
        <v>731</v>
      </c>
      <c r="G566" s="284">
        <v>-146559.88</v>
      </c>
    </row>
    <row r="567" spans="1:7" x14ac:dyDescent="0.25">
      <c r="A567" s="287" t="s">
        <v>697</v>
      </c>
      <c r="B567" s="288">
        <v>2025</v>
      </c>
      <c r="C567" s="288">
        <v>8</v>
      </c>
      <c r="D567" s="287" t="s">
        <v>665</v>
      </c>
      <c r="E567" s="287" t="s">
        <v>425</v>
      </c>
      <c r="F567" s="287" t="s">
        <v>731</v>
      </c>
      <c r="G567" s="284">
        <v>-86606.64</v>
      </c>
    </row>
    <row r="568" spans="1:7" x14ac:dyDescent="0.25">
      <c r="A568" s="287" t="s">
        <v>732</v>
      </c>
      <c r="B568" s="288">
        <v>2025</v>
      </c>
      <c r="C568" s="288">
        <v>0</v>
      </c>
      <c r="D568" s="287" t="s">
        <v>661</v>
      </c>
      <c r="E568" s="287" t="s">
        <v>353</v>
      </c>
      <c r="F568" s="287" t="s">
        <v>733</v>
      </c>
      <c r="G568" s="284">
        <v>-22263508.309999999</v>
      </c>
    </row>
    <row r="569" spans="1:7" x14ac:dyDescent="0.25">
      <c r="A569" s="287" t="s">
        <v>732</v>
      </c>
      <c r="B569" s="288">
        <v>2025</v>
      </c>
      <c r="C569" s="288">
        <v>1</v>
      </c>
      <c r="D569" s="287" t="s">
        <v>661</v>
      </c>
      <c r="E569" s="287" t="s">
        <v>353</v>
      </c>
      <c r="F569" s="287" t="s">
        <v>733</v>
      </c>
      <c r="G569" s="284">
        <v>2244.1</v>
      </c>
    </row>
    <row r="570" spans="1:7" x14ac:dyDescent="0.25">
      <c r="A570" s="287" t="s">
        <v>732</v>
      </c>
      <c r="B570" s="288">
        <v>2025</v>
      </c>
      <c r="C570" s="288">
        <v>2</v>
      </c>
      <c r="D570" s="287" t="s">
        <v>661</v>
      </c>
      <c r="E570" s="287" t="s">
        <v>353</v>
      </c>
      <c r="F570" s="287" t="s">
        <v>733</v>
      </c>
      <c r="G570" s="284">
        <v>2244</v>
      </c>
    </row>
    <row r="571" spans="1:7" x14ac:dyDescent="0.25">
      <c r="A571" s="287" t="s">
        <v>732</v>
      </c>
      <c r="B571" s="288">
        <v>2025</v>
      </c>
      <c r="C571" s="288">
        <v>3</v>
      </c>
      <c r="D571" s="287" t="s">
        <v>661</v>
      </c>
      <c r="E571" s="287" t="s">
        <v>353</v>
      </c>
      <c r="F571" s="287" t="s">
        <v>733</v>
      </c>
      <c r="G571" s="284">
        <v>2244</v>
      </c>
    </row>
    <row r="572" spans="1:7" x14ac:dyDescent="0.25">
      <c r="A572" s="287" t="s">
        <v>732</v>
      </c>
      <c r="B572" s="288">
        <v>2025</v>
      </c>
      <c r="C572" s="288">
        <v>4</v>
      </c>
      <c r="D572" s="287" t="s">
        <v>661</v>
      </c>
      <c r="E572" s="287" t="s">
        <v>353</v>
      </c>
      <c r="F572" s="287" t="s">
        <v>733</v>
      </c>
      <c r="G572" s="284">
        <v>2244</v>
      </c>
    </row>
    <row r="573" spans="1:7" x14ac:dyDescent="0.25">
      <c r="A573" s="287" t="s">
        <v>732</v>
      </c>
      <c r="B573" s="288">
        <v>2025</v>
      </c>
      <c r="C573" s="288">
        <v>5</v>
      </c>
      <c r="D573" s="287" t="s">
        <v>661</v>
      </c>
      <c r="E573" s="287" t="s">
        <v>353</v>
      </c>
      <c r="F573" s="287" t="s">
        <v>733</v>
      </c>
      <c r="G573" s="284">
        <v>2243.9899999999998</v>
      </c>
    </row>
    <row r="574" spans="1:7" x14ac:dyDescent="0.25">
      <c r="A574" s="287" t="s">
        <v>732</v>
      </c>
      <c r="B574" s="288">
        <v>2025</v>
      </c>
      <c r="C574" s="288">
        <v>6</v>
      </c>
      <c r="D574" s="287" t="s">
        <v>661</v>
      </c>
      <c r="E574" s="287" t="s">
        <v>353</v>
      </c>
      <c r="F574" s="287" t="s">
        <v>733</v>
      </c>
      <c r="G574" s="284">
        <v>1752220.02</v>
      </c>
    </row>
    <row r="575" spans="1:7" x14ac:dyDescent="0.25">
      <c r="A575" s="287" t="s">
        <v>732</v>
      </c>
      <c r="B575" s="288">
        <v>2025</v>
      </c>
      <c r="C575" s="288">
        <v>7</v>
      </c>
      <c r="D575" s="287" t="s">
        <v>661</v>
      </c>
      <c r="E575" s="287" t="s">
        <v>353</v>
      </c>
      <c r="F575" s="287" t="s">
        <v>733</v>
      </c>
      <c r="G575" s="284">
        <v>59320.99</v>
      </c>
    </row>
    <row r="576" spans="1:7" x14ac:dyDescent="0.25">
      <c r="A576" s="287" t="s">
        <v>732</v>
      </c>
      <c r="B576" s="288">
        <v>2025</v>
      </c>
      <c r="C576" s="288">
        <v>8</v>
      </c>
      <c r="D576" s="287" t="s">
        <v>661</v>
      </c>
      <c r="E576" s="287" t="s">
        <v>353</v>
      </c>
      <c r="F576" s="287" t="s">
        <v>733</v>
      </c>
      <c r="G576" s="284">
        <v>59321</v>
      </c>
    </row>
    <row r="577" spans="1:7" x14ac:dyDescent="0.25">
      <c r="A577" s="287" t="s">
        <v>732</v>
      </c>
      <c r="B577" s="288">
        <v>2025</v>
      </c>
      <c r="C577" s="288">
        <v>0</v>
      </c>
      <c r="D577" s="287" t="s">
        <v>661</v>
      </c>
      <c r="E577" s="287" t="s">
        <v>354</v>
      </c>
      <c r="F577" s="287" t="s">
        <v>734</v>
      </c>
      <c r="G577" s="284">
        <v>12289232.08</v>
      </c>
    </row>
    <row r="578" spans="1:7" x14ac:dyDescent="0.25">
      <c r="A578" s="287" t="s">
        <v>732</v>
      </c>
      <c r="B578" s="288">
        <v>2025</v>
      </c>
      <c r="C578" s="288">
        <v>1</v>
      </c>
      <c r="D578" s="287" t="s">
        <v>661</v>
      </c>
      <c r="E578" s="287" t="s">
        <v>354</v>
      </c>
      <c r="F578" s="287" t="s">
        <v>734</v>
      </c>
      <c r="G578" s="284">
        <v>-52198.559999999998</v>
      </c>
    </row>
    <row r="579" spans="1:7" x14ac:dyDescent="0.25">
      <c r="A579" s="287" t="s">
        <v>732</v>
      </c>
      <c r="B579" s="288">
        <v>2025</v>
      </c>
      <c r="C579" s="288">
        <v>2</v>
      </c>
      <c r="D579" s="287" t="s">
        <v>661</v>
      </c>
      <c r="E579" s="287" t="s">
        <v>354</v>
      </c>
      <c r="F579" s="287" t="s">
        <v>734</v>
      </c>
      <c r="G579" s="284">
        <v>-53552.85</v>
      </c>
    </row>
    <row r="580" spans="1:7" x14ac:dyDescent="0.25">
      <c r="A580" s="287" t="s">
        <v>732</v>
      </c>
      <c r="B580" s="288">
        <v>2025</v>
      </c>
      <c r="C580" s="288">
        <v>3</v>
      </c>
      <c r="D580" s="287" t="s">
        <v>661</v>
      </c>
      <c r="E580" s="287" t="s">
        <v>354</v>
      </c>
      <c r="F580" s="287" t="s">
        <v>734</v>
      </c>
      <c r="G580" s="284">
        <v>-49476.22</v>
      </c>
    </row>
    <row r="581" spans="1:7" x14ac:dyDescent="0.25">
      <c r="A581" s="287" t="s">
        <v>732</v>
      </c>
      <c r="B581" s="288">
        <v>2025</v>
      </c>
      <c r="C581" s="288">
        <v>4</v>
      </c>
      <c r="D581" s="287" t="s">
        <v>661</v>
      </c>
      <c r="E581" s="287" t="s">
        <v>354</v>
      </c>
      <c r="F581" s="287" t="s">
        <v>734</v>
      </c>
      <c r="G581" s="284">
        <v>-53900.65</v>
      </c>
    </row>
    <row r="582" spans="1:7" x14ac:dyDescent="0.25">
      <c r="A582" s="287" t="s">
        <v>732</v>
      </c>
      <c r="B582" s="288">
        <v>2025</v>
      </c>
      <c r="C582" s="288">
        <v>5</v>
      </c>
      <c r="D582" s="287" t="s">
        <v>661</v>
      </c>
      <c r="E582" s="287" t="s">
        <v>354</v>
      </c>
      <c r="F582" s="287" t="s">
        <v>734</v>
      </c>
      <c r="G582" s="284">
        <v>-49512.45</v>
      </c>
    </row>
    <row r="583" spans="1:7" x14ac:dyDescent="0.25">
      <c r="A583" s="287" t="s">
        <v>732</v>
      </c>
      <c r="B583" s="288">
        <v>2025</v>
      </c>
      <c r="C583" s="288">
        <v>6</v>
      </c>
      <c r="D583" s="287" t="s">
        <v>661</v>
      </c>
      <c r="E583" s="287" t="s">
        <v>354</v>
      </c>
      <c r="F583" s="287" t="s">
        <v>734</v>
      </c>
      <c r="G583" s="284">
        <v>-54190.13</v>
      </c>
    </row>
    <row r="584" spans="1:7" x14ac:dyDescent="0.25">
      <c r="A584" s="287" t="s">
        <v>732</v>
      </c>
      <c r="B584" s="288">
        <v>2025</v>
      </c>
      <c r="C584" s="288">
        <v>7</v>
      </c>
      <c r="D584" s="287" t="s">
        <v>661</v>
      </c>
      <c r="E584" s="287" t="s">
        <v>354</v>
      </c>
      <c r="F584" s="287" t="s">
        <v>734</v>
      </c>
      <c r="G584" s="284">
        <v>-59003.95</v>
      </c>
    </row>
    <row r="585" spans="1:7" x14ac:dyDescent="0.25">
      <c r="A585" s="287" t="s">
        <v>732</v>
      </c>
      <c r="B585" s="288">
        <v>2025</v>
      </c>
      <c r="C585" s="288">
        <v>8</v>
      </c>
      <c r="D585" s="287" t="s">
        <v>661</v>
      </c>
      <c r="E585" s="287" t="s">
        <v>354</v>
      </c>
      <c r="F585" s="287" t="s">
        <v>734</v>
      </c>
      <c r="G585" s="284">
        <v>-54843.64</v>
      </c>
    </row>
    <row r="586" spans="1:7" x14ac:dyDescent="0.25">
      <c r="A586" s="287" t="s">
        <v>732</v>
      </c>
      <c r="B586" s="288">
        <v>2025</v>
      </c>
      <c r="C586" s="288">
        <v>0</v>
      </c>
      <c r="D586" s="287" t="s">
        <v>661</v>
      </c>
      <c r="E586" s="287" t="s">
        <v>355</v>
      </c>
      <c r="F586" s="287" t="s">
        <v>735</v>
      </c>
      <c r="G586" s="284">
        <v>-4711857.29</v>
      </c>
    </row>
    <row r="587" spans="1:7" x14ac:dyDescent="0.25">
      <c r="A587" s="287" t="s">
        <v>732</v>
      </c>
      <c r="B587" s="288">
        <v>2025</v>
      </c>
      <c r="C587" s="288">
        <v>1</v>
      </c>
      <c r="D587" s="287" t="s">
        <v>661</v>
      </c>
      <c r="E587" s="287" t="s">
        <v>355</v>
      </c>
      <c r="F587" s="287" t="s">
        <v>735</v>
      </c>
      <c r="G587" s="284">
        <v>142255</v>
      </c>
    </row>
    <row r="588" spans="1:7" x14ac:dyDescent="0.25">
      <c r="A588" s="287" t="s">
        <v>732</v>
      </c>
      <c r="B588" s="288">
        <v>2025</v>
      </c>
      <c r="C588" s="288">
        <v>2</v>
      </c>
      <c r="D588" s="287" t="s">
        <v>661</v>
      </c>
      <c r="E588" s="287" t="s">
        <v>355</v>
      </c>
      <c r="F588" s="287" t="s">
        <v>735</v>
      </c>
      <c r="G588" s="284">
        <v>142255</v>
      </c>
    </row>
    <row r="589" spans="1:7" x14ac:dyDescent="0.25">
      <c r="A589" s="287" t="s">
        <v>732</v>
      </c>
      <c r="B589" s="288">
        <v>2025</v>
      </c>
      <c r="C589" s="288">
        <v>3</v>
      </c>
      <c r="D589" s="287" t="s">
        <v>661</v>
      </c>
      <c r="E589" s="287" t="s">
        <v>355</v>
      </c>
      <c r="F589" s="287" t="s">
        <v>735</v>
      </c>
      <c r="G589" s="284">
        <v>142255</v>
      </c>
    </row>
    <row r="590" spans="1:7" x14ac:dyDescent="0.25">
      <c r="A590" s="287" t="s">
        <v>732</v>
      </c>
      <c r="B590" s="288">
        <v>2025</v>
      </c>
      <c r="C590" s="288">
        <v>4</v>
      </c>
      <c r="D590" s="287" t="s">
        <v>661</v>
      </c>
      <c r="E590" s="287" t="s">
        <v>355</v>
      </c>
      <c r="F590" s="287" t="s">
        <v>735</v>
      </c>
      <c r="G590" s="284">
        <v>142255</v>
      </c>
    </row>
    <row r="591" spans="1:7" x14ac:dyDescent="0.25">
      <c r="A591" s="287" t="s">
        <v>732</v>
      </c>
      <c r="B591" s="288">
        <v>2025</v>
      </c>
      <c r="C591" s="288">
        <v>5</v>
      </c>
      <c r="D591" s="287" t="s">
        <v>661</v>
      </c>
      <c r="E591" s="287" t="s">
        <v>355</v>
      </c>
      <c r="F591" s="287" t="s">
        <v>735</v>
      </c>
      <c r="G591" s="284">
        <v>142255</v>
      </c>
    </row>
    <row r="592" spans="1:7" x14ac:dyDescent="0.25">
      <c r="A592" s="287" t="s">
        <v>732</v>
      </c>
      <c r="B592" s="288">
        <v>2025</v>
      </c>
      <c r="C592" s="288">
        <v>6</v>
      </c>
      <c r="D592" s="287" t="s">
        <v>661</v>
      </c>
      <c r="E592" s="287" t="s">
        <v>355</v>
      </c>
      <c r="F592" s="287" t="s">
        <v>735</v>
      </c>
      <c r="G592" s="284">
        <v>142255</v>
      </c>
    </row>
    <row r="593" spans="1:7" x14ac:dyDescent="0.25">
      <c r="A593" s="287" t="s">
        <v>732</v>
      </c>
      <c r="B593" s="288">
        <v>2025</v>
      </c>
      <c r="C593" s="288">
        <v>7</v>
      </c>
      <c r="D593" s="287" t="s">
        <v>661</v>
      </c>
      <c r="E593" s="287" t="s">
        <v>355</v>
      </c>
      <c r="F593" s="287" t="s">
        <v>735</v>
      </c>
      <c r="G593" s="284">
        <v>142255</v>
      </c>
    </row>
    <row r="594" spans="1:7" x14ac:dyDescent="0.25">
      <c r="A594" s="287" t="s">
        <v>732</v>
      </c>
      <c r="B594" s="288">
        <v>2025</v>
      </c>
      <c r="C594" s="288">
        <v>8</v>
      </c>
      <c r="D594" s="287" t="s">
        <v>661</v>
      </c>
      <c r="E594" s="287" t="s">
        <v>355</v>
      </c>
      <c r="F594" s="287" t="s">
        <v>735</v>
      </c>
      <c r="G594" s="284">
        <v>142255</v>
      </c>
    </row>
    <row r="595" spans="1:7" x14ac:dyDescent="0.25">
      <c r="A595" s="287" t="s">
        <v>732</v>
      </c>
      <c r="B595" s="288">
        <v>2025</v>
      </c>
      <c r="C595" s="288">
        <v>0</v>
      </c>
      <c r="D595" s="287" t="s">
        <v>661</v>
      </c>
      <c r="E595" s="287" t="s">
        <v>356</v>
      </c>
      <c r="F595" s="287" t="s">
        <v>736</v>
      </c>
      <c r="G595" s="284">
        <v>1209266.18</v>
      </c>
    </row>
    <row r="596" spans="1:7" x14ac:dyDescent="0.25">
      <c r="A596" s="287" t="s">
        <v>732</v>
      </c>
      <c r="B596" s="288">
        <v>2025</v>
      </c>
      <c r="C596" s="288">
        <v>1</v>
      </c>
      <c r="D596" s="287" t="s">
        <v>661</v>
      </c>
      <c r="E596" s="287" t="s">
        <v>356</v>
      </c>
      <c r="F596" s="287" t="s">
        <v>736</v>
      </c>
      <c r="G596" s="284">
        <v>-36837.99</v>
      </c>
    </row>
    <row r="597" spans="1:7" x14ac:dyDescent="0.25">
      <c r="A597" s="287" t="s">
        <v>732</v>
      </c>
      <c r="B597" s="288">
        <v>2025</v>
      </c>
      <c r="C597" s="288">
        <v>2</v>
      </c>
      <c r="D597" s="287" t="s">
        <v>661</v>
      </c>
      <c r="E597" s="287" t="s">
        <v>356</v>
      </c>
      <c r="F597" s="287" t="s">
        <v>736</v>
      </c>
      <c r="G597" s="284">
        <v>-36837.99</v>
      </c>
    </row>
    <row r="598" spans="1:7" x14ac:dyDescent="0.25">
      <c r="A598" s="287" t="s">
        <v>732</v>
      </c>
      <c r="B598" s="288">
        <v>2025</v>
      </c>
      <c r="C598" s="288">
        <v>3</v>
      </c>
      <c r="D598" s="287" t="s">
        <v>661</v>
      </c>
      <c r="E598" s="287" t="s">
        <v>356</v>
      </c>
      <c r="F598" s="287" t="s">
        <v>736</v>
      </c>
      <c r="G598" s="284">
        <v>-36837.99</v>
      </c>
    </row>
    <row r="599" spans="1:7" x14ac:dyDescent="0.25">
      <c r="A599" s="287" t="s">
        <v>732</v>
      </c>
      <c r="B599" s="288">
        <v>2025</v>
      </c>
      <c r="C599" s="288">
        <v>4</v>
      </c>
      <c r="D599" s="287" t="s">
        <v>661</v>
      </c>
      <c r="E599" s="287" t="s">
        <v>356</v>
      </c>
      <c r="F599" s="287" t="s">
        <v>736</v>
      </c>
      <c r="G599" s="284">
        <v>-36837.980000000003</v>
      </c>
    </row>
    <row r="600" spans="1:7" x14ac:dyDescent="0.25">
      <c r="A600" s="287" t="s">
        <v>732</v>
      </c>
      <c r="B600" s="288">
        <v>2025</v>
      </c>
      <c r="C600" s="288">
        <v>5</v>
      </c>
      <c r="D600" s="287" t="s">
        <v>661</v>
      </c>
      <c r="E600" s="287" t="s">
        <v>356</v>
      </c>
      <c r="F600" s="287" t="s">
        <v>736</v>
      </c>
      <c r="G600" s="284">
        <v>-36837.99</v>
      </c>
    </row>
    <row r="601" spans="1:7" x14ac:dyDescent="0.25">
      <c r="A601" s="287" t="s">
        <v>732</v>
      </c>
      <c r="B601" s="288">
        <v>2025</v>
      </c>
      <c r="C601" s="288">
        <v>6</v>
      </c>
      <c r="D601" s="287" t="s">
        <v>661</v>
      </c>
      <c r="E601" s="287" t="s">
        <v>356</v>
      </c>
      <c r="F601" s="287" t="s">
        <v>736</v>
      </c>
      <c r="G601" s="284">
        <v>-36837.99</v>
      </c>
    </row>
    <row r="602" spans="1:7" x14ac:dyDescent="0.25">
      <c r="A602" s="287" t="s">
        <v>732</v>
      </c>
      <c r="B602" s="288">
        <v>2025</v>
      </c>
      <c r="C602" s="288">
        <v>7</v>
      </c>
      <c r="D602" s="287" t="s">
        <v>661</v>
      </c>
      <c r="E602" s="287" t="s">
        <v>356</v>
      </c>
      <c r="F602" s="287" t="s">
        <v>736</v>
      </c>
      <c r="G602" s="284">
        <v>-36837.980000000003</v>
      </c>
    </row>
    <row r="603" spans="1:7" x14ac:dyDescent="0.25">
      <c r="A603" s="287" t="s">
        <v>732</v>
      </c>
      <c r="B603" s="288">
        <v>2025</v>
      </c>
      <c r="C603" s="288">
        <v>8</v>
      </c>
      <c r="D603" s="287" t="s">
        <v>661</v>
      </c>
      <c r="E603" s="287" t="s">
        <v>356</v>
      </c>
      <c r="F603" s="287" t="s">
        <v>736</v>
      </c>
      <c r="G603" s="284">
        <v>-36837.99</v>
      </c>
    </row>
    <row r="604" spans="1:7" x14ac:dyDescent="0.25">
      <c r="A604" s="287" t="s">
        <v>732</v>
      </c>
      <c r="B604" s="288">
        <v>2025</v>
      </c>
      <c r="C604" s="288">
        <v>0</v>
      </c>
      <c r="D604" s="287" t="s">
        <v>661</v>
      </c>
      <c r="E604" s="287" t="s">
        <v>357</v>
      </c>
      <c r="F604" s="287" t="s">
        <v>737</v>
      </c>
      <c r="G604" s="284">
        <v>4711857.29</v>
      </c>
    </row>
    <row r="605" spans="1:7" x14ac:dyDescent="0.25">
      <c r="A605" s="287" t="s">
        <v>732</v>
      </c>
      <c r="B605" s="288">
        <v>2025</v>
      </c>
      <c r="C605" s="288">
        <v>1</v>
      </c>
      <c r="D605" s="287" t="s">
        <v>661</v>
      </c>
      <c r="E605" s="287" t="s">
        <v>357</v>
      </c>
      <c r="F605" s="287" t="s">
        <v>737</v>
      </c>
      <c r="G605" s="284">
        <v>-142255</v>
      </c>
    </row>
    <row r="606" spans="1:7" x14ac:dyDescent="0.25">
      <c r="A606" s="287" t="s">
        <v>732</v>
      </c>
      <c r="B606" s="288">
        <v>2025</v>
      </c>
      <c r="C606" s="288">
        <v>2</v>
      </c>
      <c r="D606" s="287" t="s">
        <v>661</v>
      </c>
      <c r="E606" s="287" t="s">
        <v>357</v>
      </c>
      <c r="F606" s="287" t="s">
        <v>737</v>
      </c>
      <c r="G606" s="284">
        <v>-142255</v>
      </c>
    </row>
    <row r="607" spans="1:7" x14ac:dyDescent="0.25">
      <c r="A607" s="287" t="s">
        <v>732</v>
      </c>
      <c r="B607" s="288">
        <v>2025</v>
      </c>
      <c r="C607" s="288">
        <v>3</v>
      </c>
      <c r="D607" s="287" t="s">
        <v>661</v>
      </c>
      <c r="E607" s="287" t="s">
        <v>357</v>
      </c>
      <c r="F607" s="287" t="s">
        <v>737</v>
      </c>
      <c r="G607" s="284">
        <v>-142255</v>
      </c>
    </row>
    <row r="608" spans="1:7" x14ac:dyDescent="0.25">
      <c r="A608" s="287" t="s">
        <v>732</v>
      </c>
      <c r="B608" s="288">
        <v>2025</v>
      </c>
      <c r="C608" s="288">
        <v>4</v>
      </c>
      <c r="D608" s="287" t="s">
        <v>661</v>
      </c>
      <c r="E608" s="287" t="s">
        <v>357</v>
      </c>
      <c r="F608" s="287" t="s">
        <v>737</v>
      </c>
      <c r="G608" s="284">
        <v>-142255</v>
      </c>
    </row>
    <row r="609" spans="1:7" x14ac:dyDescent="0.25">
      <c r="A609" s="287" t="s">
        <v>732</v>
      </c>
      <c r="B609" s="288">
        <v>2025</v>
      </c>
      <c r="C609" s="288">
        <v>5</v>
      </c>
      <c r="D609" s="287" t="s">
        <v>661</v>
      </c>
      <c r="E609" s="287" t="s">
        <v>357</v>
      </c>
      <c r="F609" s="287" t="s">
        <v>737</v>
      </c>
      <c r="G609" s="284">
        <v>-142255</v>
      </c>
    </row>
    <row r="610" spans="1:7" x14ac:dyDescent="0.25">
      <c r="A610" s="287" t="s">
        <v>732</v>
      </c>
      <c r="B610" s="288">
        <v>2025</v>
      </c>
      <c r="C610" s="288">
        <v>6</v>
      </c>
      <c r="D610" s="287" t="s">
        <v>661</v>
      </c>
      <c r="E610" s="287" t="s">
        <v>357</v>
      </c>
      <c r="F610" s="287" t="s">
        <v>737</v>
      </c>
      <c r="G610" s="284">
        <v>-142255</v>
      </c>
    </row>
    <row r="611" spans="1:7" x14ac:dyDescent="0.25">
      <c r="A611" s="287" t="s">
        <v>732</v>
      </c>
      <c r="B611" s="288">
        <v>2025</v>
      </c>
      <c r="C611" s="288">
        <v>7</v>
      </c>
      <c r="D611" s="287" t="s">
        <v>661</v>
      </c>
      <c r="E611" s="287" t="s">
        <v>357</v>
      </c>
      <c r="F611" s="287" t="s">
        <v>737</v>
      </c>
      <c r="G611" s="284">
        <v>-142255</v>
      </c>
    </row>
    <row r="612" spans="1:7" x14ac:dyDescent="0.25">
      <c r="A612" s="287" t="s">
        <v>732</v>
      </c>
      <c r="B612" s="288">
        <v>2025</v>
      </c>
      <c r="C612" s="288">
        <v>8</v>
      </c>
      <c r="D612" s="287" t="s">
        <v>661</v>
      </c>
      <c r="E612" s="287" t="s">
        <v>357</v>
      </c>
      <c r="F612" s="287" t="s">
        <v>737</v>
      </c>
      <c r="G612" s="284">
        <v>-142255</v>
      </c>
    </row>
    <row r="613" spans="1:7" x14ac:dyDescent="0.25">
      <c r="A613" s="287" t="s">
        <v>732</v>
      </c>
      <c r="B613" s="288">
        <v>2025</v>
      </c>
      <c r="C613" s="288">
        <v>0</v>
      </c>
      <c r="D613" s="287" t="s">
        <v>661</v>
      </c>
      <c r="E613" s="287" t="s">
        <v>358</v>
      </c>
      <c r="F613" s="287" t="s">
        <v>738</v>
      </c>
      <c r="G613" s="284">
        <v>22263508.32</v>
      </c>
    </row>
    <row r="614" spans="1:7" x14ac:dyDescent="0.25">
      <c r="A614" s="287" t="s">
        <v>732</v>
      </c>
      <c r="B614" s="288">
        <v>2025</v>
      </c>
      <c r="C614" s="288">
        <v>1</v>
      </c>
      <c r="D614" s="287" t="s">
        <v>661</v>
      </c>
      <c r="E614" s="287" t="s">
        <v>358</v>
      </c>
      <c r="F614" s="287" t="s">
        <v>738</v>
      </c>
      <c r="G614" s="284">
        <v>-2244</v>
      </c>
    </row>
    <row r="615" spans="1:7" x14ac:dyDescent="0.25">
      <c r="A615" s="287" t="s">
        <v>732</v>
      </c>
      <c r="B615" s="288">
        <v>2025</v>
      </c>
      <c r="C615" s="288">
        <v>2</v>
      </c>
      <c r="D615" s="287" t="s">
        <v>661</v>
      </c>
      <c r="E615" s="287" t="s">
        <v>358</v>
      </c>
      <c r="F615" s="287" t="s">
        <v>738</v>
      </c>
      <c r="G615" s="284">
        <v>-2244</v>
      </c>
    </row>
    <row r="616" spans="1:7" x14ac:dyDescent="0.25">
      <c r="A616" s="287" t="s">
        <v>732</v>
      </c>
      <c r="B616" s="288">
        <v>2025</v>
      </c>
      <c r="C616" s="288">
        <v>3</v>
      </c>
      <c r="D616" s="287" t="s">
        <v>661</v>
      </c>
      <c r="E616" s="287" t="s">
        <v>358</v>
      </c>
      <c r="F616" s="287" t="s">
        <v>738</v>
      </c>
      <c r="G616" s="284">
        <v>-2244</v>
      </c>
    </row>
    <row r="617" spans="1:7" x14ac:dyDescent="0.25">
      <c r="A617" s="287" t="s">
        <v>732</v>
      </c>
      <c r="B617" s="288">
        <v>2025</v>
      </c>
      <c r="C617" s="288">
        <v>4</v>
      </c>
      <c r="D617" s="287" t="s">
        <v>661</v>
      </c>
      <c r="E617" s="287" t="s">
        <v>358</v>
      </c>
      <c r="F617" s="287" t="s">
        <v>738</v>
      </c>
      <c r="G617" s="284">
        <v>-2244</v>
      </c>
    </row>
    <row r="618" spans="1:7" x14ac:dyDescent="0.25">
      <c r="A618" s="287" t="s">
        <v>732</v>
      </c>
      <c r="B618" s="288">
        <v>2025</v>
      </c>
      <c r="C618" s="288">
        <v>5</v>
      </c>
      <c r="D618" s="287" t="s">
        <v>661</v>
      </c>
      <c r="E618" s="287" t="s">
        <v>358</v>
      </c>
      <c r="F618" s="287" t="s">
        <v>738</v>
      </c>
      <c r="G618" s="284">
        <v>-2244</v>
      </c>
    </row>
    <row r="619" spans="1:7" x14ac:dyDescent="0.25">
      <c r="A619" s="287" t="s">
        <v>732</v>
      </c>
      <c r="B619" s="288">
        <v>2025</v>
      </c>
      <c r="C619" s="288">
        <v>6</v>
      </c>
      <c r="D619" s="287" t="s">
        <v>661</v>
      </c>
      <c r="E619" s="287" t="s">
        <v>358</v>
      </c>
      <c r="F619" s="287" t="s">
        <v>738</v>
      </c>
      <c r="G619" s="284">
        <v>-1752220</v>
      </c>
    </row>
    <row r="620" spans="1:7" x14ac:dyDescent="0.25">
      <c r="A620" s="287" t="s">
        <v>732</v>
      </c>
      <c r="B620" s="288">
        <v>2025</v>
      </c>
      <c r="C620" s="288">
        <v>7</v>
      </c>
      <c r="D620" s="287" t="s">
        <v>661</v>
      </c>
      <c r="E620" s="287" t="s">
        <v>358</v>
      </c>
      <c r="F620" s="287" t="s">
        <v>738</v>
      </c>
      <c r="G620" s="284">
        <v>-59321</v>
      </c>
    </row>
    <row r="621" spans="1:7" x14ac:dyDescent="0.25">
      <c r="A621" s="287" t="s">
        <v>732</v>
      </c>
      <c r="B621" s="288">
        <v>2025</v>
      </c>
      <c r="C621" s="288">
        <v>8</v>
      </c>
      <c r="D621" s="287" t="s">
        <v>661</v>
      </c>
      <c r="E621" s="287" t="s">
        <v>358</v>
      </c>
      <c r="F621" s="287" t="s">
        <v>738</v>
      </c>
      <c r="G621" s="284">
        <v>-59321</v>
      </c>
    </row>
    <row r="622" spans="1:7" x14ac:dyDescent="0.25">
      <c r="A622" s="287" t="s">
        <v>732</v>
      </c>
      <c r="B622" s="288">
        <v>2025</v>
      </c>
      <c r="C622" s="288">
        <v>0</v>
      </c>
      <c r="D622" s="287" t="s">
        <v>661</v>
      </c>
      <c r="E622" s="287" t="s">
        <v>359</v>
      </c>
      <c r="F622" s="287" t="s">
        <v>680</v>
      </c>
      <c r="G622" s="284">
        <v>4567856.42</v>
      </c>
    </row>
    <row r="623" spans="1:7" x14ac:dyDescent="0.25">
      <c r="A623" s="287" t="s">
        <v>732</v>
      </c>
      <c r="B623" s="288">
        <v>2025</v>
      </c>
      <c r="C623" s="288">
        <v>1</v>
      </c>
      <c r="D623" s="287" t="s">
        <v>661</v>
      </c>
      <c r="E623" s="287" t="s">
        <v>359</v>
      </c>
      <c r="F623" s="287" t="s">
        <v>680</v>
      </c>
      <c r="G623" s="284">
        <v>608684.15</v>
      </c>
    </row>
    <row r="624" spans="1:7" x14ac:dyDescent="0.25">
      <c r="A624" s="287" t="s">
        <v>732</v>
      </c>
      <c r="B624" s="288">
        <v>2025</v>
      </c>
      <c r="C624" s="288">
        <v>2</v>
      </c>
      <c r="D624" s="287" t="s">
        <v>661</v>
      </c>
      <c r="E624" s="287" t="s">
        <v>359</v>
      </c>
      <c r="F624" s="287" t="s">
        <v>680</v>
      </c>
      <c r="G624" s="284">
        <v>505045.22</v>
      </c>
    </row>
    <row r="625" spans="1:7" x14ac:dyDescent="0.25">
      <c r="A625" s="287" t="s">
        <v>732</v>
      </c>
      <c r="B625" s="288">
        <v>2025</v>
      </c>
      <c r="C625" s="288">
        <v>3</v>
      </c>
      <c r="D625" s="287" t="s">
        <v>661</v>
      </c>
      <c r="E625" s="287" t="s">
        <v>359</v>
      </c>
      <c r="F625" s="287" t="s">
        <v>680</v>
      </c>
      <c r="G625" s="284">
        <v>292065.90000000002</v>
      </c>
    </row>
    <row r="626" spans="1:7" x14ac:dyDescent="0.25">
      <c r="A626" s="287" t="s">
        <v>732</v>
      </c>
      <c r="B626" s="288">
        <v>2025</v>
      </c>
      <c r="C626" s="288">
        <v>4</v>
      </c>
      <c r="D626" s="287" t="s">
        <v>661</v>
      </c>
      <c r="E626" s="287" t="s">
        <v>359</v>
      </c>
      <c r="F626" s="287" t="s">
        <v>680</v>
      </c>
      <c r="G626" s="284">
        <v>307329.82</v>
      </c>
    </row>
    <row r="627" spans="1:7" x14ac:dyDescent="0.25">
      <c r="A627" s="287" t="s">
        <v>732</v>
      </c>
      <c r="B627" s="288">
        <v>2025</v>
      </c>
      <c r="C627" s="288">
        <v>5</v>
      </c>
      <c r="D627" s="287" t="s">
        <v>661</v>
      </c>
      <c r="E627" s="287" t="s">
        <v>359</v>
      </c>
      <c r="F627" s="287" t="s">
        <v>680</v>
      </c>
      <c r="G627" s="284">
        <v>-103196.66</v>
      </c>
    </row>
    <row r="628" spans="1:7" x14ac:dyDescent="0.25">
      <c r="A628" s="287" t="s">
        <v>732</v>
      </c>
      <c r="B628" s="288">
        <v>2025</v>
      </c>
      <c r="C628" s="288">
        <v>6</v>
      </c>
      <c r="D628" s="287" t="s">
        <v>661</v>
      </c>
      <c r="E628" s="287" t="s">
        <v>359</v>
      </c>
      <c r="F628" s="287" t="s">
        <v>680</v>
      </c>
      <c r="G628" s="284">
        <v>185033.14</v>
      </c>
    </row>
    <row r="629" spans="1:7" x14ac:dyDescent="0.25">
      <c r="A629" s="287" t="s">
        <v>732</v>
      </c>
      <c r="B629" s="288">
        <v>2025</v>
      </c>
      <c r="C629" s="288">
        <v>7</v>
      </c>
      <c r="D629" s="287" t="s">
        <v>661</v>
      </c>
      <c r="E629" s="287" t="s">
        <v>359</v>
      </c>
      <c r="F629" s="287" t="s">
        <v>680</v>
      </c>
      <c r="G629" s="284">
        <v>-918503.2</v>
      </c>
    </row>
    <row r="630" spans="1:7" x14ac:dyDescent="0.25">
      <c r="A630" s="287" t="s">
        <v>732</v>
      </c>
      <c r="B630" s="288">
        <v>2025</v>
      </c>
      <c r="C630" s="288">
        <v>8</v>
      </c>
      <c r="D630" s="287" t="s">
        <v>661</v>
      </c>
      <c r="E630" s="287" t="s">
        <v>359</v>
      </c>
      <c r="F630" s="287" t="s">
        <v>680</v>
      </c>
      <c r="G630" s="284">
        <v>-402572.41</v>
      </c>
    </row>
    <row r="631" spans="1:7" x14ac:dyDescent="0.25">
      <c r="A631" s="287" t="s">
        <v>732</v>
      </c>
      <c r="B631" s="288">
        <v>2025</v>
      </c>
      <c r="C631" s="288">
        <v>0</v>
      </c>
      <c r="D631" s="287" t="s">
        <v>661</v>
      </c>
      <c r="E631" s="287" t="s">
        <v>360</v>
      </c>
      <c r="F631" s="287" t="s">
        <v>681</v>
      </c>
      <c r="G631" s="284">
        <v>539540.23</v>
      </c>
    </row>
    <row r="632" spans="1:7" x14ac:dyDescent="0.25">
      <c r="A632" s="287" t="s">
        <v>732</v>
      </c>
      <c r="B632" s="288">
        <v>2025</v>
      </c>
      <c r="C632" s="288">
        <v>1</v>
      </c>
      <c r="D632" s="287" t="s">
        <v>661</v>
      </c>
      <c r="E632" s="287" t="s">
        <v>360</v>
      </c>
      <c r="F632" s="287" t="s">
        <v>681</v>
      </c>
      <c r="G632" s="284">
        <v>36337.769999999997</v>
      </c>
    </row>
    <row r="633" spans="1:7" x14ac:dyDescent="0.25">
      <c r="A633" s="287" t="s">
        <v>732</v>
      </c>
      <c r="B633" s="288">
        <v>2025</v>
      </c>
      <c r="C633" s="288">
        <v>2</v>
      </c>
      <c r="D633" s="287" t="s">
        <v>661</v>
      </c>
      <c r="E633" s="287" t="s">
        <v>360</v>
      </c>
      <c r="F633" s="287" t="s">
        <v>681</v>
      </c>
      <c r="G633" s="284">
        <v>65196.6</v>
      </c>
    </row>
    <row r="634" spans="1:7" x14ac:dyDescent="0.25">
      <c r="A634" s="287" t="s">
        <v>732</v>
      </c>
      <c r="B634" s="288">
        <v>2025</v>
      </c>
      <c r="C634" s="288">
        <v>3</v>
      </c>
      <c r="D634" s="287" t="s">
        <v>661</v>
      </c>
      <c r="E634" s="287" t="s">
        <v>360</v>
      </c>
      <c r="F634" s="287" t="s">
        <v>681</v>
      </c>
      <c r="G634" s="284">
        <v>-409863.3</v>
      </c>
    </row>
    <row r="635" spans="1:7" x14ac:dyDescent="0.25">
      <c r="A635" s="287" t="s">
        <v>732</v>
      </c>
      <c r="B635" s="288">
        <v>2025</v>
      </c>
      <c r="C635" s="288">
        <v>6</v>
      </c>
      <c r="D635" s="287" t="s">
        <v>661</v>
      </c>
      <c r="E635" s="287" t="s">
        <v>360</v>
      </c>
      <c r="F635" s="287" t="s">
        <v>681</v>
      </c>
      <c r="G635" s="284">
        <v>74831.820000000007</v>
      </c>
    </row>
    <row r="636" spans="1:7" x14ac:dyDescent="0.25">
      <c r="A636" s="287" t="s">
        <v>732</v>
      </c>
      <c r="B636" s="288">
        <v>2025</v>
      </c>
      <c r="C636" s="288">
        <v>0</v>
      </c>
      <c r="D636" s="287" t="s">
        <v>661</v>
      </c>
      <c r="E636" s="287" t="s">
        <v>363</v>
      </c>
      <c r="F636" s="287" t="s">
        <v>662</v>
      </c>
      <c r="G636" s="284">
        <v>83602.34</v>
      </c>
    </row>
    <row r="637" spans="1:7" x14ac:dyDescent="0.25">
      <c r="A637" s="287" t="s">
        <v>732</v>
      </c>
      <c r="B637" s="288">
        <v>2025</v>
      </c>
      <c r="C637" s="288">
        <v>0</v>
      </c>
      <c r="D637" s="287" t="s">
        <v>661</v>
      </c>
      <c r="E637" s="287" t="s">
        <v>365</v>
      </c>
      <c r="F637" s="287" t="s">
        <v>364</v>
      </c>
      <c r="G637" s="284">
        <v>-28350.07</v>
      </c>
    </row>
    <row r="638" spans="1:7" x14ac:dyDescent="0.25">
      <c r="A638" s="287" t="s">
        <v>732</v>
      </c>
      <c r="B638" s="288">
        <v>2025</v>
      </c>
      <c r="C638" s="288">
        <v>0</v>
      </c>
      <c r="D638" s="287" t="s">
        <v>661</v>
      </c>
      <c r="E638" s="287" t="s">
        <v>367</v>
      </c>
      <c r="F638" s="287" t="s">
        <v>366</v>
      </c>
      <c r="G638" s="284">
        <v>1781055.66</v>
      </c>
    </row>
    <row r="639" spans="1:7" x14ac:dyDescent="0.25">
      <c r="A639" s="287" t="s">
        <v>732</v>
      </c>
      <c r="B639" s="288">
        <v>2025</v>
      </c>
      <c r="C639" s="288">
        <v>2</v>
      </c>
      <c r="D639" s="287" t="s">
        <v>661</v>
      </c>
      <c r="E639" s="287" t="s">
        <v>367</v>
      </c>
      <c r="F639" s="287" t="s">
        <v>366</v>
      </c>
      <c r="G639" s="284">
        <v>174399.23</v>
      </c>
    </row>
    <row r="640" spans="1:7" x14ac:dyDescent="0.25">
      <c r="A640" s="287" t="s">
        <v>732</v>
      </c>
      <c r="B640" s="288">
        <v>2025</v>
      </c>
      <c r="C640" s="288">
        <v>3</v>
      </c>
      <c r="D640" s="287" t="s">
        <v>661</v>
      </c>
      <c r="E640" s="287" t="s">
        <v>367</v>
      </c>
      <c r="F640" s="287" t="s">
        <v>366</v>
      </c>
      <c r="G640" s="284">
        <v>87199.61</v>
      </c>
    </row>
    <row r="641" spans="1:7" x14ac:dyDescent="0.25">
      <c r="A641" s="287" t="s">
        <v>732</v>
      </c>
      <c r="B641" s="288">
        <v>2025</v>
      </c>
      <c r="C641" s="288">
        <v>4</v>
      </c>
      <c r="D641" s="287" t="s">
        <v>661</v>
      </c>
      <c r="E641" s="287" t="s">
        <v>367</v>
      </c>
      <c r="F641" s="287" t="s">
        <v>366</v>
      </c>
      <c r="G641" s="284">
        <v>87199.61</v>
      </c>
    </row>
    <row r="642" spans="1:7" x14ac:dyDescent="0.25">
      <c r="A642" s="287" t="s">
        <v>732</v>
      </c>
      <c r="B642" s="288">
        <v>2025</v>
      </c>
      <c r="C642" s="288">
        <v>5</v>
      </c>
      <c r="D642" s="287" t="s">
        <v>661</v>
      </c>
      <c r="E642" s="287" t="s">
        <v>367</v>
      </c>
      <c r="F642" s="287" t="s">
        <v>366</v>
      </c>
      <c r="G642" s="284">
        <v>87199.62</v>
      </c>
    </row>
    <row r="643" spans="1:7" x14ac:dyDescent="0.25">
      <c r="A643" s="287" t="s">
        <v>732</v>
      </c>
      <c r="B643" s="288">
        <v>2025</v>
      </c>
      <c r="C643" s="288">
        <v>6</v>
      </c>
      <c r="D643" s="287" t="s">
        <v>661</v>
      </c>
      <c r="E643" s="287" t="s">
        <v>367</v>
      </c>
      <c r="F643" s="287" t="s">
        <v>366</v>
      </c>
      <c r="G643" s="284">
        <v>87199.61</v>
      </c>
    </row>
    <row r="644" spans="1:7" x14ac:dyDescent="0.25">
      <c r="A644" s="287" t="s">
        <v>732</v>
      </c>
      <c r="B644" s="288">
        <v>2025</v>
      </c>
      <c r="C644" s="288">
        <v>7</v>
      </c>
      <c r="D644" s="287" t="s">
        <v>661</v>
      </c>
      <c r="E644" s="287" t="s">
        <v>367</v>
      </c>
      <c r="F644" s="287" t="s">
        <v>366</v>
      </c>
      <c r="G644" s="284">
        <v>87199.61</v>
      </c>
    </row>
    <row r="645" spans="1:7" x14ac:dyDescent="0.25">
      <c r="A645" s="287" t="s">
        <v>732</v>
      </c>
      <c r="B645" s="288">
        <v>2025</v>
      </c>
      <c r="C645" s="288">
        <v>8</v>
      </c>
      <c r="D645" s="287" t="s">
        <v>661</v>
      </c>
      <c r="E645" s="287" t="s">
        <v>367</v>
      </c>
      <c r="F645" s="287" t="s">
        <v>366</v>
      </c>
      <c r="G645" s="284">
        <v>87199.61</v>
      </c>
    </row>
    <row r="646" spans="1:7" x14ac:dyDescent="0.25">
      <c r="A646" s="287" t="s">
        <v>732</v>
      </c>
      <c r="B646" s="288">
        <v>2025</v>
      </c>
      <c r="C646" s="288">
        <v>0</v>
      </c>
      <c r="D646" s="287" t="s">
        <v>661</v>
      </c>
      <c r="E646" s="287" t="s">
        <v>368</v>
      </c>
      <c r="F646" s="287" t="s">
        <v>682</v>
      </c>
      <c r="G646" s="284">
        <v>7977.5</v>
      </c>
    </row>
    <row r="647" spans="1:7" x14ac:dyDescent="0.25">
      <c r="A647" s="287" t="s">
        <v>732</v>
      </c>
      <c r="B647" s="288">
        <v>2025</v>
      </c>
      <c r="C647" s="288">
        <v>1</v>
      </c>
      <c r="D647" s="287" t="s">
        <v>661</v>
      </c>
      <c r="E647" s="287" t="s">
        <v>368</v>
      </c>
      <c r="F647" s="287" t="s">
        <v>682</v>
      </c>
      <c r="G647" s="284">
        <v>1266.52</v>
      </c>
    </row>
    <row r="648" spans="1:7" x14ac:dyDescent="0.25">
      <c r="A648" s="287" t="s">
        <v>732</v>
      </c>
      <c r="B648" s="288">
        <v>2025</v>
      </c>
      <c r="C648" s="288">
        <v>2</v>
      </c>
      <c r="D648" s="287" t="s">
        <v>661</v>
      </c>
      <c r="E648" s="287" t="s">
        <v>368</v>
      </c>
      <c r="F648" s="287" t="s">
        <v>682</v>
      </c>
      <c r="G648" s="284">
        <v>1266.52</v>
      </c>
    </row>
    <row r="649" spans="1:7" x14ac:dyDescent="0.25">
      <c r="A649" s="287" t="s">
        <v>732</v>
      </c>
      <c r="B649" s="288">
        <v>2025</v>
      </c>
      <c r="C649" s="288">
        <v>3</v>
      </c>
      <c r="D649" s="287" t="s">
        <v>661</v>
      </c>
      <c r="E649" s="287" t="s">
        <v>368</v>
      </c>
      <c r="F649" s="287" t="s">
        <v>682</v>
      </c>
      <c r="G649" s="284">
        <v>6618.82</v>
      </c>
    </row>
    <row r="650" spans="1:7" x14ac:dyDescent="0.25">
      <c r="A650" s="287" t="s">
        <v>732</v>
      </c>
      <c r="B650" s="288">
        <v>2025</v>
      </c>
      <c r="C650" s="288">
        <v>4</v>
      </c>
      <c r="D650" s="287" t="s">
        <v>661</v>
      </c>
      <c r="E650" s="287" t="s">
        <v>368</v>
      </c>
      <c r="F650" s="287" t="s">
        <v>682</v>
      </c>
      <c r="G650" s="284">
        <v>1304.51</v>
      </c>
    </row>
    <row r="651" spans="1:7" x14ac:dyDescent="0.25">
      <c r="A651" s="287" t="s">
        <v>732</v>
      </c>
      <c r="B651" s="288">
        <v>2025</v>
      </c>
      <c r="C651" s="288">
        <v>5</v>
      </c>
      <c r="D651" s="287" t="s">
        <v>661</v>
      </c>
      <c r="E651" s="287" t="s">
        <v>368</v>
      </c>
      <c r="F651" s="287" t="s">
        <v>682</v>
      </c>
      <c r="G651" s="284">
        <v>1956.78</v>
      </c>
    </row>
    <row r="652" spans="1:7" x14ac:dyDescent="0.25">
      <c r="A652" s="287" t="s">
        <v>732</v>
      </c>
      <c r="B652" s="288">
        <v>2025</v>
      </c>
      <c r="C652" s="288">
        <v>6</v>
      </c>
      <c r="D652" s="287" t="s">
        <v>661</v>
      </c>
      <c r="E652" s="287" t="s">
        <v>368</v>
      </c>
      <c r="F652" s="287" t="s">
        <v>682</v>
      </c>
      <c r="G652" s="284">
        <v>3774.63</v>
      </c>
    </row>
    <row r="653" spans="1:7" x14ac:dyDescent="0.25">
      <c r="A653" s="287" t="s">
        <v>732</v>
      </c>
      <c r="B653" s="288">
        <v>2025</v>
      </c>
      <c r="C653" s="288">
        <v>7</v>
      </c>
      <c r="D653" s="287" t="s">
        <v>661</v>
      </c>
      <c r="E653" s="287" t="s">
        <v>368</v>
      </c>
      <c r="F653" s="287" t="s">
        <v>682</v>
      </c>
      <c r="G653" s="284">
        <v>1304.52</v>
      </c>
    </row>
    <row r="654" spans="1:7" x14ac:dyDescent="0.25">
      <c r="A654" s="287" t="s">
        <v>732</v>
      </c>
      <c r="B654" s="288">
        <v>2025</v>
      </c>
      <c r="C654" s="288">
        <v>8</v>
      </c>
      <c r="D654" s="287" t="s">
        <v>661</v>
      </c>
      <c r="E654" s="287" t="s">
        <v>368</v>
      </c>
      <c r="F654" s="287" t="s">
        <v>682</v>
      </c>
      <c r="G654" s="284">
        <v>52563.21</v>
      </c>
    </row>
    <row r="655" spans="1:7" x14ac:dyDescent="0.25">
      <c r="A655" s="287" t="s">
        <v>732</v>
      </c>
      <c r="B655" s="288">
        <v>2025</v>
      </c>
      <c r="C655" s="288">
        <v>0</v>
      </c>
      <c r="D655" s="287" t="s">
        <v>661</v>
      </c>
      <c r="E655" s="287" t="s">
        <v>371</v>
      </c>
      <c r="F655" s="287" t="s">
        <v>739</v>
      </c>
      <c r="G655" s="284">
        <v>2099321.6</v>
      </c>
    </row>
    <row r="656" spans="1:7" x14ac:dyDescent="0.25">
      <c r="A656" s="287" t="s">
        <v>732</v>
      </c>
      <c r="B656" s="288">
        <v>2025</v>
      </c>
      <c r="C656" s="288">
        <v>1</v>
      </c>
      <c r="D656" s="287" t="s">
        <v>661</v>
      </c>
      <c r="E656" s="287" t="s">
        <v>371</v>
      </c>
      <c r="F656" s="287" t="s">
        <v>739</v>
      </c>
      <c r="G656" s="284">
        <v>-4976.5600000000004</v>
      </c>
    </row>
    <row r="657" spans="1:7" x14ac:dyDescent="0.25">
      <c r="A657" s="287" t="s">
        <v>732</v>
      </c>
      <c r="B657" s="288">
        <v>2025</v>
      </c>
      <c r="C657" s="288">
        <v>2</v>
      </c>
      <c r="D657" s="287" t="s">
        <v>661</v>
      </c>
      <c r="E657" s="287" t="s">
        <v>371</v>
      </c>
      <c r="F657" s="287" t="s">
        <v>739</v>
      </c>
      <c r="G657" s="284">
        <v>16181.84</v>
      </c>
    </row>
    <row r="658" spans="1:7" x14ac:dyDescent="0.25">
      <c r="A658" s="287" t="s">
        <v>732</v>
      </c>
      <c r="B658" s="288">
        <v>2025</v>
      </c>
      <c r="C658" s="288">
        <v>3</v>
      </c>
      <c r="D658" s="287" t="s">
        <v>661</v>
      </c>
      <c r="E658" s="287" t="s">
        <v>371</v>
      </c>
      <c r="F658" s="287" t="s">
        <v>739</v>
      </c>
      <c r="G658" s="284">
        <v>-4464.0600000000004</v>
      </c>
    </row>
    <row r="659" spans="1:7" x14ac:dyDescent="0.25">
      <c r="A659" s="287" t="s">
        <v>732</v>
      </c>
      <c r="B659" s="288">
        <v>2025</v>
      </c>
      <c r="C659" s="288">
        <v>4</v>
      </c>
      <c r="D659" s="287" t="s">
        <v>661</v>
      </c>
      <c r="E659" s="287" t="s">
        <v>371</v>
      </c>
      <c r="F659" s="287" t="s">
        <v>739</v>
      </c>
      <c r="G659" s="284">
        <v>6792.06</v>
      </c>
    </row>
    <row r="660" spans="1:7" x14ac:dyDescent="0.25">
      <c r="A660" s="287" t="s">
        <v>732</v>
      </c>
      <c r="B660" s="288">
        <v>2025</v>
      </c>
      <c r="C660" s="288">
        <v>5</v>
      </c>
      <c r="D660" s="287" t="s">
        <v>661</v>
      </c>
      <c r="E660" s="287" t="s">
        <v>371</v>
      </c>
      <c r="F660" s="287" t="s">
        <v>739</v>
      </c>
      <c r="G660" s="284">
        <v>6374.69</v>
      </c>
    </row>
    <row r="661" spans="1:7" x14ac:dyDescent="0.25">
      <c r="A661" s="287" t="s">
        <v>732</v>
      </c>
      <c r="B661" s="288">
        <v>2025</v>
      </c>
      <c r="C661" s="288">
        <v>6</v>
      </c>
      <c r="D661" s="287" t="s">
        <v>661</v>
      </c>
      <c r="E661" s="287" t="s">
        <v>371</v>
      </c>
      <c r="F661" s="287" t="s">
        <v>739</v>
      </c>
      <c r="G661" s="284">
        <v>3049.09</v>
      </c>
    </row>
    <row r="662" spans="1:7" x14ac:dyDescent="0.25">
      <c r="A662" s="287" t="s">
        <v>732</v>
      </c>
      <c r="B662" s="288">
        <v>2025</v>
      </c>
      <c r="C662" s="288">
        <v>7</v>
      </c>
      <c r="D662" s="287" t="s">
        <v>661</v>
      </c>
      <c r="E662" s="287" t="s">
        <v>371</v>
      </c>
      <c r="F662" s="287" t="s">
        <v>739</v>
      </c>
      <c r="G662" s="284">
        <v>27481.19</v>
      </c>
    </row>
    <row r="663" spans="1:7" x14ac:dyDescent="0.25">
      <c r="A663" s="287" t="s">
        <v>732</v>
      </c>
      <c r="B663" s="288">
        <v>2025</v>
      </c>
      <c r="C663" s="288">
        <v>8</v>
      </c>
      <c r="D663" s="287" t="s">
        <v>661</v>
      </c>
      <c r="E663" s="287" t="s">
        <v>371</v>
      </c>
      <c r="F663" s="287" t="s">
        <v>739</v>
      </c>
      <c r="G663" s="284">
        <v>22402.19</v>
      </c>
    </row>
    <row r="664" spans="1:7" x14ac:dyDescent="0.25">
      <c r="A664" s="287" t="s">
        <v>732</v>
      </c>
      <c r="B664" s="288">
        <v>2025</v>
      </c>
      <c r="C664" s="288">
        <v>3</v>
      </c>
      <c r="D664" s="287" t="s">
        <v>661</v>
      </c>
      <c r="E664" s="287" t="s">
        <v>372</v>
      </c>
      <c r="F664" s="287" t="s">
        <v>684</v>
      </c>
      <c r="G664" s="284">
        <v>-7.98</v>
      </c>
    </row>
    <row r="665" spans="1:7" x14ac:dyDescent="0.25">
      <c r="A665" s="287" t="s">
        <v>732</v>
      </c>
      <c r="B665" s="288">
        <v>2025</v>
      </c>
      <c r="C665" s="288">
        <v>0</v>
      </c>
      <c r="D665" s="287" t="s">
        <v>661</v>
      </c>
      <c r="E665" s="287" t="s">
        <v>374</v>
      </c>
      <c r="F665" s="287" t="s">
        <v>740</v>
      </c>
      <c r="G665" s="284">
        <v>2722448.05</v>
      </c>
    </row>
    <row r="666" spans="1:7" x14ac:dyDescent="0.25">
      <c r="A666" s="287" t="s">
        <v>732</v>
      </c>
      <c r="B666" s="288">
        <v>2025</v>
      </c>
      <c r="C666" s="288">
        <v>1</v>
      </c>
      <c r="D666" s="287" t="s">
        <v>661</v>
      </c>
      <c r="E666" s="287" t="s">
        <v>374</v>
      </c>
      <c r="F666" s="287" t="s">
        <v>740</v>
      </c>
      <c r="G666" s="284">
        <v>-617666.38</v>
      </c>
    </row>
    <row r="667" spans="1:7" x14ac:dyDescent="0.25">
      <c r="A667" s="287" t="s">
        <v>732</v>
      </c>
      <c r="B667" s="288">
        <v>2025</v>
      </c>
      <c r="C667" s="288">
        <v>2</v>
      </c>
      <c r="D667" s="287" t="s">
        <v>661</v>
      </c>
      <c r="E667" s="287" t="s">
        <v>374</v>
      </c>
      <c r="F667" s="287" t="s">
        <v>740</v>
      </c>
      <c r="G667" s="284">
        <v>-1217747.8600000001</v>
      </c>
    </row>
    <row r="668" spans="1:7" x14ac:dyDescent="0.25">
      <c r="A668" s="287" t="s">
        <v>732</v>
      </c>
      <c r="B668" s="288">
        <v>2025</v>
      </c>
      <c r="C668" s="288">
        <v>3</v>
      </c>
      <c r="D668" s="287" t="s">
        <v>661</v>
      </c>
      <c r="E668" s="287" t="s">
        <v>374</v>
      </c>
      <c r="F668" s="287" t="s">
        <v>740</v>
      </c>
      <c r="G668" s="284">
        <v>398066.11</v>
      </c>
    </row>
    <row r="669" spans="1:7" x14ac:dyDescent="0.25">
      <c r="A669" s="287" t="s">
        <v>732</v>
      </c>
      <c r="B669" s="288">
        <v>2025</v>
      </c>
      <c r="C669" s="288">
        <v>4</v>
      </c>
      <c r="D669" s="287" t="s">
        <v>661</v>
      </c>
      <c r="E669" s="287" t="s">
        <v>374</v>
      </c>
      <c r="F669" s="287" t="s">
        <v>740</v>
      </c>
      <c r="G669" s="284">
        <v>438715.94</v>
      </c>
    </row>
    <row r="670" spans="1:7" x14ac:dyDescent="0.25">
      <c r="A670" s="287" t="s">
        <v>732</v>
      </c>
      <c r="B670" s="288">
        <v>2025</v>
      </c>
      <c r="C670" s="288">
        <v>5</v>
      </c>
      <c r="D670" s="287" t="s">
        <v>661</v>
      </c>
      <c r="E670" s="287" t="s">
        <v>374</v>
      </c>
      <c r="F670" s="287" t="s">
        <v>740</v>
      </c>
      <c r="G670" s="284">
        <v>303735.53999999998</v>
      </c>
    </row>
    <row r="671" spans="1:7" x14ac:dyDescent="0.25">
      <c r="A671" s="287" t="s">
        <v>732</v>
      </c>
      <c r="B671" s="288">
        <v>2025</v>
      </c>
      <c r="C671" s="288">
        <v>6</v>
      </c>
      <c r="D671" s="287" t="s">
        <v>661</v>
      </c>
      <c r="E671" s="287" t="s">
        <v>374</v>
      </c>
      <c r="F671" s="287" t="s">
        <v>740</v>
      </c>
      <c r="G671" s="284">
        <v>-267654.09999999998</v>
      </c>
    </row>
    <row r="672" spans="1:7" x14ac:dyDescent="0.25">
      <c r="A672" s="287" t="s">
        <v>732</v>
      </c>
      <c r="B672" s="288">
        <v>2025</v>
      </c>
      <c r="C672" s="288">
        <v>7</v>
      </c>
      <c r="D672" s="287" t="s">
        <v>661</v>
      </c>
      <c r="E672" s="287" t="s">
        <v>374</v>
      </c>
      <c r="F672" s="287" t="s">
        <v>740</v>
      </c>
      <c r="G672" s="284">
        <v>469657.14</v>
      </c>
    </row>
    <row r="673" spans="1:7" x14ac:dyDescent="0.25">
      <c r="A673" s="287" t="s">
        <v>732</v>
      </c>
      <c r="B673" s="288">
        <v>2025</v>
      </c>
      <c r="C673" s="288">
        <v>8</v>
      </c>
      <c r="D673" s="287" t="s">
        <v>661</v>
      </c>
      <c r="E673" s="287" t="s">
        <v>374</v>
      </c>
      <c r="F673" s="287" t="s">
        <v>740</v>
      </c>
      <c r="G673" s="284">
        <v>490210.43</v>
      </c>
    </row>
    <row r="674" spans="1:7" x14ac:dyDescent="0.25">
      <c r="A674" s="287" t="s">
        <v>732</v>
      </c>
      <c r="B674" s="288">
        <v>2025</v>
      </c>
      <c r="C674" s="288">
        <v>0</v>
      </c>
      <c r="D674" s="287" t="s">
        <v>661</v>
      </c>
      <c r="E674" s="287" t="s">
        <v>375</v>
      </c>
      <c r="F674" s="287" t="s">
        <v>685</v>
      </c>
      <c r="G674" s="284">
        <v>17227835.199999999</v>
      </c>
    </row>
    <row r="675" spans="1:7" x14ac:dyDescent="0.25">
      <c r="A675" s="287" t="s">
        <v>732</v>
      </c>
      <c r="B675" s="288">
        <v>2025</v>
      </c>
      <c r="C675" s="288">
        <v>1</v>
      </c>
      <c r="D675" s="287" t="s">
        <v>661</v>
      </c>
      <c r="E675" s="287" t="s">
        <v>375</v>
      </c>
      <c r="F675" s="287" t="s">
        <v>685</v>
      </c>
      <c r="G675" s="284">
        <v>1482805.21</v>
      </c>
    </row>
    <row r="676" spans="1:7" x14ac:dyDescent="0.25">
      <c r="A676" s="287" t="s">
        <v>732</v>
      </c>
      <c r="B676" s="288">
        <v>2025</v>
      </c>
      <c r="C676" s="288">
        <v>2</v>
      </c>
      <c r="D676" s="287" t="s">
        <v>661</v>
      </c>
      <c r="E676" s="287" t="s">
        <v>375</v>
      </c>
      <c r="F676" s="287" t="s">
        <v>685</v>
      </c>
      <c r="G676" s="284">
        <v>557614.54</v>
      </c>
    </row>
    <row r="677" spans="1:7" x14ac:dyDescent="0.25">
      <c r="A677" s="287" t="s">
        <v>732</v>
      </c>
      <c r="B677" s="288">
        <v>2025</v>
      </c>
      <c r="C677" s="288">
        <v>3</v>
      </c>
      <c r="D677" s="287" t="s">
        <v>661</v>
      </c>
      <c r="E677" s="287" t="s">
        <v>375</v>
      </c>
      <c r="F677" s="287" t="s">
        <v>685</v>
      </c>
      <c r="G677" s="284">
        <v>2717061.21</v>
      </c>
    </row>
    <row r="678" spans="1:7" x14ac:dyDescent="0.25">
      <c r="A678" s="287" t="s">
        <v>732</v>
      </c>
      <c r="B678" s="288">
        <v>2025</v>
      </c>
      <c r="C678" s="288">
        <v>4</v>
      </c>
      <c r="D678" s="287" t="s">
        <v>661</v>
      </c>
      <c r="E678" s="287" t="s">
        <v>375</v>
      </c>
      <c r="F678" s="287" t="s">
        <v>685</v>
      </c>
      <c r="G678" s="284">
        <v>-2003456.59</v>
      </c>
    </row>
    <row r="679" spans="1:7" x14ac:dyDescent="0.25">
      <c r="A679" s="287" t="s">
        <v>732</v>
      </c>
      <c r="B679" s="288">
        <v>2025</v>
      </c>
      <c r="C679" s="288">
        <v>5</v>
      </c>
      <c r="D679" s="287" t="s">
        <v>661</v>
      </c>
      <c r="E679" s="287" t="s">
        <v>375</v>
      </c>
      <c r="F679" s="287" t="s">
        <v>685</v>
      </c>
      <c r="G679" s="284">
        <v>-1464525.9</v>
      </c>
    </row>
    <row r="680" spans="1:7" x14ac:dyDescent="0.25">
      <c r="A680" s="287" t="s">
        <v>732</v>
      </c>
      <c r="B680" s="288">
        <v>2025</v>
      </c>
      <c r="C680" s="288">
        <v>6</v>
      </c>
      <c r="D680" s="287" t="s">
        <v>661</v>
      </c>
      <c r="E680" s="287" t="s">
        <v>375</v>
      </c>
      <c r="F680" s="287" t="s">
        <v>685</v>
      </c>
      <c r="G680" s="284">
        <v>-201355.92</v>
      </c>
    </row>
    <row r="681" spans="1:7" x14ac:dyDescent="0.25">
      <c r="A681" s="287" t="s">
        <v>732</v>
      </c>
      <c r="B681" s="288">
        <v>2025</v>
      </c>
      <c r="C681" s="288">
        <v>7</v>
      </c>
      <c r="D681" s="287" t="s">
        <v>661</v>
      </c>
      <c r="E681" s="287" t="s">
        <v>375</v>
      </c>
      <c r="F681" s="287" t="s">
        <v>685</v>
      </c>
      <c r="G681" s="284">
        <v>-1689612.92</v>
      </c>
    </row>
    <row r="682" spans="1:7" x14ac:dyDescent="0.25">
      <c r="A682" s="287" t="s">
        <v>732</v>
      </c>
      <c r="B682" s="288">
        <v>2025</v>
      </c>
      <c r="C682" s="288">
        <v>8</v>
      </c>
      <c r="D682" s="287" t="s">
        <v>661</v>
      </c>
      <c r="E682" s="287" t="s">
        <v>375</v>
      </c>
      <c r="F682" s="287" t="s">
        <v>685</v>
      </c>
      <c r="G682" s="284">
        <v>-960403.85</v>
      </c>
    </row>
    <row r="683" spans="1:7" x14ac:dyDescent="0.25">
      <c r="A683" s="287" t="s">
        <v>732</v>
      </c>
      <c r="B683" s="288">
        <v>2025</v>
      </c>
      <c r="C683" s="288">
        <v>2</v>
      </c>
      <c r="D683" s="287" t="s">
        <v>661</v>
      </c>
      <c r="E683" s="287" t="s">
        <v>376</v>
      </c>
      <c r="F683" s="287" t="s">
        <v>741</v>
      </c>
      <c r="G683" s="284">
        <v>2636216.84</v>
      </c>
    </row>
    <row r="684" spans="1:7" x14ac:dyDescent="0.25">
      <c r="A684" s="287" t="s">
        <v>732</v>
      </c>
      <c r="B684" s="288">
        <v>2025</v>
      </c>
      <c r="C684" s="288">
        <v>3</v>
      </c>
      <c r="D684" s="287" t="s">
        <v>661</v>
      </c>
      <c r="E684" s="287" t="s">
        <v>376</v>
      </c>
      <c r="F684" s="287" t="s">
        <v>741</v>
      </c>
      <c r="G684" s="284">
        <v>534412.13</v>
      </c>
    </row>
    <row r="685" spans="1:7" x14ac:dyDescent="0.25">
      <c r="A685" s="287" t="s">
        <v>732</v>
      </c>
      <c r="B685" s="288">
        <v>2025</v>
      </c>
      <c r="C685" s="288">
        <v>4</v>
      </c>
      <c r="D685" s="287" t="s">
        <v>661</v>
      </c>
      <c r="E685" s="287" t="s">
        <v>376</v>
      </c>
      <c r="F685" s="287" t="s">
        <v>741</v>
      </c>
      <c r="G685" s="284">
        <v>-2476603.33</v>
      </c>
    </row>
    <row r="686" spans="1:7" x14ac:dyDescent="0.25">
      <c r="A686" s="287" t="s">
        <v>732</v>
      </c>
      <c r="B686" s="288">
        <v>2025</v>
      </c>
      <c r="C686" s="288">
        <v>5</v>
      </c>
      <c r="D686" s="287" t="s">
        <v>661</v>
      </c>
      <c r="E686" s="287" t="s">
        <v>376</v>
      </c>
      <c r="F686" s="287" t="s">
        <v>741</v>
      </c>
      <c r="G686" s="284">
        <v>-75871.17</v>
      </c>
    </row>
    <row r="687" spans="1:7" x14ac:dyDescent="0.25">
      <c r="A687" s="287" t="s">
        <v>732</v>
      </c>
      <c r="B687" s="288">
        <v>2025</v>
      </c>
      <c r="C687" s="288">
        <v>6</v>
      </c>
      <c r="D687" s="287" t="s">
        <v>661</v>
      </c>
      <c r="E687" s="287" t="s">
        <v>376</v>
      </c>
      <c r="F687" s="287" t="s">
        <v>741</v>
      </c>
      <c r="G687" s="284">
        <v>35761.9</v>
      </c>
    </row>
    <row r="688" spans="1:7" x14ac:dyDescent="0.25">
      <c r="A688" s="287" t="s">
        <v>732</v>
      </c>
      <c r="B688" s="288">
        <v>2025</v>
      </c>
      <c r="C688" s="288">
        <v>7</v>
      </c>
      <c r="D688" s="287" t="s">
        <v>661</v>
      </c>
      <c r="E688" s="287" t="s">
        <v>376</v>
      </c>
      <c r="F688" s="287" t="s">
        <v>741</v>
      </c>
      <c r="G688" s="284">
        <v>243208.87</v>
      </c>
    </row>
    <row r="689" spans="1:7" x14ac:dyDescent="0.25">
      <c r="A689" s="287" t="s">
        <v>732</v>
      </c>
      <c r="B689" s="288">
        <v>2025</v>
      </c>
      <c r="C689" s="288">
        <v>8</v>
      </c>
      <c r="D689" s="287" t="s">
        <v>661</v>
      </c>
      <c r="E689" s="287" t="s">
        <v>376</v>
      </c>
      <c r="F689" s="287" t="s">
        <v>741</v>
      </c>
      <c r="G689" s="284">
        <v>-897125.24</v>
      </c>
    </row>
    <row r="690" spans="1:7" x14ac:dyDescent="0.25">
      <c r="A690" s="287" t="s">
        <v>732</v>
      </c>
      <c r="B690" s="288">
        <v>2025</v>
      </c>
      <c r="C690" s="288">
        <v>0</v>
      </c>
      <c r="D690" s="287" t="s">
        <v>661</v>
      </c>
      <c r="E690" s="287" t="s">
        <v>377</v>
      </c>
      <c r="F690" s="287" t="s">
        <v>706</v>
      </c>
      <c r="G690" s="284">
        <v>-16620.919999999998</v>
      </c>
    </row>
    <row r="691" spans="1:7" x14ac:dyDescent="0.25">
      <c r="A691" s="287" t="s">
        <v>732</v>
      </c>
      <c r="B691" s="288">
        <v>2025</v>
      </c>
      <c r="C691" s="288">
        <v>0</v>
      </c>
      <c r="D691" s="287" t="s">
        <v>661</v>
      </c>
      <c r="E691" s="287" t="s">
        <v>378</v>
      </c>
      <c r="F691" s="287" t="s">
        <v>707</v>
      </c>
      <c r="G691" s="284">
        <v>3527174.07</v>
      </c>
    </row>
    <row r="692" spans="1:7" x14ac:dyDescent="0.25">
      <c r="A692" s="287" t="s">
        <v>732</v>
      </c>
      <c r="B692" s="288">
        <v>2025</v>
      </c>
      <c r="C692" s="288">
        <v>3</v>
      </c>
      <c r="D692" s="287" t="s">
        <v>661</v>
      </c>
      <c r="E692" s="287" t="s">
        <v>378</v>
      </c>
      <c r="F692" s="287" t="s">
        <v>707</v>
      </c>
      <c r="G692" s="284">
        <v>-41302.35</v>
      </c>
    </row>
    <row r="693" spans="1:7" x14ac:dyDescent="0.25">
      <c r="A693" s="287" t="s">
        <v>732</v>
      </c>
      <c r="B693" s="288">
        <v>2025</v>
      </c>
      <c r="C693" s="288">
        <v>6</v>
      </c>
      <c r="D693" s="287" t="s">
        <v>661</v>
      </c>
      <c r="E693" s="287" t="s">
        <v>378</v>
      </c>
      <c r="F693" s="287" t="s">
        <v>707</v>
      </c>
      <c r="G693" s="284">
        <v>-41302.35</v>
      </c>
    </row>
    <row r="694" spans="1:7" x14ac:dyDescent="0.25">
      <c r="A694" s="287" t="s">
        <v>732</v>
      </c>
      <c r="B694" s="288">
        <v>2025</v>
      </c>
      <c r="C694" s="288">
        <v>8</v>
      </c>
      <c r="D694" s="287" t="s">
        <v>661</v>
      </c>
      <c r="E694" s="287" t="s">
        <v>378</v>
      </c>
      <c r="F694" s="287" t="s">
        <v>707</v>
      </c>
      <c r="G694" s="284">
        <v>-27534.9</v>
      </c>
    </row>
    <row r="695" spans="1:7" x14ac:dyDescent="0.25">
      <c r="A695" s="287" t="s">
        <v>732</v>
      </c>
      <c r="B695" s="288">
        <v>2025</v>
      </c>
      <c r="C695" s="288">
        <v>0</v>
      </c>
      <c r="D695" s="287" t="s">
        <v>661</v>
      </c>
      <c r="E695" s="287" t="s">
        <v>380</v>
      </c>
      <c r="F695" s="287" t="s">
        <v>709</v>
      </c>
      <c r="G695" s="284">
        <v>1784873.54</v>
      </c>
    </row>
    <row r="696" spans="1:7" x14ac:dyDescent="0.25">
      <c r="A696" s="287" t="s">
        <v>732</v>
      </c>
      <c r="B696" s="288">
        <v>2025</v>
      </c>
      <c r="C696" s="288">
        <v>1</v>
      </c>
      <c r="D696" s="287" t="s">
        <v>661</v>
      </c>
      <c r="E696" s="287" t="s">
        <v>380</v>
      </c>
      <c r="F696" s="287" t="s">
        <v>709</v>
      </c>
      <c r="G696" s="284">
        <v>2700.81</v>
      </c>
    </row>
    <row r="697" spans="1:7" x14ac:dyDescent="0.25">
      <c r="A697" s="287" t="s">
        <v>732</v>
      </c>
      <c r="B697" s="288">
        <v>2025</v>
      </c>
      <c r="C697" s="288">
        <v>2</v>
      </c>
      <c r="D697" s="287" t="s">
        <v>661</v>
      </c>
      <c r="E697" s="287" t="s">
        <v>380</v>
      </c>
      <c r="F697" s="287" t="s">
        <v>709</v>
      </c>
      <c r="G697" s="284">
        <v>39925.83</v>
      </c>
    </row>
    <row r="698" spans="1:7" x14ac:dyDescent="0.25">
      <c r="A698" s="287" t="s">
        <v>732</v>
      </c>
      <c r="B698" s="288">
        <v>2025</v>
      </c>
      <c r="C698" s="288">
        <v>3</v>
      </c>
      <c r="D698" s="287" t="s">
        <v>661</v>
      </c>
      <c r="E698" s="287" t="s">
        <v>380</v>
      </c>
      <c r="F698" s="287" t="s">
        <v>709</v>
      </c>
      <c r="G698" s="284">
        <v>98283.99</v>
      </c>
    </row>
    <row r="699" spans="1:7" x14ac:dyDescent="0.25">
      <c r="A699" s="287" t="s">
        <v>732</v>
      </c>
      <c r="B699" s="288">
        <v>2025</v>
      </c>
      <c r="C699" s="288">
        <v>6</v>
      </c>
      <c r="D699" s="287" t="s">
        <v>661</v>
      </c>
      <c r="E699" s="287" t="s">
        <v>380</v>
      </c>
      <c r="F699" s="287" t="s">
        <v>709</v>
      </c>
      <c r="G699" s="284">
        <v>39945.360000000001</v>
      </c>
    </row>
    <row r="700" spans="1:7" x14ac:dyDescent="0.25">
      <c r="A700" s="287" t="s">
        <v>732</v>
      </c>
      <c r="B700" s="288">
        <v>2025</v>
      </c>
      <c r="C700" s="288">
        <v>7</v>
      </c>
      <c r="D700" s="287" t="s">
        <v>661</v>
      </c>
      <c r="E700" s="287" t="s">
        <v>380</v>
      </c>
      <c r="F700" s="287" t="s">
        <v>709</v>
      </c>
      <c r="G700" s="284">
        <v>1428.63</v>
      </c>
    </row>
    <row r="701" spans="1:7" x14ac:dyDescent="0.25">
      <c r="A701" s="287" t="s">
        <v>732</v>
      </c>
      <c r="B701" s="288">
        <v>2025</v>
      </c>
      <c r="C701" s="288">
        <v>8</v>
      </c>
      <c r="D701" s="287" t="s">
        <v>661</v>
      </c>
      <c r="E701" s="287" t="s">
        <v>380</v>
      </c>
      <c r="F701" s="287" t="s">
        <v>709</v>
      </c>
      <c r="G701" s="284">
        <v>-5835.27</v>
      </c>
    </row>
    <row r="702" spans="1:7" x14ac:dyDescent="0.25">
      <c r="A702" s="287" t="s">
        <v>732</v>
      </c>
      <c r="B702" s="288">
        <v>2025</v>
      </c>
      <c r="C702" s="288">
        <v>0</v>
      </c>
      <c r="D702" s="287" t="s">
        <v>661</v>
      </c>
      <c r="E702" s="287" t="s">
        <v>382</v>
      </c>
      <c r="F702" s="287" t="s">
        <v>711</v>
      </c>
      <c r="G702" s="284">
        <v>452884.87</v>
      </c>
    </row>
    <row r="703" spans="1:7" x14ac:dyDescent="0.25">
      <c r="A703" s="287" t="s">
        <v>732</v>
      </c>
      <c r="B703" s="288">
        <v>2025</v>
      </c>
      <c r="C703" s="288">
        <v>0</v>
      </c>
      <c r="D703" s="287" t="s">
        <v>661</v>
      </c>
      <c r="E703" s="287" t="s">
        <v>383</v>
      </c>
      <c r="F703" s="287" t="s">
        <v>663</v>
      </c>
      <c r="G703" s="284">
        <v>-0.03</v>
      </c>
    </row>
    <row r="704" spans="1:7" x14ac:dyDescent="0.25">
      <c r="A704" s="287" t="s">
        <v>732</v>
      </c>
      <c r="B704" s="288">
        <v>2025</v>
      </c>
      <c r="C704" s="288">
        <v>0</v>
      </c>
      <c r="D704" s="287" t="s">
        <v>661</v>
      </c>
      <c r="E704" s="287" t="s">
        <v>384</v>
      </c>
      <c r="F704" s="287" t="s">
        <v>712</v>
      </c>
      <c r="G704" s="284">
        <v>-39330.480000000003</v>
      </c>
    </row>
    <row r="705" spans="1:7" x14ac:dyDescent="0.25">
      <c r="A705" s="287" t="s">
        <v>732</v>
      </c>
      <c r="B705" s="288">
        <v>2025</v>
      </c>
      <c r="C705" s="288">
        <v>0</v>
      </c>
      <c r="D705" s="287" t="s">
        <v>661</v>
      </c>
      <c r="E705" s="287" t="s">
        <v>385</v>
      </c>
      <c r="F705" s="287" t="s">
        <v>686</v>
      </c>
      <c r="G705" s="284">
        <v>285677</v>
      </c>
    </row>
    <row r="706" spans="1:7" x14ac:dyDescent="0.25">
      <c r="A706" s="287" t="s">
        <v>732</v>
      </c>
      <c r="B706" s="288">
        <v>2025</v>
      </c>
      <c r="C706" s="288">
        <v>1</v>
      </c>
      <c r="D706" s="287" t="s">
        <v>661</v>
      </c>
      <c r="E706" s="287" t="s">
        <v>385</v>
      </c>
      <c r="F706" s="287" t="s">
        <v>686</v>
      </c>
      <c r="G706" s="284">
        <v>5928.72</v>
      </c>
    </row>
    <row r="707" spans="1:7" x14ac:dyDescent="0.25">
      <c r="A707" s="287" t="s">
        <v>732</v>
      </c>
      <c r="B707" s="288">
        <v>2025</v>
      </c>
      <c r="C707" s="288">
        <v>2</v>
      </c>
      <c r="D707" s="287" t="s">
        <v>661</v>
      </c>
      <c r="E707" s="287" t="s">
        <v>385</v>
      </c>
      <c r="F707" s="287" t="s">
        <v>686</v>
      </c>
      <c r="G707" s="284">
        <v>5950.98</v>
      </c>
    </row>
    <row r="708" spans="1:7" x14ac:dyDescent="0.25">
      <c r="A708" s="287" t="s">
        <v>732</v>
      </c>
      <c r="B708" s="288">
        <v>2025</v>
      </c>
      <c r="C708" s="288">
        <v>3</v>
      </c>
      <c r="D708" s="287" t="s">
        <v>661</v>
      </c>
      <c r="E708" s="287" t="s">
        <v>385</v>
      </c>
      <c r="F708" s="287" t="s">
        <v>686</v>
      </c>
      <c r="G708" s="284">
        <v>5973.45</v>
      </c>
    </row>
    <row r="709" spans="1:7" x14ac:dyDescent="0.25">
      <c r="A709" s="287" t="s">
        <v>732</v>
      </c>
      <c r="B709" s="288">
        <v>2025</v>
      </c>
      <c r="C709" s="288">
        <v>5</v>
      </c>
      <c r="D709" s="287" t="s">
        <v>661</v>
      </c>
      <c r="E709" s="287" t="s">
        <v>385</v>
      </c>
      <c r="F709" s="287" t="s">
        <v>686</v>
      </c>
      <c r="G709" s="284">
        <v>12013.89</v>
      </c>
    </row>
    <row r="710" spans="1:7" x14ac:dyDescent="0.25">
      <c r="A710" s="287" t="s">
        <v>732</v>
      </c>
      <c r="B710" s="288">
        <v>2025</v>
      </c>
      <c r="C710" s="288">
        <v>6</v>
      </c>
      <c r="D710" s="287" t="s">
        <v>661</v>
      </c>
      <c r="E710" s="287" t="s">
        <v>385</v>
      </c>
      <c r="F710" s="287" t="s">
        <v>686</v>
      </c>
      <c r="G710" s="284">
        <v>6040.86</v>
      </c>
    </row>
    <row r="711" spans="1:7" x14ac:dyDescent="0.25">
      <c r="A711" s="287" t="s">
        <v>732</v>
      </c>
      <c r="B711" s="288">
        <v>2025</v>
      </c>
      <c r="C711" s="288">
        <v>7</v>
      </c>
      <c r="D711" s="287" t="s">
        <v>661</v>
      </c>
      <c r="E711" s="287" t="s">
        <v>385</v>
      </c>
      <c r="F711" s="287" t="s">
        <v>686</v>
      </c>
      <c r="G711" s="284">
        <v>6063.54</v>
      </c>
    </row>
    <row r="712" spans="1:7" x14ac:dyDescent="0.25">
      <c r="A712" s="287" t="s">
        <v>732</v>
      </c>
      <c r="B712" s="288">
        <v>2025</v>
      </c>
      <c r="C712" s="288">
        <v>8</v>
      </c>
      <c r="D712" s="287" t="s">
        <v>661</v>
      </c>
      <c r="E712" s="287" t="s">
        <v>385</v>
      </c>
      <c r="F712" s="287" t="s">
        <v>686</v>
      </c>
      <c r="G712" s="284">
        <v>6086.01</v>
      </c>
    </row>
    <row r="713" spans="1:7" x14ac:dyDescent="0.25">
      <c r="A713" s="287" t="s">
        <v>732</v>
      </c>
      <c r="B713" s="288">
        <v>2025</v>
      </c>
      <c r="C713" s="288">
        <v>0</v>
      </c>
      <c r="D713" s="287" t="s">
        <v>661</v>
      </c>
      <c r="E713" s="287" t="s">
        <v>386</v>
      </c>
      <c r="F713" s="287" t="s">
        <v>664</v>
      </c>
      <c r="G713" s="284">
        <v>20324495.27</v>
      </c>
    </row>
    <row r="714" spans="1:7" x14ac:dyDescent="0.25">
      <c r="A714" s="287" t="s">
        <v>732</v>
      </c>
      <c r="B714" s="288">
        <v>2025</v>
      </c>
      <c r="C714" s="288">
        <v>1</v>
      </c>
      <c r="D714" s="287" t="s">
        <v>661</v>
      </c>
      <c r="E714" s="287" t="s">
        <v>386</v>
      </c>
      <c r="F714" s="287" t="s">
        <v>664</v>
      </c>
      <c r="G714" s="284">
        <v>-136619.53</v>
      </c>
    </row>
    <row r="715" spans="1:7" x14ac:dyDescent="0.25">
      <c r="A715" s="287" t="s">
        <v>732</v>
      </c>
      <c r="B715" s="288">
        <v>2025</v>
      </c>
      <c r="C715" s="288">
        <v>2</v>
      </c>
      <c r="D715" s="287" t="s">
        <v>661</v>
      </c>
      <c r="E715" s="287" t="s">
        <v>386</v>
      </c>
      <c r="F715" s="287" t="s">
        <v>664</v>
      </c>
      <c r="G715" s="284">
        <v>-136619.51999999999</v>
      </c>
    </row>
    <row r="716" spans="1:7" x14ac:dyDescent="0.25">
      <c r="A716" s="287" t="s">
        <v>732</v>
      </c>
      <c r="B716" s="288">
        <v>2025</v>
      </c>
      <c r="C716" s="288">
        <v>3</v>
      </c>
      <c r="D716" s="287" t="s">
        <v>661</v>
      </c>
      <c r="E716" s="287" t="s">
        <v>386</v>
      </c>
      <c r="F716" s="287" t="s">
        <v>664</v>
      </c>
      <c r="G716" s="284">
        <v>-136619.53</v>
      </c>
    </row>
    <row r="717" spans="1:7" x14ac:dyDescent="0.25">
      <c r="A717" s="287" t="s">
        <v>732</v>
      </c>
      <c r="B717" s="288">
        <v>2025</v>
      </c>
      <c r="C717" s="288">
        <v>4</v>
      </c>
      <c r="D717" s="287" t="s">
        <v>661</v>
      </c>
      <c r="E717" s="287" t="s">
        <v>386</v>
      </c>
      <c r="F717" s="287" t="s">
        <v>664</v>
      </c>
      <c r="G717" s="284">
        <v>-136619.51999999999</v>
      </c>
    </row>
    <row r="718" spans="1:7" x14ac:dyDescent="0.25">
      <c r="A718" s="287" t="s">
        <v>732</v>
      </c>
      <c r="B718" s="288">
        <v>2025</v>
      </c>
      <c r="C718" s="288">
        <v>5</v>
      </c>
      <c r="D718" s="287" t="s">
        <v>661</v>
      </c>
      <c r="E718" s="287" t="s">
        <v>386</v>
      </c>
      <c r="F718" s="287" t="s">
        <v>664</v>
      </c>
      <c r="G718" s="284">
        <v>-136619.53</v>
      </c>
    </row>
    <row r="719" spans="1:7" x14ac:dyDescent="0.25">
      <c r="A719" s="287" t="s">
        <v>732</v>
      </c>
      <c r="B719" s="288">
        <v>2025</v>
      </c>
      <c r="C719" s="288">
        <v>6</v>
      </c>
      <c r="D719" s="287" t="s">
        <v>661</v>
      </c>
      <c r="E719" s="287" t="s">
        <v>386</v>
      </c>
      <c r="F719" s="287" t="s">
        <v>664</v>
      </c>
      <c r="G719" s="284">
        <v>-136619.51999999999</v>
      </c>
    </row>
    <row r="720" spans="1:7" x14ac:dyDescent="0.25">
      <c r="A720" s="287" t="s">
        <v>732</v>
      </c>
      <c r="B720" s="288">
        <v>2025</v>
      </c>
      <c r="C720" s="288">
        <v>7</v>
      </c>
      <c r="D720" s="287" t="s">
        <v>661</v>
      </c>
      <c r="E720" s="287" t="s">
        <v>386</v>
      </c>
      <c r="F720" s="287" t="s">
        <v>664</v>
      </c>
      <c r="G720" s="284">
        <v>-136619.53</v>
      </c>
    </row>
    <row r="721" spans="1:7" x14ac:dyDescent="0.25">
      <c r="A721" s="287" t="s">
        <v>732</v>
      </c>
      <c r="B721" s="288">
        <v>2025</v>
      </c>
      <c r="C721" s="288">
        <v>8</v>
      </c>
      <c r="D721" s="287" t="s">
        <v>661</v>
      </c>
      <c r="E721" s="287" t="s">
        <v>386</v>
      </c>
      <c r="F721" s="287" t="s">
        <v>664</v>
      </c>
      <c r="G721" s="284">
        <v>-136619.51999999999</v>
      </c>
    </row>
    <row r="722" spans="1:7" x14ac:dyDescent="0.25">
      <c r="A722" s="287" t="s">
        <v>732</v>
      </c>
      <c r="B722" s="288">
        <v>2025</v>
      </c>
      <c r="C722" s="288">
        <v>0</v>
      </c>
      <c r="D722" s="287" t="s">
        <v>661</v>
      </c>
      <c r="E722" s="287" t="s">
        <v>387</v>
      </c>
      <c r="F722" s="287" t="s">
        <v>713</v>
      </c>
      <c r="G722" s="284">
        <v>2454222.21</v>
      </c>
    </row>
    <row r="723" spans="1:7" x14ac:dyDescent="0.25">
      <c r="A723" s="287" t="s">
        <v>732</v>
      </c>
      <c r="B723" s="288">
        <v>2025</v>
      </c>
      <c r="C723" s="288">
        <v>1</v>
      </c>
      <c r="D723" s="287" t="s">
        <v>661</v>
      </c>
      <c r="E723" s="287" t="s">
        <v>387</v>
      </c>
      <c r="F723" s="287" t="s">
        <v>713</v>
      </c>
      <c r="G723" s="284">
        <v>65204.03</v>
      </c>
    </row>
    <row r="724" spans="1:7" x14ac:dyDescent="0.25">
      <c r="A724" s="287" t="s">
        <v>732</v>
      </c>
      <c r="B724" s="288">
        <v>2025</v>
      </c>
      <c r="C724" s="288">
        <v>2</v>
      </c>
      <c r="D724" s="287" t="s">
        <v>661</v>
      </c>
      <c r="E724" s="287" t="s">
        <v>387</v>
      </c>
      <c r="F724" s="287" t="s">
        <v>713</v>
      </c>
      <c r="G724" s="284">
        <v>21575.94</v>
      </c>
    </row>
    <row r="725" spans="1:7" x14ac:dyDescent="0.25">
      <c r="A725" s="287" t="s">
        <v>732</v>
      </c>
      <c r="B725" s="288">
        <v>2025</v>
      </c>
      <c r="C725" s="288">
        <v>3</v>
      </c>
      <c r="D725" s="287" t="s">
        <v>661</v>
      </c>
      <c r="E725" s="287" t="s">
        <v>387</v>
      </c>
      <c r="F725" s="287" t="s">
        <v>713</v>
      </c>
      <c r="G725" s="284">
        <v>309151.05</v>
      </c>
    </row>
    <row r="726" spans="1:7" x14ac:dyDescent="0.25">
      <c r="A726" s="287" t="s">
        <v>732</v>
      </c>
      <c r="B726" s="288">
        <v>2025</v>
      </c>
      <c r="C726" s="288">
        <v>4</v>
      </c>
      <c r="D726" s="287" t="s">
        <v>661</v>
      </c>
      <c r="E726" s="287" t="s">
        <v>387</v>
      </c>
      <c r="F726" s="287" t="s">
        <v>713</v>
      </c>
      <c r="G726" s="284">
        <v>30899.08</v>
      </c>
    </row>
    <row r="727" spans="1:7" x14ac:dyDescent="0.25">
      <c r="A727" s="287" t="s">
        <v>732</v>
      </c>
      <c r="B727" s="288">
        <v>2025</v>
      </c>
      <c r="C727" s="288">
        <v>5</v>
      </c>
      <c r="D727" s="287" t="s">
        <v>661</v>
      </c>
      <c r="E727" s="287" t="s">
        <v>387</v>
      </c>
      <c r="F727" s="287" t="s">
        <v>713</v>
      </c>
      <c r="G727" s="284">
        <v>-23318.63</v>
      </c>
    </row>
    <row r="728" spans="1:7" x14ac:dyDescent="0.25">
      <c r="A728" s="287" t="s">
        <v>732</v>
      </c>
      <c r="B728" s="288">
        <v>2025</v>
      </c>
      <c r="C728" s="288">
        <v>6</v>
      </c>
      <c r="D728" s="287" t="s">
        <v>661</v>
      </c>
      <c r="E728" s="287" t="s">
        <v>387</v>
      </c>
      <c r="F728" s="287" t="s">
        <v>713</v>
      </c>
      <c r="G728" s="284">
        <v>10253.75</v>
      </c>
    </row>
    <row r="729" spans="1:7" x14ac:dyDescent="0.25">
      <c r="A729" s="287" t="s">
        <v>732</v>
      </c>
      <c r="B729" s="288">
        <v>2025</v>
      </c>
      <c r="C729" s="288">
        <v>7</v>
      </c>
      <c r="D729" s="287" t="s">
        <v>661</v>
      </c>
      <c r="E729" s="287" t="s">
        <v>387</v>
      </c>
      <c r="F729" s="287" t="s">
        <v>713</v>
      </c>
      <c r="G729" s="284">
        <v>-11319.38</v>
      </c>
    </row>
    <row r="730" spans="1:7" x14ac:dyDescent="0.25">
      <c r="A730" s="287" t="s">
        <v>732</v>
      </c>
      <c r="B730" s="288">
        <v>2025</v>
      </c>
      <c r="C730" s="288">
        <v>8</v>
      </c>
      <c r="D730" s="287" t="s">
        <v>661</v>
      </c>
      <c r="E730" s="287" t="s">
        <v>387</v>
      </c>
      <c r="F730" s="287" t="s">
        <v>713</v>
      </c>
      <c r="G730" s="284">
        <v>-26135.69</v>
      </c>
    </row>
    <row r="731" spans="1:7" x14ac:dyDescent="0.25">
      <c r="A731" s="287" t="s">
        <v>732</v>
      </c>
      <c r="B731" s="288">
        <v>2025</v>
      </c>
      <c r="C731" s="288">
        <v>0</v>
      </c>
      <c r="D731" s="287" t="s">
        <v>671</v>
      </c>
      <c r="E731" s="287" t="s">
        <v>391</v>
      </c>
      <c r="F731" s="287" t="s">
        <v>742</v>
      </c>
      <c r="G731" s="284">
        <v>68494428.969999999</v>
      </c>
    </row>
    <row r="732" spans="1:7" x14ac:dyDescent="0.25">
      <c r="A732" s="287" t="s">
        <v>732</v>
      </c>
      <c r="B732" s="288">
        <v>2025</v>
      </c>
      <c r="C732" s="288">
        <v>1</v>
      </c>
      <c r="D732" s="287" t="s">
        <v>671</v>
      </c>
      <c r="E732" s="287" t="s">
        <v>391</v>
      </c>
      <c r="F732" s="287" t="s">
        <v>742</v>
      </c>
      <c r="G732" s="284">
        <v>-198610.1</v>
      </c>
    </row>
    <row r="733" spans="1:7" x14ac:dyDescent="0.25">
      <c r="A733" s="287" t="s">
        <v>732</v>
      </c>
      <c r="B733" s="288">
        <v>2025</v>
      </c>
      <c r="C733" s="288">
        <v>2</v>
      </c>
      <c r="D733" s="287" t="s">
        <v>671</v>
      </c>
      <c r="E733" s="287" t="s">
        <v>391</v>
      </c>
      <c r="F733" s="287" t="s">
        <v>742</v>
      </c>
      <c r="G733" s="284">
        <v>-203704.75</v>
      </c>
    </row>
    <row r="734" spans="1:7" x14ac:dyDescent="0.25">
      <c r="A734" s="287" t="s">
        <v>732</v>
      </c>
      <c r="B734" s="288">
        <v>2025</v>
      </c>
      <c r="C734" s="288">
        <v>3</v>
      </c>
      <c r="D734" s="287" t="s">
        <v>671</v>
      </c>
      <c r="E734" s="287" t="s">
        <v>391</v>
      </c>
      <c r="F734" s="287" t="s">
        <v>742</v>
      </c>
      <c r="G734" s="284">
        <v>-188368.84</v>
      </c>
    </row>
    <row r="735" spans="1:7" x14ac:dyDescent="0.25">
      <c r="A735" s="287" t="s">
        <v>732</v>
      </c>
      <c r="B735" s="288">
        <v>2025</v>
      </c>
      <c r="C735" s="288">
        <v>4</v>
      </c>
      <c r="D735" s="287" t="s">
        <v>671</v>
      </c>
      <c r="E735" s="287" t="s">
        <v>391</v>
      </c>
      <c r="F735" s="287" t="s">
        <v>742</v>
      </c>
      <c r="G735" s="284">
        <v>-205013.14</v>
      </c>
    </row>
    <row r="736" spans="1:7" x14ac:dyDescent="0.25">
      <c r="A736" s="287" t="s">
        <v>732</v>
      </c>
      <c r="B736" s="288">
        <v>2025</v>
      </c>
      <c r="C736" s="288">
        <v>5</v>
      </c>
      <c r="D736" s="287" t="s">
        <v>671</v>
      </c>
      <c r="E736" s="287" t="s">
        <v>391</v>
      </c>
      <c r="F736" s="287" t="s">
        <v>742</v>
      </c>
      <c r="G736" s="284">
        <v>-188505.13</v>
      </c>
    </row>
    <row r="737" spans="1:7" x14ac:dyDescent="0.25">
      <c r="A737" s="287" t="s">
        <v>732</v>
      </c>
      <c r="B737" s="288">
        <v>2025</v>
      </c>
      <c r="C737" s="288">
        <v>6</v>
      </c>
      <c r="D737" s="287" t="s">
        <v>671</v>
      </c>
      <c r="E737" s="287" t="s">
        <v>391</v>
      </c>
      <c r="F737" s="287" t="s">
        <v>742</v>
      </c>
      <c r="G737" s="284">
        <v>-1956078.11</v>
      </c>
    </row>
    <row r="738" spans="1:7" x14ac:dyDescent="0.25">
      <c r="A738" s="287" t="s">
        <v>732</v>
      </c>
      <c r="B738" s="288">
        <v>2025</v>
      </c>
      <c r="C738" s="288">
        <v>7</v>
      </c>
      <c r="D738" s="287" t="s">
        <v>671</v>
      </c>
      <c r="E738" s="287" t="s">
        <v>391</v>
      </c>
      <c r="F738" s="287" t="s">
        <v>742</v>
      </c>
      <c r="G738" s="284">
        <v>-281288.15999999997</v>
      </c>
    </row>
    <row r="739" spans="1:7" x14ac:dyDescent="0.25">
      <c r="A739" s="287" t="s">
        <v>732</v>
      </c>
      <c r="B739" s="288">
        <v>2025</v>
      </c>
      <c r="C739" s="288">
        <v>8</v>
      </c>
      <c r="D739" s="287" t="s">
        <v>671</v>
      </c>
      <c r="E739" s="287" t="s">
        <v>391</v>
      </c>
      <c r="F739" s="287" t="s">
        <v>742</v>
      </c>
      <c r="G739" s="284">
        <v>-265637.59000000003</v>
      </c>
    </row>
    <row r="740" spans="1:7" x14ac:dyDescent="0.25">
      <c r="A740" s="287" t="s">
        <v>732</v>
      </c>
      <c r="B740" s="288">
        <v>2025</v>
      </c>
      <c r="C740" s="288">
        <v>0</v>
      </c>
      <c r="D740" s="287" t="s">
        <v>671</v>
      </c>
      <c r="E740" s="287" t="s">
        <v>394</v>
      </c>
      <c r="F740" s="287" t="s">
        <v>743</v>
      </c>
      <c r="G740" s="284">
        <v>-80751755.560000002</v>
      </c>
    </row>
    <row r="741" spans="1:7" x14ac:dyDescent="0.25">
      <c r="A741" s="287" t="s">
        <v>732</v>
      </c>
      <c r="B741" s="288">
        <v>2025</v>
      </c>
      <c r="C741" s="288">
        <v>1</v>
      </c>
      <c r="D741" s="287" t="s">
        <v>671</v>
      </c>
      <c r="E741" s="287" t="s">
        <v>394</v>
      </c>
      <c r="F741" s="287" t="s">
        <v>743</v>
      </c>
      <c r="G741" s="284">
        <v>-1009411.79</v>
      </c>
    </row>
    <row r="742" spans="1:7" x14ac:dyDescent="0.25">
      <c r="A742" s="287" t="s">
        <v>732</v>
      </c>
      <c r="B742" s="288">
        <v>2025</v>
      </c>
      <c r="C742" s="288">
        <v>2</v>
      </c>
      <c r="D742" s="287" t="s">
        <v>671</v>
      </c>
      <c r="E742" s="287" t="s">
        <v>394</v>
      </c>
      <c r="F742" s="287" t="s">
        <v>743</v>
      </c>
      <c r="G742" s="284">
        <v>-996876.1</v>
      </c>
    </row>
    <row r="743" spans="1:7" x14ac:dyDescent="0.25">
      <c r="A743" s="287" t="s">
        <v>732</v>
      </c>
      <c r="B743" s="288">
        <v>2025</v>
      </c>
      <c r="C743" s="288">
        <v>3</v>
      </c>
      <c r="D743" s="287" t="s">
        <v>671</v>
      </c>
      <c r="E743" s="287" t="s">
        <v>394</v>
      </c>
      <c r="F743" s="287" t="s">
        <v>743</v>
      </c>
      <c r="G743" s="284">
        <v>-994488.91</v>
      </c>
    </row>
    <row r="744" spans="1:7" x14ac:dyDescent="0.25">
      <c r="A744" s="287" t="s">
        <v>732</v>
      </c>
      <c r="B744" s="288">
        <v>2025</v>
      </c>
      <c r="C744" s="288">
        <v>4</v>
      </c>
      <c r="D744" s="287" t="s">
        <v>671</v>
      </c>
      <c r="E744" s="287" t="s">
        <v>394</v>
      </c>
      <c r="F744" s="287" t="s">
        <v>743</v>
      </c>
      <c r="G744" s="284">
        <v>-989435.94</v>
      </c>
    </row>
    <row r="745" spans="1:7" x14ac:dyDescent="0.25">
      <c r="A745" s="287" t="s">
        <v>732</v>
      </c>
      <c r="B745" s="288">
        <v>2025</v>
      </c>
      <c r="C745" s="288">
        <v>5</v>
      </c>
      <c r="D745" s="287" t="s">
        <v>671</v>
      </c>
      <c r="E745" s="287" t="s">
        <v>394</v>
      </c>
      <c r="F745" s="287" t="s">
        <v>743</v>
      </c>
      <c r="G745" s="284">
        <v>-986891.93</v>
      </c>
    </row>
    <row r="746" spans="1:7" x14ac:dyDescent="0.25">
      <c r="A746" s="287" t="s">
        <v>732</v>
      </c>
      <c r="B746" s="288">
        <v>2025</v>
      </c>
      <c r="C746" s="288">
        <v>6</v>
      </c>
      <c r="D746" s="287" t="s">
        <v>671</v>
      </c>
      <c r="E746" s="287" t="s">
        <v>394</v>
      </c>
      <c r="F746" s="287" t="s">
        <v>743</v>
      </c>
      <c r="G746" s="284">
        <v>1653865.28</v>
      </c>
    </row>
    <row r="747" spans="1:7" x14ac:dyDescent="0.25">
      <c r="A747" s="287" t="s">
        <v>732</v>
      </c>
      <c r="B747" s="288">
        <v>2025</v>
      </c>
      <c r="C747" s="288">
        <v>7</v>
      </c>
      <c r="D747" s="287" t="s">
        <v>671</v>
      </c>
      <c r="E747" s="287" t="s">
        <v>394</v>
      </c>
      <c r="F747" s="287" t="s">
        <v>743</v>
      </c>
      <c r="G747" s="284">
        <v>-878732.54</v>
      </c>
    </row>
    <row r="748" spans="1:7" x14ac:dyDescent="0.25">
      <c r="A748" s="287" t="s">
        <v>732</v>
      </c>
      <c r="B748" s="288">
        <v>2025</v>
      </c>
      <c r="C748" s="288">
        <v>8</v>
      </c>
      <c r="D748" s="287" t="s">
        <v>671</v>
      </c>
      <c r="E748" s="287" t="s">
        <v>394</v>
      </c>
      <c r="F748" s="287" t="s">
        <v>743</v>
      </c>
      <c r="G748" s="284">
        <v>-869254.04</v>
      </c>
    </row>
    <row r="749" spans="1:7" x14ac:dyDescent="0.25">
      <c r="A749" s="287" t="s">
        <v>732</v>
      </c>
      <c r="B749" s="288">
        <v>2025</v>
      </c>
      <c r="C749" s="288">
        <v>0</v>
      </c>
      <c r="D749" s="287" t="s">
        <v>671</v>
      </c>
      <c r="E749" s="287" t="s">
        <v>397</v>
      </c>
      <c r="F749" s="287" t="s">
        <v>744</v>
      </c>
      <c r="G749" s="284">
        <v>-37333136.420000002</v>
      </c>
    </row>
    <row r="750" spans="1:7" x14ac:dyDescent="0.25">
      <c r="A750" s="287" t="s">
        <v>732</v>
      </c>
      <c r="B750" s="288">
        <v>2025</v>
      </c>
      <c r="C750" s="288">
        <v>1</v>
      </c>
      <c r="D750" s="287" t="s">
        <v>671</v>
      </c>
      <c r="E750" s="287" t="s">
        <v>397</v>
      </c>
      <c r="F750" s="287" t="s">
        <v>744</v>
      </c>
      <c r="G750" s="284">
        <v>-1244587.45</v>
      </c>
    </row>
    <row r="751" spans="1:7" x14ac:dyDescent="0.25">
      <c r="A751" s="287" t="s">
        <v>732</v>
      </c>
      <c r="B751" s="288">
        <v>2025</v>
      </c>
      <c r="C751" s="288">
        <v>2</v>
      </c>
      <c r="D751" s="287" t="s">
        <v>671</v>
      </c>
      <c r="E751" s="287" t="s">
        <v>397</v>
      </c>
      <c r="F751" s="287" t="s">
        <v>744</v>
      </c>
      <c r="G751" s="284">
        <v>-23665.59</v>
      </c>
    </row>
    <row r="752" spans="1:7" x14ac:dyDescent="0.25">
      <c r="A752" s="287" t="s">
        <v>732</v>
      </c>
      <c r="B752" s="288">
        <v>2025</v>
      </c>
      <c r="C752" s="288">
        <v>3</v>
      </c>
      <c r="D752" s="287" t="s">
        <v>671</v>
      </c>
      <c r="E752" s="287" t="s">
        <v>397</v>
      </c>
      <c r="F752" s="287" t="s">
        <v>744</v>
      </c>
      <c r="G752" s="284">
        <v>-1021314.69</v>
      </c>
    </row>
    <row r="753" spans="1:7" x14ac:dyDescent="0.25">
      <c r="A753" s="287" t="s">
        <v>732</v>
      </c>
      <c r="B753" s="288">
        <v>2025</v>
      </c>
      <c r="C753" s="288">
        <v>4</v>
      </c>
      <c r="D753" s="287" t="s">
        <v>671</v>
      </c>
      <c r="E753" s="287" t="s">
        <v>397</v>
      </c>
      <c r="F753" s="287" t="s">
        <v>744</v>
      </c>
      <c r="G753" s="284">
        <v>-902975.27</v>
      </c>
    </row>
    <row r="754" spans="1:7" x14ac:dyDescent="0.25">
      <c r="A754" s="287" t="s">
        <v>732</v>
      </c>
      <c r="B754" s="288">
        <v>2025</v>
      </c>
      <c r="C754" s="288">
        <v>5</v>
      </c>
      <c r="D754" s="287" t="s">
        <v>671</v>
      </c>
      <c r="E754" s="287" t="s">
        <v>397</v>
      </c>
      <c r="F754" s="287" t="s">
        <v>744</v>
      </c>
      <c r="G754" s="284">
        <v>-1027731.45</v>
      </c>
    </row>
    <row r="755" spans="1:7" x14ac:dyDescent="0.25">
      <c r="A755" s="287" t="s">
        <v>732</v>
      </c>
      <c r="B755" s="288">
        <v>2025</v>
      </c>
      <c r="C755" s="288">
        <v>6</v>
      </c>
      <c r="D755" s="287" t="s">
        <v>671</v>
      </c>
      <c r="E755" s="287" t="s">
        <v>397</v>
      </c>
      <c r="F755" s="287" t="s">
        <v>744</v>
      </c>
      <c r="G755" s="284">
        <v>-1729191.69</v>
      </c>
    </row>
    <row r="756" spans="1:7" x14ac:dyDescent="0.25">
      <c r="A756" s="287" t="s">
        <v>732</v>
      </c>
      <c r="B756" s="288">
        <v>2025</v>
      </c>
      <c r="C756" s="288">
        <v>7</v>
      </c>
      <c r="D756" s="287" t="s">
        <v>671</v>
      </c>
      <c r="E756" s="287" t="s">
        <v>397</v>
      </c>
      <c r="F756" s="287" t="s">
        <v>744</v>
      </c>
      <c r="G756" s="284">
        <v>-799404.15</v>
      </c>
    </row>
    <row r="757" spans="1:7" x14ac:dyDescent="0.25">
      <c r="A757" s="287" t="s">
        <v>732</v>
      </c>
      <c r="B757" s="288">
        <v>2025</v>
      </c>
      <c r="C757" s="288">
        <v>8</v>
      </c>
      <c r="D757" s="287" t="s">
        <v>671</v>
      </c>
      <c r="E757" s="287" t="s">
        <v>397</v>
      </c>
      <c r="F757" s="287" t="s">
        <v>744</v>
      </c>
      <c r="G757" s="284">
        <v>-783440.37</v>
      </c>
    </row>
    <row r="758" spans="1:7" x14ac:dyDescent="0.25">
      <c r="A758" s="287" t="s">
        <v>732</v>
      </c>
      <c r="B758" s="288">
        <v>2025</v>
      </c>
      <c r="C758" s="288">
        <v>0</v>
      </c>
      <c r="D758" s="287" t="s">
        <v>665</v>
      </c>
      <c r="E758" s="287" t="s">
        <v>407</v>
      </c>
      <c r="F758" s="287" t="s">
        <v>745</v>
      </c>
      <c r="G758" s="284">
        <v>4549144.1900000004</v>
      </c>
    </row>
    <row r="759" spans="1:7" x14ac:dyDescent="0.25">
      <c r="A759" s="287" t="s">
        <v>732</v>
      </c>
      <c r="B759" s="288">
        <v>2025</v>
      </c>
      <c r="C759" s="288">
        <v>1</v>
      </c>
      <c r="D759" s="287" t="s">
        <v>665</v>
      </c>
      <c r="E759" s="287" t="s">
        <v>407</v>
      </c>
      <c r="F759" s="287" t="s">
        <v>745</v>
      </c>
      <c r="G759" s="284">
        <v>-138581</v>
      </c>
    </row>
    <row r="760" spans="1:7" x14ac:dyDescent="0.25">
      <c r="A760" s="287" t="s">
        <v>732</v>
      </c>
      <c r="B760" s="288">
        <v>2025</v>
      </c>
      <c r="C760" s="288">
        <v>2</v>
      </c>
      <c r="D760" s="287" t="s">
        <v>665</v>
      </c>
      <c r="E760" s="287" t="s">
        <v>407</v>
      </c>
      <c r="F760" s="287" t="s">
        <v>745</v>
      </c>
      <c r="G760" s="284">
        <v>-138581</v>
      </c>
    </row>
    <row r="761" spans="1:7" x14ac:dyDescent="0.25">
      <c r="A761" s="287" t="s">
        <v>732</v>
      </c>
      <c r="B761" s="288">
        <v>2025</v>
      </c>
      <c r="C761" s="288">
        <v>3</v>
      </c>
      <c r="D761" s="287" t="s">
        <v>665</v>
      </c>
      <c r="E761" s="287" t="s">
        <v>407</v>
      </c>
      <c r="F761" s="287" t="s">
        <v>745</v>
      </c>
      <c r="G761" s="284">
        <v>-138581</v>
      </c>
    </row>
    <row r="762" spans="1:7" x14ac:dyDescent="0.25">
      <c r="A762" s="287" t="s">
        <v>732</v>
      </c>
      <c r="B762" s="288">
        <v>2025</v>
      </c>
      <c r="C762" s="288">
        <v>4</v>
      </c>
      <c r="D762" s="287" t="s">
        <v>665</v>
      </c>
      <c r="E762" s="287" t="s">
        <v>407</v>
      </c>
      <c r="F762" s="287" t="s">
        <v>745</v>
      </c>
      <c r="G762" s="284">
        <v>-138581</v>
      </c>
    </row>
    <row r="763" spans="1:7" x14ac:dyDescent="0.25">
      <c r="A763" s="287" t="s">
        <v>732</v>
      </c>
      <c r="B763" s="288">
        <v>2025</v>
      </c>
      <c r="C763" s="288">
        <v>5</v>
      </c>
      <c r="D763" s="287" t="s">
        <v>665</v>
      </c>
      <c r="E763" s="287" t="s">
        <v>407</v>
      </c>
      <c r="F763" s="287" t="s">
        <v>745</v>
      </c>
      <c r="G763" s="284">
        <v>-138581</v>
      </c>
    </row>
    <row r="764" spans="1:7" x14ac:dyDescent="0.25">
      <c r="A764" s="287" t="s">
        <v>732</v>
      </c>
      <c r="B764" s="288">
        <v>2025</v>
      </c>
      <c r="C764" s="288">
        <v>6</v>
      </c>
      <c r="D764" s="287" t="s">
        <v>665</v>
      </c>
      <c r="E764" s="287" t="s">
        <v>407</v>
      </c>
      <c r="F764" s="287" t="s">
        <v>745</v>
      </c>
      <c r="G764" s="284">
        <v>-138581</v>
      </c>
    </row>
    <row r="765" spans="1:7" x14ac:dyDescent="0.25">
      <c r="A765" s="287" t="s">
        <v>732</v>
      </c>
      <c r="B765" s="288">
        <v>2025</v>
      </c>
      <c r="C765" s="288">
        <v>7</v>
      </c>
      <c r="D765" s="287" t="s">
        <v>665</v>
      </c>
      <c r="E765" s="287" t="s">
        <v>407</v>
      </c>
      <c r="F765" s="287" t="s">
        <v>745</v>
      </c>
      <c r="G765" s="284">
        <v>-138581</v>
      </c>
    </row>
    <row r="766" spans="1:7" x14ac:dyDescent="0.25">
      <c r="A766" s="287" t="s">
        <v>732</v>
      </c>
      <c r="B766" s="288">
        <v>2025</v>
      </c>
      <c r="C766" s="288">
        <v>8</v>
      </c>
      <c r="D766" s="287" t="s">
        <v>665</v>
      </c>
      <c r="E766" s="287" t="s">
        <v>407</v>
      </c>
      <c r="F766" s="287" t="s">
        <v>745</v>
      </c>
      <c r="G766" s="284">
        <v>-138581</v>
      </c>
    </row>
    <row r="767" spans="1:7" x14ac:dyDescent="0.25">
      <c r="A767" s="287" t="s">
        <v>732</v>
      </c>
      <c r="B767" s="288">
        <v>2025</v>
      </c>
      <c r="C767" s="288">
        <v>0</v>
      </c>
      <c r="D767" s="287" t="s">
        <v>665</v>
      </c>
      <c r="E767" s="287" t="s">
        <v>408</v>
      </c>
      <c r="F767" s="287" t="s">
        <v>746</v>
      </c>
      <c r="G767" s="284">
        <v>-1252519.02</v>
      </c>
    </row>
    <row r="768" spans="1:7" x14ac:dyDescent="0.25">
      <c r="A768" s="287" t="s">
        <v>732</v>
      </c>
      <c r="B768" s="288">
        <v>2025</v>
      </c>
      <c r="C768" s="288">
        <v>1</v>
      </c>
      <c r="D768" s="287" t="s">
        <v>665</v>
      </c>
      <c r="E768" s="287" t="s">
        <v>408</v>
      </c>
      <c r="F768" s="287" t="s">
        <v>746</v>
      </c>
      <c r="G768" s="284">
        <v>37814.620000000003</v>
      </c>
    </row>
    <row r="769" spans="1:7" x14ac:dyDescent="0.25">
      <c r="A769" s="287" t="s">
        <v>732</v>
      </c>
      <c r="B769" s="288">
        <v>2025</v>
      </c>
      <c r="C769" s="288">
        <v>2</v>
      </c>
      <c r="D769" s="287" t="s">
        <v>665</v>
      </c>
      <c r="E769" s="287" t="s">
        <v>408</v>
      </c>
      <c r="F769" s="287" t="s">
        <v>746</v>
      </c>
      <c r="G769" s="284">
        <v>37814.620000000003</v>
      </c>
    </row>
    <row r="770" spans="1:7" x14ac:dyDescent="0.25">
      <c r="A770" s="287" t="s">
        <v>732</v>
      </c>
      <c r="B770" s="288">
        <v>2025</v>
      </c>
      <c r="C770" s="288">
        <v>3</v>
      </c>
      <c r="D770" s="287" t="s">
        <v>665</v>
      </c>
      <c r="E770" s="287" t="s">
        <v>408</v>
      </c>
      <c r="F770" s="287" t="s">
        <v>746</v>
      </c>
      <c r="G770" s="284">
        <v>37814.620000000003</v>
      </c>
    </row>
    <row r="771" spans="1:7" x14ac:dyDescent="0.25">
      <c r="A771" s="287" t="s">
        <v>732</v>
      </c>
      <c r="B771" s="288">
        <v>2025</v>
      </c>
      <c r="C771" s="288">
        <v>4</v>
      </c>
      <c r="D771" s="287" t="s">
        <v>665</v>
      </c>
      <c r="E771" s="287" t="s">
        <v>408</v>
      </c>
      <c r="F771" s="287" t="s">
        <v>746</v>
      </c>
      <c r="G771" s="284">
        <v>37814.620000000003</v>
      </c>
    </row>
    <row r="772" spans="1:7" x14ac:dyDescent="0.25">
      <c r="A772" s="287" t="s">
        <v>732</v>
      </c>
      <c r="B772" s="288">
        <v>2025</v>
      </c>
      <c r="C772" s="288">
        <v>5</v>
      </c>
      <c r="D772" s="287" t="s">
        <v>665</v>
      </c>
      <c r="E772" s="287" t="s">
        <v>408</v>
      </c>
      <c r="F772" s="287" t="s">
        <v>746</v>
      </c>
      <c r="G772" s="284">
        <v>37814.620000000003</v>
      </c>
    </row>
    <row r="773" spans="1:7" x14ac:dyDescent="0.25">
      <c r="A773" s="287" t="s">
        <v>732</v>
      </c>
      <c r="B773" s="288">
        <v>2025</v>
      </c>
      <c r="C773" s="288">
        <v>6</v>
      </c>
      <c r="D773" s="287" t="s">
        <v>665</v>
      </c>
      <c r="E773" s="287" t="s">
        <v>408</v>
      </c>
      <c r="F773" s="287" t="s">
        <v>746</v>
      </c>
      <c r="G773" s="284">
        <v>37814.620000000003</v>
      </c>
    </row>
    <row r="774" spans="1:7" x14ac:dyDescent="0.25">
      <c r="A774" s="287" t="s">
        <v>732</v>
      </c>
      <c r="B774" s="288">
        <v>2025</v>
      </c>
      <c r="C774" s="288">
        <v>7</v>
      </c>
      <c r="D774" s="287" t="s">
        <v>665</v>
      </c>
      <c r="E774" s="287" t="s">
        <v>408</v>
      </c>
      <c r="F774" s="287" t="s">
        <v>746</v>
      </c>
      <c r="G774" s="284">
        <v>37814.620000000003</v>
      </c>
    </row>
    <row r="775" spans="1:7" x14ac:dyDescent="0.25">
      <c r="A775" s="287" t="s">
        <v>732</v>
      </c>
      <c r="B775" s="288">
        <v>2025</v>
      </c>
      <c r="C775" s="288">
        <v>8</v>
      </c>
      <c r="D775" s="287" t="s">
        <v>665</v>
      </c>
      <c r="E775" s="287" t="s">
        <v>408</v>
      </c>
      <c r="F775" s="287" t="s">
        <v>746</v>
      </c>
      <c r="G775" s="284">
        <v>37814.620000000003</v>
      </c>
    </row>
    <row r="776" spans="1:7" x14ac:dyDescent="0.25">
      <c r="A776" s="287" t="s">
        <v>732</v>
      </c>
      <c r="B776" s="288">
        <v>2025</v>
      </c>
      <c r="C776" s="288">
        <v>0</v>
      </c>
      <c r="D776" s="287" t="s">
        <v>665</v>
      </c>
      <c r="E776" s="287" t="s">
        <v>409</v>
      </c>
      <c r="F776" s="287" t="s">
        <v>747</v>
      </c>
      <c r="G776" s="284">
        <v>-4549144.1900000004</v>
      </c>
    </row>
    <row r="777" spans="1:7" x14ac:dyDescent="0.25">
      <c r="A777" s="287" t="s">
        <v>732</v>
      </c>
      <c r="B777" s="288">
        <v>2025</v>
      </c>
      <c r="C777" s="288">
        <v>1</v>
      </c>
      <c r="D777" s="287" t="s">
        <v>665</v>
      </c>
      <c r="E777" s="287" t="s">
        <v>409</v>
      </c>
      <c r="F777" s="287" t="s">
        <v>747</v>
      </c>
      <c r="G777" s="284">
        <v>138581</v>
      </c>
    </row>
    <row r="778" spans="1:7" x14ac:dyDescent="0.25">
      <c r="A778" s="287" t="s">
        <v>732</v>
      </c>
      <c r="B778" s="288">
        <v>2025</v>
      </c>
      <c r="C778" s="288">
        <v>2</v>
      </c>
      <c r="D778" s="287" t="s">
        <v>665</v>
      </c>
      <c r="E778" s="287" t="s">
        <v>409</v>
      </c>
      <c r="F778" s="287" t="s">
        <v>747</v>
      </c>
      <c r="G778" s="284">
        <v>138581</v>
      </c>
    </row>
    <row r="779" spans="1:7" x14ac:dyDescent="0.25">
      <c r="A779" s="287" t="s">
        <v>732</v>
      </c>
      <c r="B779" s="288">
        <v>2025</v>
      </c>
      <c r="C779" s="288">
        <v>3</v>
      </c>
      <c r="D779" s="287" t="s">
        <v>665</v>
      </c>
      <c r="E779" s="287" t="s">
        <v>409</v>
      </c>
      <c r="F779" s="287" t="s">
        <v>747</v>
      </c>
      <c r="G779" s="284">
        <v>138581</v>
      </c>
    </row>
    <row r="780" spans="1:7" x14ac:dyDescent="0.25">
      <c r="A780" s="287" t="s">
        <v>732</v>
      </c>
      <c r="B780" s="288">
        <v>2025</v>
      </c>
      <c r="C780" s="288">
        <v>4</v>
      </c>
      <c r="D780" s="287" t="s">
        <v>665</v>
      </c>
      <c r="E780" s="287" t="s">
        <v>409</v>
      </c>
      <c r="F780" s="287" t="s">
        <v>747</v>
      </c>
      <c r="G780" s="284">
        <v>138581</v>
      </c>
    </row>
    <row r="781" spans="1:7" x14ac:dyDescent="0.25">
      <c r="A781" s="287" t="s">
        <v>732</v>
      </c>
      <c r="B781" s="288">
        <v>2025</v>
      </c>
      <c r="C781" s="288">
        <v>5</v>
      </c>
      <c r="D781" s="287" t="s">
        <v>665</v>
      </c>
      <c r="E781" s="287" t="s">
        <v>409</v>
      </c>
      <c r="F781" s="287" t="s">
        <v>747</v>
      </c>
      <c r="G781" s="284">
        <v>138581</v>
      </c>
    </row>
    <row r="782" spans="1:7" x14ac:dyDescent="0.25">
      <c r="A782" s="287" t="s">
        <v>732</v>
      </c>
      <c r="B782" s="288">
        <v>2025</v>
      </c>
      <c r="C782" s="288">
        <v>6</v>
      </c>
      <c r="D782" s="287" t="s">
        <v>665</v>
      </c>
      <c r="E782" s="287" t="s">
        <v>409</v>
      </c>
      <c r="F782" s="287" t="s">
        <v>747</v>
      </c>
      <c r="G782" s="284">
        <v>138581</v>
      </c>
    </row>
    <row r="783" spans="1:7" x14ac:dyDescent="0.25">
      <c r="A783" s="287" t="s">
        <v>732</v>
      </c>
      <c r="B783" s="288">
        <v>2025</v>
      </c>
      <c r="C783" s="288">
        <v>7</v>
      </c>
      <c r="D783" s="287" t="s">
        <v>665</v>
      </c>
      <c r="E783" s="287" t="s">
        <v>409</v>
      </c>
      <c r="F783" s="287" t="s">
        <v>747</v>
      </c>
      <c r="G783" s="284">
        <v>138581</v>
      </c>
    </row>
    <row r="784" spans="1:7" x14ac:dyDescent="0.25">
      <c r="A784" s="287" t="s">
        <v>732</v>
      </c>
      <c r="B784" s="288">
        <v>2025</v>
      </c>
      <c r="C784" s="288">
        <v>8</v>
      </c>
      <c r="D784" s="287" t="s">
        <v>665</v>
      </c>
      <c r="E784" s="287" t="s">
        <v>409</v>
      </c>
      <c r="F784" s="287" t="s">
        <v>747</v>
      </c>
      <c r="G784" s="284">
        <v>138581</v>
      </c>
    </row>
    <row r="785" spans="1:7" x14ac:dyDescent="0.25">
      <c r="A785" s="287" t="s">
        <v>732</v>
      </c>
      <c r="B785" s="288">
        <v>2025</v>
      </c>
      <c r="C785" s="288">
        <v>0</v>
      </c>
      <c r="D785" s="287" t="s">
        <v>665</v>
      </c>
      <c r="E785" s="287" t="s">
        <v>410</v>
      </c>
      <c r="F785" s="287" t="s">
        <v>748</v>
      </c>
      <c r="G785" s="284">
        <v>-1860657.23</v>
      </c>
    </row>
    <row r="786" spans="1:7" x14ac:dyDescent="0.25">
      <c r="A786" s="287" t="s">
        <v>732</v>
      </c>
      <c r="B786" s="288">
        <v>2025</v>
      </c>
      <c r="C786" s="288">
        <v>1</v>
      </c>
      <c r="D786" s="287" t="s">
        <v>665</v>
      </c>
      <c r="E786" s="287" t="s">
        <v>410</v>
      </c>
      <c r="F786" s="287" t="s">
        <v>748</v>
      </c>
      <c r="G786" s="284">
        <v>203218.81</v>
      </c>
    </row>
    <row r="787" spans="1:7" x14ac:dyDescent="0.25">
      <c r="A787" s="287" t="s">
        <v>732</v>
      </c>
      <c r="B787" s="288">
        <v>2025</v>
      </c>
      <c r="C787" s="288">
        <v>2</v>
      </c>
      <c r="D787" s="287" t="s">
        <v>665</v>
      </c>
      <c r="E787" s="287" t="s">
        <v>410</v>
      </c>
      <c r="F787" s="287" t="s">
        <v>748</v>
      </c>
      <c r="G787" s="284">
        <v>-2031437.86</v>
      </c>
    </row>
    <row r="788" spans="1:7" x14ac:dyDescent="0.25">
      <c r="A788" s="287" t="s">
        <v>732</v>
      </c>
      <c r="B788" s="288">
        <v>2025</v>
      </c>
      <c r="C788" s="288">
        <v>3</v>
      </c>
      <c r="D788" s="287" t="s">
        <v>665</v>
      </c>
      <c r="E788" s="287" t="s">
        <v>410</v>
      </c>
      <c r="F788" s="287" t="s">
        <v>748</v>
      </c>
      <c r="G788" s="284">
        <v>-869961.17</v>
      </c>
    </row>
    <row r="789" spans="1:7" x14ac:dyDescent="0.25">
      <c r="A789" s="287" t="s">
        <v>732</v>
      </c>
      <c r="B789" s="288">
        <v>2025</v>
      </c>
      <c r="C789" s="288">
        <v>4</v>
      </c>
      <c r="D789" s="287" t="s">
        <v>665</v>
      </c>
      <c r="E789" s="287" t="s">
        <v>410</v>
      </c>
      <c r="F789" s="287" t="s">
        <v>748</v>
      </c>
      <c r="G789" s="284">
        <v>2642550.35</v>
      </c>
    </row>
    <row r="790" spans="1:7" x14ac:dyDescent="0.25">
      <c r="A790" s="287" t="s">
        <v>732</v>
      </c>
      <c r="B790" s="288">
        <v>2025</v>
      </c>
      <c r="C790" s="288">
        <v>5</v>
      </c>
      <c r="D790" s="287" t="s">
        <v>665</v>
      </c>
      <c r="E790" s="287" t="s">
        <v>410</v>
      </c>
      <c r="F790" s="287" t="s">
        <v>748</v>
      </c>
      <c r="G790" s="284">
        <v>70622.429999999993</v>
      </c>
    </row>
    <row r="791" spans="1:7" x14ac:dyDescent="0.25">
      <c r="A791" s="287" t="s">
        <v>732</v>
      </c>
      <c r="B791" s="288">
        <v>2025</v>
      </c>
      <c r="C791" s="288">
        <v>6</v>
      </c>
      <c r="D791" s="287" t="s">
        <v>665</v>
      </c>
      <c r="E791" s="287" t="s">
        <v>410</v>
      </c>
      <c r="F791" s="287" t="s">
        <v>748</v>
      </c>
      <c r="G791" s="284">
        <v>-277273.84999999998</v>
      </c>
    </row>
    <row r="792" spans="1:7" x14ac:dyDescent="0.25">
      <c r="A792" s="287" t="s">
        <v>732</v>
      </c>
      <c r="B792" s="288">
        <v>2025</v>
      </c>
      <c r="C792" s="288">
        <v>7</v>
      </c>
      <c r="D792" s="287" t="s">
        <v>665</v>
      </c>
      <c r="E792" s="287" t="s">
        <v>410</v>
      </c>
      <c r="F792" s="287" t="s">
        <v>748</v>
      </c>
      <c r="G792" s="284">
        <v>1145979.3</v>
      </c>
    </row>
    <row r="793" spans="1:7" x14ac:dyDescent="0.25">
      <c r="A793" s="287" t="s">
        <v>732</v>
      </c>
      <c r="B793" s="288">
        <v>2025</v>
      </c>
      <c r="C793" s="288">
        <v>8</v>
      </c>
      <c r="D793" s="287" t="s">
        <v>665</v>
      </c>
      <c r="E793" s="287" t="s">
        <v>410</v>
      </c>
      <c r="F793" s="287" t="s">
        <v>748</v>
      </c>
      <c r="G793" s="284">
        <v>177396.4</v>
      </c>
    </row>
    <row r="794" spans="1:7" x14ac:dyDescent="0.25">
      <c r="A794" s="287" t="s">
        <v>732</v>
      </c>
      <c r="B794" s="288">
        <v>2025</v>
      </c>
      <c r="C794" s="288">
        <v>0</v>
      </c>
      <c r="D794" s="287" t="s">
        <v>665</v>
      </c>
      <c r="E794" s="287" t="s">
        <v>411</v>
      </c>
      <c r="F794" s="287" t="s">
        <v>693</v>
      </c>
      <c r="G794" s="284">
        <v>-95195.26</v>
      </c>
    </row>
    <row r="795" spans="1:7" x14ac:dyDescent="0.25">
      <c r="A795" s="287" t="s">
        <v>732</v>
      </c>
      <c r="B795" s="288">
        <v>2025</v>
      </c>
      <c r="C795" s="288">
        <v>0</v>
      </c>
      <c r="D795" s="287" t="s">
        <v>665</v>
      </c>
      <c r="E795" s="287" t="s">
        <v>413</v>
      </c>
      <c r="F795" s="287" t="s">
        <v>694</v>
      </c>
      <c r="G795" s="284">
        <v>-12319127.57</v>
      </c>
    </row>
    <row r="796" spans="1:7" x14ac:dyDescent="0.25">
      <c r="A796" s="287" t="s">
        <v>732</v>
      </c>
      <c r="B796" s="288">
        <v>2025</v>
      </c>
      <c r="C796" s="288">
        <v>1</v>
      </c>
      <c r="D796" s="287" t="s">
        <v>665</v>
      </c>
      <c r="E796" s="287" t="s">
        <v>413</v>
      </c>
      <c r="F796" s="287" t="s">
        <v>694</v>
      </c>
      <c r="G796" s="284">
        <v>3245453.06</v>
      </c>
    </row>
    <row r="797" spans="1:7" x14ac:dyDescent="0.25">
      <c r="A797" s="287" t="s">
        <v>732</v>
      </c>
      <c r="B797" s="288">
        <v>2025</v>
      </c>
      <c r="C797" s="288">
        <v>2</v>
      </c>
      <c r="D797" s="287" t="s">
        <v>665</v>
      </c>
      <c r="E797" s="287" t="s">
        <v>413</v>
      </c>
      <c r="F797" s="287" t="s">
        <v>694</v>
      </c>
      <c r="G797" s="284">
        <v>2156149.7599999998</v>
      </c>
    </row>
    <row r="798" spans="1:7" x14ac:dyDescent="0.25">
      <c r="A798" s="287" t="s">
        <v>732</v>
      </c>
      <c r="B798" s="288">
        <v>2025</v>
      </c>
      <c r="C798" s="288">
        <v>3</v>
      </c>
      <c r="D798" s="287" t="s">
        <v>665</v>
      </c>
      <c r="E798" s="287" t="s">
        <v>413</v>
      </c>
      <c r="F798" s="287" t="s">
        <v>694</v>
      </c>
      <c r="G798" s="284">
        <v>290718.23</v>
      </c>
    </row>
    <row r="799" spans="1:7" x14ac:dyDescent="0.25">
      <c r="A799" s="287" t="s">
        <v>732</v>
      </c>
      <c r="B799" s="288">
        <v>2025</v>
      </c>
      <c r="C799" s="288">
        <v>4</v>
      </c>
      <c r="D799" s="287" t="s">
        <v>665</v>
      </c>
      <c r="E799" s="287" t="s">
        <v>413</v>
      </c>
      <c r="F799" s="287" t="s">
        <v>694</v>
      </c>
      <c r="G799" s="284">
        <v>-215842.1</v>
      </c>
    </row>
    <row r="800" spans="1:7" x14ac:dyDescent="0.25">
      <c r="A800" s="287" t="s">
        <v>732</v>
      </c>
      <c r="B800" s="288">
        <v>2025</v>
      </c>
      <c r="C800" s="288">
        <v>5</v>
      </c>
      <c r="D800" s="287" t="s">
        <v>665</v>
      </c>
      <c r="E800" s="287" t="s">
        <v>413</v>
      </c>
      <c r="F800" s="287" t="s">
        <v>694</v>
      </c>
      <c r="G800" s="284">
        <v>-642552.77</v>
      </c>
    </row>
    <row r="801" spans="1:7" x14ac:dyDescent="0.25">
      <c r="A801" s="287" t="s">
        <v>732</v>
      </c>
      <c r="B801" s="288">
        <v>2025</v>
      </c>
      <c r="C801" s="288">
        <v>6</v>
      </c>
      <c r="D801" s="287" t="s">
        <v>665</v>
      </c>
      <c r="E801" s="287" t="s">
        <v>413</v>
      </c>
      <c r="F801" s="287" t="s">
        <v>694</v>
      </c>
      <c r="G801" s="284">
        <v>1536.3</v>
      </c>
    </row>
    <row r="802" spans="1:7" x14ac:dyDescent="0.25">
      <c r="A802" s="287" t="s">
        <v>732</v>
      </c>
      <c r="B802" s="288">
        <v>2025</v>
      </c>
      <c r="C802" s="288">
        <v>7</v>
      </c>
      <c r="D802" s="287" t="s">
        <v>665</v>
      </c>
      <c r="E802" s="287" t="s">
        <v>413</v>
      </c>
      <c r="F802" s="287" t="s">
        <v>694</v>
      </c>
      <c r="G802" s="284">
        <v>-2060443.19</v>
      </c>
    </row>
    <row r="803" spans="1:7" x14ac:dyDescent="0.25">
      <c r="A803" s="287" t="s">
        <v>732</v>
      </c>
      <c r="B803" s="288">
        <v>2025</v>
      </c>
      <c r="C803" s="288">
        <v>8</v>
      </c>
      <c r="D803" s="287" t="s">
        <v>665</v>
      </c>
      <c r="E803" s="287" t="s">
        <v>413</v>
      </c>
      <c r="F803" s="287" t="s">
        <v>694</v>
      </c>
      <c r="G803" s="284">
        <v>132191.67999999999</v>
      </c>
    </row>
    <row r="804" spans="1:7" x14ac:dyDescent="0.25">
      <c r="A804" s="287" t="s">
        <v>732</v>
      </c>
      <c r="B804" s="288">
        <v>2025</v>
      </c>
      <c r="C804" s="288">
        <v>0</v>
      </c>
      <c r="D804" s="287" t="s">
        <v>665</v>
      </c>
      <c r="E804" s="287" t="s">
        <v>414</v>
      </c>
      <c r="F804" s="287" t="s">
        <v>724</v>
      </c>
      <c r="G804" s="284">
        <v>-7647769.6600000001</v>
      </c>
    </row>
    <row r="805" spans="1:7" x14ac:dyDescent="0.25">
      <c r="A805" s="287" t="s">
        <v>732</v>
      </c>
      <c r="B805" s="288">
        <v>2025</v>
      </c>
      <c r="C805" s="288">
        <v>1</v>
      </c>
      <c r="D805" s="287" t="s">
        <v>665</v>
      </c>
      <c r="E805" s="287" t="s">
        <v>414</v>
      </c>
      <c r="F805" s="287" t="s">
        <v>724</v>
      </c>
      <c r="G805" s="284">
        <v>28591.09</v>
      </c>
    </row>
    <row r="806" spans="1:7" x14ac:dyDescent="0.25">
      <c r="A806" s="287" t="s">
        <v>732</v>
      </c>
      <c r="B806" s="288">
        <v>2025</v>
      </c>
      <c r="C806" s="288">
        <v>2</v>
      </c>
      <c r="D806" s="287" t="s">
        <v>665</v>
      </c>
      <c r="E806" s="287" t="s">
        <v>414</v>
      </c>
      <c r="F806" s="287" t="s">
        <v>724</v>
      </c>
      <c r="G806" s="284">
        <v>27502.6</v>
      </c>
    </row>
    <row r="807" spans="1:7" x14ac:dyDescent="0.25">
      <c r="A807" s="287" t="s">
        <v>732</v>
      </c>
      <c r="B807" s="288">
        <v>2025</v>
      </c>
      <c r="C807" s="288">
        <v>3</v>
      </c>
      <c r="D807" s="287" t="s">
        <v>665</v>
      </c>
      <c r="E807" s="287" t="s">
        <v>414</v>
      </c>
      <c r="F807" s="287" t="s">
        <v>724</v>
      </c>
      <c r="G807" s="284">
        <v>-84605.55</v>
      </c>
    </row>
    <row r="808" spans="1:7" x14ac:dyDescent="0.25">
      <c r="A808" s="287" t="s">
        <v>732</v>
      </c>
      <c r="B808" s="288">
        <v>2025</v>
      </c>
      <c r="C808" s="288">
        <v>4</v>
      </c>
      <c r="D808" s="287" t="s">
        <v>665</v>
      </c>
      <c r="E808" s="287" t="s">
        <v>414</v>
      </c>
      <c r="F808" s="287" t="s">
        <v>724</v>
      </c>
      <c r="G808" s="284">
        <v>21336.13</v>
      </c>
    </row>
    <row r="809" spans="1:7" x14ac:dyDescent="0.25">
      <c r="A809" s="287" t="s">
        <v>732</v>
      </c>
      <c r="B809" s="288">
        <v>2025</v>
      </c>
      <c r="C809" s="288">
        <v>5</v>
      </c>
      <c r="D809" s="287" t="s">
        <v>665</v>
      </c>
      <c r="E809" s="287" t="s">
        <v>414</v>
      </c>
      <c r="F809" s="287" t="s">
        <v>724</v>
      </c>
      <c r="G809" s="284">
        <v>11435.69</v>
      </c>
    </row>
    <row r="810" spans="1:7" x14ac:dyDescent="0.25">
      <c r="A810" s="287" t="s">
        <v>732</v>
      </c>
      <c r="B810" s="288">
        <v>2025</v>
      </c>
      <c r="C810" s="288">
        <v>6</v>
      </c>
      <c r="D810" s="287" t="s">
        <v>665</v>
      </c>
      <c r="E810" s="287" t="s">
        <v>414</v>
      </c>
      <c r="F810" s="287" t="s">
        <v>724</v>
      </c>
      <c r="G810" s="284">
        <v>-29059.040000000001</v>
      </c>
    </row>
    <row r="811" spans="1:7" x14ac:dyDescent="0.25">
      <c r="A811" s="287" t="s">
        <v>732</v>
      </c>
      <c r="B811" s="288">
        <v>2025</v>
      </c>
      <c r="C811" s="288">
        <v>7</v>
      </c>
      <c r="D811" s="287" t="s">
        <v>665</v>
      </c>
      <c r="E811" s="287" t="s">
        <v>414</v>
      </c>
      <c r="F811" s="287" t="s">
        <v>724</v>
      </c>
      <c r="G811" s="284">
        <v>8667.7900000000009</v>
      </c>
    </row>
    <row r="812" spans="1:7" x14ac:dyDescent="0.25">
      <c r="A812" s="287" t="s">
        <v>732</v>
      </c>
      <c r="B812" s="288">
        <v>2025</v>
      </c>
      <c r="C812" s="288">
        <v>8</v>
      </c>
      <c r="D812" s="287" t="s">
        <v>665</v>
      </c>
      <c r="E812" s="287" t="s">
        <v>414</v>
      </c>
      <c r="F812" s="287" t="s">
        <v>724</v>
      </c>
      <c r="G812" s="284">
        <v>4210.55</v>
      </c>
    </row>
    <row r="813" spans="1:7" x14ac:dyDescent="0.25">
      <c r="A813" s="287" t="s">
        <v>732</v>
      </c>
      <c r="B813" s="288">
        <v>2025</v>
      </c>
      <c r="C813" s="288">
        <v>0</v>
      </c>
      <c r="D813" s="287" t="s">
        <v>665</v>
      </c>
      <c r="E813" s="287" t="s">
        <v>416</v>
      </c>
      <c r="F813" s="287" t="s">
        <v>726</v>
      </c>
      <c r="G813" s="284">
        <v>-17882664</v>
      </c>
    </row>
    <row r="814" spans="1:7" x14ac:dyDescent="0.25">
      <c r="A814" s="287" t="s">
        <v>732</v>
      </c>
      <c r="B814" s="288">
        <v>2025</v>
      </c>
      <c r="C814" s="288">
        <v>1</v>
      </c>
      <c r="D814" s="287" t="s">
        <v>665</v>
      </c>
      <c r="E814" s="287" t="s">
        <v>416</v>
      </c>
      <c r="F814" s="287" t="s">
        <v>726</v>
      </c>
      <c r="G814" s="284">
        <v>-57055.89</v>
      </c>
    </row>
    <row r="815" spans="1:7" x14ac:dyDescent="0.25">
      <c r="A815" s="287" t="s">
        <v>732</v>
      </c>
      <c r="B815" s="288">
        <v>2025</v>
      </c>
      <c r="C815" s="288">
        <v>2</v>
      </c>
      <c r="D815" s="287" t="s">
        <v>665</v>
      </c>
      <c r="E815" s="287" t="s">
        <v>416</v>
      </c>
      <c r="F815" s="287" t="s">
        <v>726</v>
      </c>
      <c r="G815" s="284">
        <v>-280206.51</v>
      </c>
    </row>
    <row r="816" spans="1:7" x14ac:dyDescent="0.25">
      <c r="A816" s="287" t="s">
        <v>732</v>
      </c>
      <c r="B816" s="288">
        <v>2025</v>
      </c>
      <c r="C816" s="288">
        <v>3</v>
      </c>
      <c r="D816" s="287" t="s">
        <v>665</v>
      </c>
      <c r="E816" s="287" t="s">
        <v>416</v>
      </c>
      <c r="F816" s="287" t="s">
        <v>726</v>
      </c>
      <c r="G816" s="284">
        <v>-268836.47999999998</v>
      </c>
    </row>
    <row r="817" spans="1:7" x14ac:dyDescent="0.25">
      <c r="A817" s="287" t="s">
        <v>732</v>
      </c>
      <c r="B817" s="288">
        <v>2025</v>
      </c>
      <c r="C817" s="288">
        <v>4</v>
      </c>
      <c r="D817" s="287" t="s">
        <v>665</v>
      </c>
      <c r="E817" s="287" t="s">
        <v>416</v>
      </c>
      <c r="F817" s="287" t="s">
        <v>726</v>
      </c>
      <c r="G817" s="284">
        <v>-113841.44</v>
      </c>
    </row>
    <row r="818" spans="1:7" x14ac:dyDescent="0.25">
      <c r="A818" s="287" t="s">
        <v>732</v>
      </c>
      <c r="B818" s="288">
        <v>2025</v>
      </c>
      <c r="C818" s="288">
        <v>5</v>
      </c>
      <c r="D818" s="287" t="s">
        <v>665</v>
      </c>
      <c r="E818" s="287" t="s">
        <v>416</v>
      </c>
      <c r="F818" s="287" t="s">
        <v>726</v>
      </c>
      <c r="G818" s="284">
        <v>-310401.24</v>
      </c>
    </row>
    <row r="819" spans="1:7" x14ac:dyDescent="0.25">
      <c r="A819" s="287" t="s">
        <v>732</v>
      </c>
      <c r="B819" s="288">
        <v>2025</v>
      </c>
      <c r="C819" s="288">
        <v>6</v>
      </c>
      <c r="D819" s="287" t="s">
        <v>665</v>
      </c>
      <c r="E819" s="287" t="s">
        <v>416</v>
      </c>
      <c r="F819" s="287" t="s">
        <v>726</v>
      </c>
      <c r="G819" s="284">
        <v>-17944.43</v>
      </c>
    </row>
    <row r="820" spans="1:7" x14ac:dyDescent="0.25">
      <c r="A820" s="287" t="s">
        <v>732</v>
      </c>
      <c r="B820" s="288">
        <v>2025</v>
      </c>
      <c r="C820" s="288">
        <v>7</v>
      </c>
      <c r="D820" s="287" t="s">
        <v>665</v>
      </c>
      <c r="E820" s="287" t="s">
        <v>416</v>
      </c>
      <c r="F820" s="287" t="s">
        <v>726</v>
      </c>
      <c r="G820" s="284">
        <v>-23591.39</v>
      </c>
    </row>
    <row r="821" spans="1:7" x14ac:dyDescent="0.25">
      <c r="A821" s="287" t="s">
        <v>732</v>
      </c>
      <c r="B821" s="288">
        <v>2025</v>
      </c>
      <c r="C821" s="288">
        <v>8</v>
      </c>
      <c r="D821" s="287" t="s">
        <v>665</v>
      </c>
      <c r="E821" s="287" t="s">
        <v>416</v>
      </c>
      <c r="F821" s="287" t="s">
        <v>726</v>
      </c>
      <c r="G821" s="284">
        <v>8803.34</v>
      </c>
    </row>
    <row r="822" spans="1:7" x14ac:dyDescent="0.25">
      <c r="A822" s="287" t="s">
        <v>732</v>
      </c>
      <c r="B822" s="288">
        <v>2025</v>
      </c>
      <c r="C822" s="288">
        <v>0</v>
      </c>
      <c r="D822" s="287" t="s">
        <v>665</v>
      </c>
      <c r="E822" s="287" t="s">
        <v>417</v>
      </c>
      <c r="F822" s="287" t="s">
        <v>749</v>
      </c>
      <c r="G822" s="284">
        <v>-413968.08</v>
      </c>
    </row>
    <row r="823" spans="1:7" x14ac:dyDescent="0.25">
      <c r="A823" s="287" t="s">
        <v>732</v>
      </c>
      <c r="B823" s="288">
        <v>2025</v>
      </c>
      <c r="C823" s="288">
        <v>1</v>
      </c>
      <c r="D823" s="287" t="s">
        <v>665</v>
      </c>
      <c r="E823" s="287" t="s">
        <v>417</v>
      </c>
      <c r="F823" s="287" t="s">
        <v>749</v>
      </c>
      <c r="G823" s="284">
        <v>413968.07</v>
      </c>
    </row>
    <row r="824" spans="1:7" x14ac:dyDescent="0.25">
      <c r="A824" s="287" t="s">
        <v>732</v>
      </c>
      <c r="B824" s="288">
        <v>2025</v>
      </c>
      <c r="C824" s="288">
        <v>0</v>
      </c>
      <c r="D824" s="287" t="s">
        <v>665</v>
      </c>
      <c r="E824" s="287" t="s">
        <v>418</v>
      </c>
      <c r="F824" s="287" t="s">
        <v>666</v>
      </c>
      <c r="G824" s="284">
        <v>-634249.76</v>
      </c>
    </row>
    <row r="825" spans="1:7" x14ac:dyDescent="0.25">
      <c r="A825" s="287" t="s">
        <v>732</v>
      </c>
      <c r="B825" s="288">
        <v>2025</v>
      </c>
      <c r="C825" s="288">
        <v>3</v>
      </c>
      <c r="D825" s="287" t="s">
        <v>665</v>
      </c>
      <c r="E825" s="287" t="s">
        <v>418</v>
      </c>
      <c r="F825" s="287" t="s">
        <v>666</v>
      </c>
      <c r="G825" s="284">
        <v>-4096.67</v>
      </c>
    </row>
    <row r="826" spans="1:7" x14ac:dyDescent="0.25">
      <c r="A826" s="287" t="s">
        <v>732</v>
      </c>
      <c r="B826" s="288">
        <v>2025</v>
      </c>
      <c r="C826" s="288">
        <v>6</v>
      </c>
      <c r="D826" s="287" t="s">
        <v>665</v>
      </c>
      <c r="E826" s="287" t="s">
        <v>418</v>
      </c>
      <c r="F826" s="287" t="s">
        <v>666</v>
      </c>
      <c r="G826" s="284">
        <v>-4096.67</v>
      </c>
    </row>
    <row r="827" spans="1:7" x14ac:dyDescent="0.25">
      <c r="A827" s="287" t="s">
        <v>732</v>
      </c>
      <c r="B827" s="288">
        <v>2025</v>
      </c>
      <c r="C827" s="288">
        <v>8</v>
      </c>
      <c r="D827" s="287" t="s">
        <v>665</v>
      </c>
      <c r="E827" s="287" t="s">
        <v>418</v>
      </c>
      <c r="F827" s="287" t="s">
        <v>666</v>
      </c>
      <c r="G827" s="284">
        <v>-2731.11</v>
      </c>
    </row>
    <row r="828" spans="1:7" x14ac:dyDescent="0.25">
      <c r="A828" s="287" t="s">
        <v>732</v>
      </c>
      <c r="B828" s="288">
        <v>2025</v>
      </c>
      <c r="C828" s="288">
        <v>0</v>
      </c>
      <c r="D828" s="287" t="s">
        <v>665</v>
      </c>
      <c r="E828" s="287" t="s">
        <v>419</v>
      </c>
      <c r="F828" s="287" t="s">
        <v>695</v>
      </c>
      <c r="G828" s="284">
        <v>-12593397.890000001</v>
      </c>
    </row>
    <row r="829" spans="1:7" x14ac:dyDescent="0.25">
      <c r="A829" s="287" t="s">
        <v>732</v>
      </c>
      <c r="B829" s="288">
        <v>2025</v>
      </c>
      <c r="C829" s="288">
        <v>1</v>
      </c>
      <c r="D829" s="287" t="s">
        <v>665</v>
      </c>
      <c r="E829" s="287" t="s">
        <v>419</v>
      </c>
      <c r="F829" s="287" t="s">
        <v>695</v>
      </c>
      <c r="G829" s="284">
        <v>32917.5</v>
      </c>
    </row>
    <row r="830" spans="1:7" x14ac:dyDescent="0.25">
      <c r="A830" s="287" t="s">
        <v>732</v>
      </c>
      <c r="B830" s="288">
        <v>2025</v>
      </c>
      <c r="C830" s="288">
        <v>2</v>
      </c>
      <c r="D830" s="287" t="s">
        <v>665</v>
      </c>
      <c r="E830" s="287" t="s">
        <v>419</v>
      </c>
      <c r="F830" s="287" t="s">
        <v>695</v>
      </c>
      <c r="G830" s="284">
        <v>32917.5</v>
      </c>
    </row>
    <row r="831" spans="1:7" x14ac:dyDescent="0.25">
      <c r="A831" s="287" t="s">
        <v>732</v>
      </c>
      <c r="B831" s="288">
        <v>2025</v>
      </c>
      <c r="C831" s="288">
        <v>3</v>
      </c>
      <c r="D831" s="287" t="s">
        <v>665</v>
      </c>
      <c r="E831" s="287" t="s">
        <v>419</v>
      </c>
      <c r="F831" s="287" t="s">
        <v>695</v>
      </c>
      <c r="G831" s="284">
        <v>32917.5</v>
      </c>
    </row>
    <row r="832" spans="1:7" x14ac:dyDescent="0.25">
      <c r="A832" s="287" t="s">
        <v>732</v>
      </c>
      <c r="B832" s="288">
        <v>2025</v>
      </c>
      <c r="C832" s="288">
        <v>4</v>
      </c>
      <c r="D832" s="287" t="s">
        <v>665</v>
      </c>
      <c r="E832" s="287" t="s">
        <v>419</v>
      </c>
      <c r="F832" s="287" t="s">
        <v>695</v>
      </c>
      <c r="G832" s="284">
        <v>32917.5</v>
      </c>
    </row>
    <row r="833" spans="1:7" x14ac:dyDescent="0.25">
      <c r="A833" s="287" t="s">
        <v>732</v>
      </c>
      <c r="B833" s="288">
        <v>2025</v>
      </c>
      <c r="C833" s="288">
        <v>5</v>
      </c>
      <c r="D833" s="287" t="s">
        <v>665</v>
      </c>
      <c r="E833" s="287" t="s">
        <v>419</v>
      </c>
      <c r="F833" s="287" t="s">
        <v>695</v>
      </c>
      <c r="G833" s="284">
        <v>32917.5</v>
      </c>
    </row>
    <row r="834" spans="1:7" x14ac:dyDescent="0.25">
      <c r="A834" s="287" t="s">
        <v>732</v>
      </c>
      <c r="B834" s="288">
        <v>2025</v>
      </c>
      <c r="C834" s="288">
        <v>6</v>
      </c>
      <c r="D834" s="287" t="s">
        <v>665</v>
      </c>
      <c r="E834" s="287" t="s">
        <v>419</v>
      </c>
      <c r="F834" s="287" t="s">
        <v>695</v>
      </c>
      <c r="G834" s="284">
        <v>32917.5</v>
      </c>
    </row>
    <row r="835" spans="1:7" x14ac:dyDescent="0.25">
      <c r="A835" s="287" t="s">
        <v>732</v>
      </c>
      <c r="B835" s="288">
        <v>2025</v>
      </c>
      <c r="C835" s="288">
        <v>7</v>
      </c>
      <c r="D835" s="287" t="s">
        <v>665</v>
      </c>
      <c r="E835" s="287" t="s">
        <v>419</v>
      </c>
      <c r="F835" s="287" t="s">
        <v>695</v>
      </c>
      <c r="G835" s="284">
        <v>32917.5</v>
      </c>
    </row>
    <row r="836" spans="1:7" x14ac:dyDescent="0.25">
      <c r="A836" s="287" t="s">
        <v>732</v>
      </c>
      <c r="B836" s="288">
        <v>2025</v>
      </c>
      <c r="C836" s="288">
        <v>8</v>
      </c>
      <c r="D836" s="287" t="s">
        <v>665</v>
      </c>
      <c r="E836" s="287" t="s">
        <v>419</v>
      </c>
      <c r="F836" s="287" t="s">
        <v>695</v>
      </c>
      <c r="G836" s="284">
        <v>32917.5</v>
      </c>
    </row>
    <row r="837" spans="1:7" x14ac:dyDescent="0.25">
      <c r="A837" s="287" t="s">
        <v>732</v>
      </c>
      <c r="B837" s="288">
        <v>2025</v>
      </c>
      <c r="C837" s="288">
        <v>0</v>
      </c>
      <c r="D837" s="287" t="s">
        <v>665</v>
      </c>
      <c r="E837" s="287" t="s">
        <v>420</v>
      </c>
      <c r="F837" s="287" t="s">
        <v>727</v>
      </c>
      <c r="G837" s="284">
        <v>-304783.59000000003</v>
      </c>
    </row>
    <row r="838" spans="1:7" x14ac:dyDescent="0.25">
      <c r="A838" s="287" t="s">
        <v>732</v>
      </c>
      <c r="B838" s="288">
        <v>2025</v>
      </c>
      <c r="C838" s="288">
        <v>3</v>
      </c>
      <c r="D838" s="287" t="s">
        <v>665</v>
      </c>
      <c r="E838" s="287" t="s">
        <v>420</v>
      </c>
      <c r="F838" s="287" t="s">
        <v>727</v>
      </c>
      <c r="G838" s="284">
        <v>-288257.55</v>
      </c>
    </row>
    <row r="839" spans="1:7" x14ac:dyDescent="0.25">
      <c r="A839" s="287" t="s">
        <v>732</v>
      </c>
      <c r="B839" s="288">
        <v>2025</v>
      </c>
      <c r="C839" s="288">
        <v>6</v>
      </c>
      <c r="D839" s="287" t="s">
        <v>665</v>
      </c>
      <c r="E839" s="287" t="s">
        <v>420</v>
      </c>
      <c r="F839" s="287" t="s">
        <v>727</v>
      </c>
      <c r="G839" s="284">
        <v>-288257.55</v>
      </c>
    </row>
    <row r="840" spans="1:7" x14ac:dyDescent="0.25">
      <c r="A840" s="287" t="s">
        <v>732</v>
      </c>
      <c r="B840" s="288">
        <v>2025</v>
      </c>
      <c r="C840" s="288">
        <v>8</v>
      </c>
      <c r="D840" s="287" t="s">
        <v>665</v>
      </c>
      <c r="E840" s="287" t="s">
        <v>420</v>
      </c>
      <c r="F840" s="287" t="s">
        <v>727</v>
      </c>
      <c r="G840" s="284">
        <v>-192171.7</v>
      </c>
    </row>
    <row r="841" spans="1:7" x14ac:dyDescent="0.25">
      <c r="A841" s="287" t="s">
        <v>732</v>
      </c>
      <c r="B841" s="288">
        <v>2025</v>
      </c>
      <c r="C841" s="288">
        <v>0</v>
      </c>
      <c r="D841" s="287" t="s">
        <v>665</v>
      </c>
      <c r="E841" s="287" t="s">
        <v>421</v>
      </c>
      <c r="F841" s="287" t="s">
        <v>728</v>
      </c>
      <c r="G841" s="284">
        <v>-11223289.68</v>
      </c>
    </row>
    <row r="842" spans="1:7" x14ac:dyDescent="0.25">
      <c r="A842" s="287" t="s">
        <v>732</v>
      </c>
      <c r="B842" s="288">
        <v>2025</v>
      </c>
      <c r="C842" s="288">
        <v>3</v>
      </c>
      <c r="D842" s="287" t="s">
        <v>665</v>
      </c>
      <c r="E842" s="287" t="s">
        <v>421</v>
      </c>
      <c r="F842" s="287" t="s">
        <v>728</v>
      </c>
      <c r="G842" s="284">
        <v>-32303.94</v>
      </c>
    </row>
    <row r="843" spans="1:7" x14ac:dyDescent="0.25">
      <c r="A843" s="287" t="s">
        <v>732</v>
      </c>
      <c r="B843" s="288">
        <v>2025</v>
      </c>
      <c r="C843" s="288">
        <v>6</v>
      </c>
      <c r="D843" s="287" t="s">
        <v>665</v>
      </c>
      <c r="E843" s="287" t="s">
        <v>421</v>
      </c>
      <c r="F843" s="287" t="s">
        <v>728</v>
      </c>
      <c r="G843" s="284">
        <v>-32303.94</v>
      </c>
    </row>
    <row r="844" spans="1:7" x14ac:dyDescent="0.25">
      <c r="A844" s="287" t="s">
        <v>732</v>
      </c>
      <c r="B844" s="288">
        <v>2025</v>
      </c>
      <c r="C844" s="288">
        <v>8</v>
      </c>
      <c r="D844" s="287" t="s">
        <v>665</v>
      </c>
      <c r="E844" s="287" t="s">
        <v>421</v>
      </c>
      <c r="F844" s="287" t="s">
        <v>728</v>
      </c>
      <c r="G844" s="284">
        <v>-21535.95</v>
      </c>
    </row>
    <row r="845" spans="1:7" x14ac:dyDescent="0.25">
      <c r="A845" s="287" t="s">
        <v>732</v>
      </c>
      <c r="B845" s="288">
        <v>2025</v>
      </c>
      <c r="C845" s="288">
        <v>0</v>
      </c>
      <c r="D845" s="287" t="s">
        <v>665</v>
      </c>
      <c r="E845" s="287" t="s">
        <v>423</v>
      </c>
      <c r="F845" s="287" t="s">
        <v>730</v>
      </c>
      <c r="G845" s="284">
        <v>-672590.28</v>
      </c>
    </row>
    <row r="846" spans="1:7" x14ac:dyDescent="0.25">
      <c r="A846" s="287" t="s">
        <v>732</v>
      </c>
      <c r="B846" s="288">
        <v>2025</v>
      </c>
      <c r="C846" s="288">
        <v>1</v>
      </c>
      <c r="D846" s="287" t="s">
        <v>665</v>
      </c>
      <c r="E846" s="287" t="s">
        <v>423</v>
      </c>
      <c r="F846" s="287" t="s">
        <v>730</v>
      </c>
      <c r="G846" s="284">
        <v>3078.92</v>
      </c>
    </row>
    <row r="847" spans="1:7" x14ac:dyDescent="0.25">
      <c r="A847" s="287" t="s">
        <v>732</v>
      </c>
      <c r="B847" s="288">
        <v>2025</v>
      </c>
      <c r="C847" s="288">
        <v>2</v>
      </c>
      <c r="D847" s="287" t="s">
        <v>665</v>
      </c>
      <c r="E847" s="287" t="s">
        <v>423</v>
      </c>
      <c r="F847" s="287" t="s">
        <v>730</v>
      </c>
      <c r="G847" s="284">
        <v>3078.93</v>
      </c>
    </row>
    <row r="848" spans="1:7" x14ac:dyDescent="0.25">
      <c r="A848" s="287" t="s">
        <v>732</v>
      </c>
      <c r="B848" s="288">
        <v>2025</v>
      </c>
      <c r="C848" s="288">
        <v>3</v>
      </c>
      <c r="D848" s="287" t="s">
        <v>665</v>
      </c>
      <c r="E848" s="287" t="s">
        <v>423</v>
      </c>
      <c r="F848" s="287" t="s">
        <v>730</v>
      </c>
      <c r="G848" s="284">
        <v>3078.92</v>
      </c>
    </row>
    <row r="849" spans="1:7" x14ac:dyDescent="0.25">
      <c r="A849" s="287" t="s">
        <v>732</v>
      </c>
      <c r="B849" s="288">
        <v>2025</v>
      </c>
      <c r="C849" s="288">
        <v>4</v>
      </c>
      <c r="D849" s="287" t="s">
        <v>665</v>
      </c>
      <c r="E849" s="287" t="s">
        <v>423</v>
      </c>
      <c r="F849" s="287" t="s">
        <v>730</v>
      </c>
      <c r="G849" s="284">
        <v>3078.92</v>
      </c>
    </row>
    <row r="850" spans="1:7" x14ac:dyDescent="0.25">
      <c r="A850" s="287" t="s">
        <v>732</v>
      </c>
      <c r="B850" s="288">
        <v>2025</v>
      </c>
      <c r="C850" s="288">
        <v>5</v>
      </c>
      <c r="D850" s="287" t="s">
        <v>665</v>
      </c>
      <c r="E850" s="287" t="s">
        <v>423</v>
      </c>
      <c r="F850" s="287" t="s">
        <v>730</v>
      </c>
      <c r="G850" s="284">
        <v>3078.92</v>
      </c>
    </row>
    <row r="851" spans="1:7" x14ac:dyDescent="0.25">
      <c r="A851" s="287" t="s">
        <v>732</v>
      </c>
      <c r="B851" s="288">
        <v>2025</v>
      </c>
      <c r="C851" s="288">
        <v>6</v>
      </c>
      <c r="D851" s="287" t="s">
        <v>665</v>
      </c>
      <c r="E851" s="287" t="s">
        <v>423</v>
      </c>
      <c r="F851" s="287" t="s">
        <v>730</v>
      </c>
      <c r="G851" s="284">
        <v>3078.93</v>
      </c>
    </row>
    <row r="852" spans="1:7" x14ac:dyDescent="0.25">
      <c r="A852" s="287" t="s">
        <v>732</v>
      </c>
      <c r="B852" s="288">
        <v>2025</v>
      </c>
      <c r="C852" s="288">
        <v>7</v>
      </c>
      <c r="D852" s="287" t="s">
        <v>665</v>
      </c>
      <c r="E852" s="287" t="s">
        <v>423</v>
      </c>
      <c r="F852" s="287" t="s">
        <v>730</v>
      </c>
      <c r="G852" s="284">
        <v>3078.92</v>
      </c>
    </row>
    <row r="853" spans="1:7" x14ac:dyDescent="0.25">
      <c r="A853" s="287" t="s">
        <v>732</v>
      </c>
      <c r="B853" s="288">
        <v>2025</v>
      </c>
      <c r="C853" s="288">
        <v>8</v>
      </c>
      <c r="D853" s="287" t="s">
        <v>665</v>
      </c>
      <c r="E853" s="287" t="s">
        <v>423</v>
      </c>
      <c r="F853" s="287" t="s">
        <v>730</v>
      </c>
      <c r="G853" s="284">
        <v>3078.92</v>
      </c>
    </row>
    <row r="854" spans="1:7" x14ac:dyDescent="0.25">
      <c r="A854" s="287" t="s">
        <v>732</v>
      </c>
      <c r="B854" s="288">
        <v>2025</v>
      </c>
      <c r="C854" s="288">
        <v>0</v>
      </c>
      <c r="D854" s="287" t="s">
        <v>665</v>
      </c>
      <c r="E854" s="287" t="s">
        <v>425</v>
      </c>
      <c r="F854" s="287" t="s">
        <v>731</v>
      </c>
      <c r="G854" s="284">
        <v>-2683270.85</v>
      </c>
    </row>
    <row r="855" spans="1:7" x14ac:dyDescent="0.25">
      <c r="A855" s="287" t="s">
        <v>732</v>
      </c>
      <c r="B855" s="288">
        <v>2025</v>
      </c>
      <c r="C855" s="288">
        <v>1</v>
      </c>
      <c r="D855" s="287" t="s">
        <v>665</v>
      </c>
      <c r="E855" s="287" t="s">
        <v>425</v>
      </c>
      <c r="F855" s="287" t="s">
        <v>731</v>
      </c>
      <c r="G855" s="284">
        <v>-65318.81</v>
      </c>
    </row>
    <row r="856" spans="1:7" x14ac:dyDescent="0.25">
      <c r="A856" s="287" t="s">
        <v>732</v>
      </c>
      <c r="B856" s="288">
        <v>2025</v>
      </c>
      <c r="C856" s="288">
        <v>2</v>
      </c>
      <c r="D856" s="287" t="s">
        <v>665</v>
      </c>
      <c r="E856" s="287" t="s">
        <v>425</v>
      </c>
      <c r="F856" s="287" t="s">
        <v>731</v>
      </c>
      <c r="G856" s="284">
        <v>-21683.200000000001</v>
      </c>
    </row>
    <row r="857" spans="1:7" x14ac:dyDescent="0.25">
      <c r="A857" s="287" t="s">
        <v>732</v>
      </c>
      <c r="B857" s="288">
        <v>2025</v>
      </c>
      <c r="C857" s="288">
        <v>3</v>
      </c>
      <c r="D857" s="287" t="s">
        <v>665</v>
      </c>
      <c r="E857" s="287" t="s">
        <v>425</v>
      </c>
      <c r="F857" s="287" t="s">
        <v>731</v>
      </c>
      <c r="G857" s="284">
        <v>-309319.2</v>
      </c>
    </row>
    <row r="858" spans="1:7" x14ac:dyDescent="0.25">
      <c r="A858" s="287" t="s">
        <v>732</v>
      </c>
      <c r="B858" s="288">
        <v>2025</v>
      </c>
      <c r="C858" s="288">
        <v>4</v>
      </c>
      <c r="D858" s="287" t="s">
        <v>665</v>
      </c>
      <c r="E858" s="287" t="s">
        <v>425</v>
      </c>
      <c r="F858" s="287" t="s">
        <v>731</v>
      </c>
      <c r="G858" s="284">
        <v>-30697.55</v>
      </c>
    </row>
    <row r="859" spans="1:7" x14ac:dyDescent="0.25">
      <c r="A859" s="287" t="s">
        <v>732</v>
      </c>
      <c r="B859" s="288">
        <v>2025</v>
      </c>
      <c r="C859" s="288">
        <v>5</v>
      </c>
      <c r="D859" s="287" t="s">
        <v>665</v>
      </c>
      <c r="E859" s="287" t="s">
        <v>425</v>
      </c>
      <c r="F859" s="287" t="s">
        <v>731</v>
      </c>
      <c r="G859" s="284">
        <v>23173.03</v>
      </c>
    </row>
    <row r="860" spans="1:7" x14ac:dyDescent="0.25">
      <c r="A860" s="287" t="s">
        <v>732</v>
      </c>
      <c r="B860" s="288">
        <v>2025</v>
      </c>
      <c r="C860" s="288">
        <v>6</v>
      </c>
      <c r="D860" s="287" t="s">
        <v>665</v>
      </c>
      <c r="E860" s="287" t="s">
        <v>425</v>
      </c>
      <c r="F860" s="287" t="s">
        <v>731</v>
      </c>
      <c r="G860" s="284">
        <v>-10204.52</v>
      </c>
    </row>
    <row r="861" spans="1:7" x14ac:dyDescent="0.25">
      <c r="A861" s="287" t="s">
        <v>732</v>
      </c>
      <c r="B861" s="288">
        <v>2025</v>
      </c>
      <c r="C861" s="288">
        <v>7</v>
      </c>
      <c r="D861" s="287" t="s">
        <v>665</v>
      </c>
      <c r="E861" s="287" t="s">
        <v>425</v>
      </c>
      <c r="F861" s="287" t="s">
        <v>731</v>
      </c>
      <c r="G861" s="284">
        <v>11163.69</v>
      </c>
    </row>
    <row r="862" spans="1:7" x14ac:dyDescent="0.25">
      <c r="A862" s="287" t="s">
        <v>732</v>
      </c>
      <c r="B862" s="288">
        <v>2025</v>
      </c>
      <c r="C862" s="288">
        <v>8</v>
      </c>
      <c r="D862" s="287" t="s">
        <v>665</v>
      </c>
      <c r="E862" s="287" t="s">
        <v>425</v>
      </c>
      <c r="F862" s="287" t="s">
        <v>731</v>
      </c>
      <c r="G862" s="284">
        <v>25983.64</v>
      </c>
    </row>
  </sheetData>
  <pageMargins left="0.7" right="0.7" top="0.75" bottom="0.75" header="0.3" footer="0.3"/>
  <pageSetup orientation="portrait" r:id="rId1"/>
  <headerFooter>
    <oddFooter>&amp;L_x000D_&amp;1#&amp;"Calibri"&amp;14&amp;K000000 Confidential</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3C732-656A-403D-ACEF-772D8374DCDE}">
  <dimension ref="A1:AD71"/>
  <sheetViews>
    <sheetView topLeftCell="K1" workbookViewId="0">
      <selection activeCell="AB1" sqref="AB1:AD5"/>
    </sheetView>
  </sheetViews>
  <sheetFormatPr defaultColWidth="9" defaultRowHeight="15.75" x14ac:dyDescent="0.25"/>
  <cols>
    <col min="1" max="1" width="14.5703125" style="292" bestFit="1" customWidth="1"/>
    <col min="2" max="3" width="49.85546875" style="292" customWidth="1"/>
    <col min="4" max="4" width="15.7109375" style="292" bestFit="1" customWidth="1"/>
    <col min="5" max="5" width="15.7109375" style="292" customWidth="1"/>
    <col min="6" max="6" width="16.5703125" style="292" bestFit="1" customWidth="1"/>
    <col min="7" max="7" width="26.28515625" style="292" customWidth="1"/>
    <col min="8" max="8" width="16.5703125" style="292" customWidth="1"/>
    <col min="9" max="12" width="12.28515625" style="292" customWidth="1"/>
    <col min="13" max="13" width="13.42578125" style="292" customWidth="1"/>
    <col min="14" max="16" width="15.28515625" style="292" customWidth="1"/>
    <col min="17" max="17" width="18.7109375" style="292" customWidth="1"/>
    <col min="18" max="18" width="18.42578125" style="292" customWidth="1"/>
    <col min="19" max="20" width="15.28515625" style="292" customWidth="1"/>
    <col min="21" max="21" width="12.28515625" style="292" hidden="1" customWidth="1"/>
    <col min="22" max="25" width="11.28515625" style="292" hidden="1" customWidth="1"/>
    <col min="26" max="26" width="16.42578125" style="292" hidden="1" customWidth="1"/>
    <col min="27" max="27" width="12.28515625" style="292" bestFit="1" customWidth="1"/>
    <col min="28" max="28" width="14" style="328" bestFit="1" customWidth="1"/>
    <col min="29" max="16384" width="9" style="292"/>
  </cols>
  <sheetData>
    <row r="1" spans="1:30" x14ac:dyDescent="0.25">
      <c r="A1" s="325" t="s">
        <v>751</v>
      </c>
      <c r="B1" s="325" t="s">
        <v>752</v>
      </c>
      <c r="C1" s="325" t="s">
        <v>753</v>
      </c>
      <c r="D1" s="325" t="s">
        <v>754</v>
      </c>
      <c r="E1" s="325" t="s">
        <v>755</v>
      </c>
      <c r="F1" s="325" t="s">
        <v>756</v>
      </c>
      <c r="G1" s="325" t="s">
        <v>757</v>
      </c>
      <c r="H1" s="325" t="s">
        <v>758</v>
      </c>
      <c r="I1" s="325">
        <v>2025</v>
      </c>
      <c r="J1" s="325">
        <v>2026</v>
      </c>
      <c r="K1" s="325">
        <v>2027</v>
      </c>
      <c r="L1" s="325">
        <v>2028</v>
      </c>
      <c r="M1" s="325">
        <v>2029</v>
      </c>
      <c r="N1" s="325" t="s">
        <v>759</v>
      </c>
      <c r="O1" s="325" t="s">
        <v>760</v>
      </c>
      <c r="P1" s="326" t="s">
        <v>761</v>
      </c>
      <c r="Q1" s="326" t="s">
        <v>761</v>
      </c>
      <c r="R1" s="327" t="s">
        <v>762</v>
      </c>
      <c r="S1" s="327" t="s">
        <v>18</v>
      </c>
      <c r="T1" s="327" t="s">
        <v>19</v>
      </c>
      <c r="U1" s="325">
        <v>2030</v>
      </c>
      <c r="V1" s="325">
        <v>2031</v>
      </c>
      <c r="W1" s="325">
        <v>2032</v>
      </c>
      <c r="X1" s="325">
        <v>2033</v>
      </c>
      <c r="Y1" s="325">
        <v>2034</v>
      </c>
      <c r="Z1" s="325" t="s">
        <v>763</v>
      </c>
      <c r="AB1" s="2"/>
      <c r="AC1" s="110"/>
      <c r="AD1" s="110" t="s">
        <v>20</v>
      </c>
    </row>
    <row r="2" spans="1:30" x14ac:dyDescent="0.25">
      <c r="A2" s="326" t="s">
        <v>764</v>
      </c>
      <c r="B2" s="326" t="s">
        <v>765</v>
      </c>
      <c r="C2" s="326" t="s">
        <v>766</v>
      </c>
      <c r="D2" s="326" t="s">
        <v>767</v>
      </c>
      <c r="E2" s="326" t="s">
        <v>19</v>
      </c>
      <c r="F2" s="326" t="s">
        <v>768</v>
      </c>
      <c r="G2" s="329">
        <v>190500</v>
      </c>
      <c r="H2" s="329">
        <f>G2</f>
        <v>190500</v>
      </c>
      <c r="I2" s="329">
        <v>190500</v>
      </c>
      <c r="J2" s="329"/>
      <c r="K2" s="329"/>
      <c r="L2" s="329"/>
      <c r="M2" s="329"/>
      <c r="N2" s="329">
        <f t="shared" ref="N2:N33" si="0">SUM(I2:M2)</f>
        <v>190500</v>
      </c>
      <c r="O2" s="330">
        <v>45915</v>
      </c>
      <c r="P2" s="331">
        <f t="shared" ref="P2:P33" si="1">YEAR(O2)</f>
        <v>2025</v>
      </c>
      <c r="Q2" s="331">
        <f t="shared" ref="Q2:Q33" si="2">MONTH(O2)</f>
        <v>9</v>
      </c>
      <c r="R2" s="332" t="s">
        <v>769</v>
      </c>
      <c r="S2" s="333">
        <v>0</v>
      </c>
      <c r="T2" s="333">
        <f>+N2</f>
        <v>190500</v>
      </c>
      <c r="U2" s="329"/>
      <c r="V2" s="329"/>
      <c r="W2" s="329"/>
      <c r="X2" s="329"/>
      <c r="Y2" s="329"/>
      <c r="Z2" s="329">
        <f t="shared" ref="Z2:Z33" si="3">SUM(N2:Y2)</f>
        <v>428949</v>
      </c>
      <c r="AB2" s="2"/>
      <c r="AC2" s="110"/>
      <c r="AD2" s="110" t="str">
        <f>+'ADIT 1 Electric'!$G$2</f>
        <v>d/b/a RHODE ISLAND ENERGY</v>
      </c>
    </row>
    <row r="3" spans="1:30" x14ac:dyDescent="0.25">
      <c r="A3" s="326" t="s">
        <v>764</v>
      </c>
      <c r="B3" s="326" t="s">
        <v>770</v>
      </c>
      <c r="C3" s="326" t="str">
        <f>B3</f>
        <v>Midt_ Parking lot grading and paving</v>
      </c>
      <c r="D3" s="326" t="s">
        <v>771</v>
      </c>
      <c r="E3" s="326" t="s">
        <v>772</v>
      </c>
      <c r="F3" s="326" t="s">
        <v>768</v>
      </c>
      <c r="G3" s="329">
        <v>1000000</v>
      </c>
      <c r="H3" s="329">
        <f>1.27*G3</f>
        <v>1270000</v>
      </c>
      <c r="I3" s="329">
        <f>H3</f>
        <v>1270000</v>
      </c>
      <c r="J3" s="329"/>
      <c r="K3" s="329"/>
      <c r="L3" s="329"/>
      <c r="M3" s="329"/>
      <c r="N3" s="329">
        <f t="shared" si="0"/>
        <v>1270000</v>
      </c>
      <c r="O3" s="330">
        <v>45915</v>
      </c>
      <c r="P3" s="334">
        <f t="shared" si="1"/>
        <v>2025</v>
      </c>
      <c r="Q3" s="334">
        <f t="shared" si="2"/>
        <v>9</v>
      </c>
      <c r="R3" s="332" t="s">
        <v>769</v>
      </c>
      <c r="S3" s="333">
        <f>+N3</f>
        <v>1270000</v>
      </c>
      <c r="T3" s="333">
        <v>0</v>
      </c>
      <c r="U3" s="329"/>
      <c r="V3" s="329"/>
      <c r="W3" s="329"/>
      <c r="X3" s="329"/>
      <c r="Y3" s="329"/>
      <c r="Z3" s="329">
        <f t="shared" si="3"/>
        <v>2587949</v>
      </c>
      <c r="AB3" s="2"/>
      <c r="AC3" s="110"/>
      <c r="AD3" s="110" t="str">
        <f>+'ADIT 1 Electric'!$G$3</f>
        <v>RIPUC Docket No. 25-45-GE</v>
      </c>
    </row>
    <row r="4" spans="1:30" x14ac:dyDescent="0.25">
      <c r="A4" s="326" t="s">
        <v>764</v>
      </c>
      <c r="B4" s="326" t="s">
        <v>773</v>
      </c>
      <c r="C4" s="326" t="s">
        <v>774</v>
      </c>
      <c r="D4" s="326" t="s">
        <v>775</v>
      </c>
      <c r="E4" s="326" t="s">
        <v>772</v>
      </c>
      <c r="F4" s="326" t="s">
        <v>768</v>
      </c>
      <c r="G4" s="329">
        <v>1778000</v>
      </c>
      <c r="H4" s="329">
        <f>G4</f>
        <v>1778000</v>
      </c>
      <c r="I4" s="329">
        <v>1778000</v>
      </c>
      <c r="J4" s="329"/>
      <c r="K4" s="329"/>
      <c r="L4" s="329"/>
      <c r="M4" s="329"/>
      <c r="N4" s="329">
        <f t="shared" si="0"/>
        <v>1778000</v>
      </c>
      <c r="O4" s="330">
        <v>45915</v>
      </c>
      <c r="P4" s="334">
        <f t="shared" si="1"/>
        <v>2025</v>
      </c>
      <c r="Q4" s="334">
        <f t="shared" si="2"/>
        <v>9</v>
      </c>
      <c r="R4" s="332" t="s">
        <v>769</v>
      </c>
      <c r="S4" s="333">
        <f>+N4</f>
        <v>1778000</v>
      </c>
      <c r="T4" s="333">
        <v>0</v>
      </c>
      <c r="U4" s="329"/>
      <c r="V4" s="329"/>
      <c r="W4" s="329"/>
      <c r="X4" s="329"/>
      <c r="Y4" s="329"/>
      <c r="Z4" s="329">
        <f t="shared" si="3"/>
        <v>3603949</v>
      </c>
      <c r="AB4" s="2"/>
      <c r="AC4" s="110"/>
      <c r="AD4" s="110" t="str">
        <f>+'ADIT 1 Electric'!$G$2</f>
        <v>d/b/a RHODE ISLAND ENERGY</v>
      </c>
    </row>
    <row r="5" spans="1:30" x14ac:dyDescent="0.25">
      <c r="A5" s="326" t="s">
        <v>764</v>
      </c>
      <c r="B5" s="326" t="s">
        <v>776</v>
      </c>
      <c r="C5" s="326" t="str">
        <f>B5</f>
        <v>CO_Linc2 Extention</v>
      </c>
      <c r="D5" s="326" t="s">
        <v>777</v>
      </c>
      <c r="E5" s="326" t="s">
        <v>772</v>
      </c>
      <c r="F5" s="326" t="s">
        <v>768</v>
      </c>
      <c r="G5" s="329">
        <v>2000000</v>
      </c>
      <c r="H5" s="329">
        <f>G5</f>
        <v>2000000</v>
      </c>
      <c r="I5" s="329">
        <v>200000</v>
      </c>
      <c r="J5" s="329">
        <v>0</v>
      </c>
      <c r="K5" s="329"/>
      <c r="L5" s="329"/>
      <c r="M5" s="329"/>
      <c r="N5" s="329">
        <f t="shared" si="0"/>
        <v>200000</v>
      </c>
      <c r="O5" s="330">
        <v>45930</v>
      </c>
      <c r="P5" s="334">
        <f t="shared" si="1"/>
        <v>2025</v>
      </c>
      <c r="Q5" s="334">
        <f t="shared" si="2"/>
        <v>9</v>
      </c>
      <c r="R5" s="332" t="s">
        <v>769</v>
      </c>
      <c r="S5" s="333">
        <f>+N5</f>
        <v>200000</v>
      </c>
      <c r="T5" s="333">
        <v>0</v>
      </c>
      <c r="U5" s="329"/>
      <c r="V5" s="329"/>
      <c r="W5" s="329"/>
      <c r="X5" s="329"/>
      <c r="Y5" s="329"/>
      <c r="Z5" s="329">
        <f t="shared" si="3"/>
        <v>447964</v>
      </c>
      <c r="AB5" s="2"/>
      <c r="AC5" s="196"/>
      <c r="AD5" s="196" t="str">
        <f>+'ADIT 1 Electric'!$G$5</f>
        <v>Schedule NH-3-ELEC</v>
      </c>
    </row>
    <row r="6" spans="1:30" x14ac:dyDescent="0.25">
      <c r="A6" s="326" t="s">
        <v>764</v>
      </c>
      <c r="B6" s="326" t="s">
        <v>778</v>
      </c>
      <c r="C6" s="326" t="s">
        <v>779</v>
      </c>
      <c r="D6" s="326" t="s">
        <v>780</v>
      </c>
      <c r="E6" s="326" t="s">
        <v>772</v>
      </c>
      <c r="F6" s="326" t="s">
        <v>768</v>
      </c>
      <c r="G6" s="329">
        <v>2540000</v>
      </c>
      <c r="H6" s="329">
        <f>G6</f>
        <v>2540000</v>
      </c>
      <c r="I6" s="329">
        <v>2540000</v>
      </c>
      <c r="J6" s="329"/>
      <c r="K6" s="329"/>
      <c r="L6" s="329"/>
      <c r="M6" s="329"/>
      <c r="N6" s="329">
        <f t="shared" si="0"/>
        <v>2540000</v>
      </c>
      <c r="O6" s="330">
        <v>45933</v>
      </c>
      <c r="P6" s="334">
        <f t="shared" si="1"/>
        <v>2025</v>
      </c>
      <c r="Q6" s="334">
        <f t="shared" si="2"/>
        <v>10</v>
      </c>
      <c r="R6" s="332" t="s">
        <v>769</v>
      </c>
      <c r="S6" s="333">
        <f>+N6</f>
        <v>2540000</v>
      </c>
      <c r="T6" s="333">
        <v>0</v>
      </c>
      <c r="U6" s="329"/>
      <c r="V6" s="329"/>
      <c r="W6" s="329"/>
      <c r="X6" s="329"/>
      <c r="Y6" s="329"/>
      <c r="Z6" s="329">
        <f t="shared" si="3"/>
        <v>5127968</v>
      </c>
    </row>
    <row r="7" spans="1:30" x14ac:dyDescent="0.25">
      <c r="A7" s="326" t="s">
        <v>764</v>
      </c>
      <c r="B7" s="326" t="s">
        <v>781</v>
      </c>
      <c r="C7" s="326" t="s">
        <v>782</v>
      </c>
      <c r="D7" s="326" t="s">
        <v>780</v>
      </c>
      <c r="E7" s="326" t="s">
        <v>772</v>
      </c>
      <c r="F7" s="326" t="s">
        <v>768</v>
      </c>
      <c r="G7" s="329">
        <v>1500000</v>
      </c>
      <c r="H7" s="329">
        <v>1905000</v>
      </c>
      <c r="I7" s="329">
        <f>0.75*H7</f>
        <v>1428750</v>
      </c>
      <c r="J7" s="329">
        <f>0.25*H7</f>
        <v>476250</v>
      </c>
      <c r="K7" s="329"/>
      <c r="L7" s="329"/>
      <c r="M7" s="329"/>
      <c r="N7" s="329">
        <f t="shared" si="0"/>
        <v>1905000</v>
      </c>
      <c r="O7" s="330">
        <v>45943</v>
      </c>
      <c r="P7" s="334">
        <f t="shared" si="1"/>
        <v>2025</v>
      </c>
      <c r="Q7" s="334">
        <f t="shared" si="2"/>
        <v>10</v>
      </c>
      <c r="R7" s="332" t="s">
        <v>769</v>
      </c>
      <c r="S7" s="333">
        <f>+N7</f>
        <v>1905000</v>
      </c>
      <c r="T7" s="333">
        <v>0</v>
      </c>
      <c r="U7" s="329"/>
      <c r="V7" s="329"/>
      <c r="W7" s="329"/>
      <c r="X7" s="329"/>
      <c r="Y7" s="329"/>
      <c r="Z7" s="329">
        <f t="shared" si="3"/>
        <v>3857978</v>
      </c>
    </row>
    <row r="8" spans="1:30" x14ac:dyDescent="0.25">
      <c r="A8" s="326" t="s">
        <v>764</v>
      </c>
      <c r="B8" s="326" t="s">
        <v>783</v>
      </c>
      <c r="C8" s="326" t="s">
        <v>784</v>
      </c>
      <c r="D8" s="326" t="s">
        <v>785</v>
      </c>
      <c r="E8" s="326" t="s">
        <v>19</v>
      </c>
      <c r="F8" s="326" t="s">
        <v>768</v>
      </c>
      <c r="G8" s="329">
        <v>806450</v>
      </c>
      <c r="H8" s="329">
        <f t="shared" ref="H8:H15" si="4">G8</f>
        <v>806450</v>
      </c>
      <c r="I8" s="329">
        <v>806450</v>
      </c>
      <c r="J8" s="329"/>
      <c r="K8" s="329"/>
      <c r="L8" s="329"/>
      <c r="M8" s="329"/>
      <c r="N8" s="329">
        <f t="shared" si="0"/>
        <v>806450</v>
      </c>
      <c r="O8" s="330">
        <v>45947</v>
      </c>
      <c r="P8" s="334">
        <f t="shared" si="1"/>
        <v>2025</v>
      </c>
      <c r="Q8" s="334">
        <f t="shared" si="2"/>
        <v>10</v>
      </c>
      <c r="R8" s="332" t="s">
        <v>769</v>
      </c>
      <c r="S8" s="333">
        <v>0</v>
      </c>
      <c r="T8" s="333">
        <f>+N8</f>
        <v>806450</v>
      </c>
      <c r="U8" s="329"/>
      <c r="V8" s="329"/>
      <c r="W8" s="329"/>
      <c r="X8" s="329"/>
      <c r="Y8" s="329"/>
      <c r="Z8" s="329">
        <f t="shared" si="3"/>
        <v>1660882</v>
      </c>
    </row>
    <row r="9" spans="1:30" x14ac:dyDescent="0.25">
      <c r="A9" s="326" t="s">
        <v>764</v>
      </c>
      <c r="B9" s="326" t="s">
        <v>786</v>
      </c>
      <c r="C9" s="326" t="str">
        <f t="shared" ref="C9:C15" si="5">B9</f>
        <v>Melr_Overhead Lines Reno</v>
      </c>
      <c r="D9" s="326" t="s">
        <v>780</v>
      </c>
      <c r="E9" s="326" t="s">
        <v>18</v>
      </c>
      <c r="F9" s="326" t="s">
        <v>768</v>
      </c>
      <c r="G9" s="329">
        <v>952500</v>
      </c>
      <c r="H9" s="329">
        <f t="shared" si="4"/>
        <v>952500</v>
      </c>
      <c r="I9" s="329">
        <v>952500</v>
      </c>
      <c r="J9" s="329"/>
      <c r="K9" s="329"/>
      <c r="L9" s="329"/>
      <c r="M9" s="329"/>
      <c r="N9" s="329">
        <f t="shared" si="0"/>
        <v>952500</v>
      </c>
      <c r="O9" s="330">
        <v>45961</v>
      </c>
      <c r="P9" s="334">
        <f t="shared" si="1"/>
        <v>2025</v>
      </c>
      <c r="Q9" s="334">
        <f t="shared" si="2"/>
        <v>10</v>
      </c>
      <c r="R9" s="332" t="s">
        <v>769</v>
      </c>
      <c r="S9" s="333">
        <f t="shared" ref="S9:S18" si="6">+N9</f>
        <v>952500</v>
      </c>
      <c r="T9" s="333">
        <v>0</v>
      </c>
      <c r="U9" s="329"/>
      <c r="V9" s="329"/>
      <c r="W9" s="329"/>
      <c r="X9" s="329"/>
      <c r="Y9" s="329"/>
      <c r="Z9" s="329">
        <f t="shared" si="3"/>
        <v>1952996</v>
      </c>
    </row>
    <row r="10" spans="1:30" x14ac:dyDescent="0.25">
      <c r="A10" s="326" t="s">
        <v>764</v>
      </c>
      <c r="B10" s="326" t="s">
        <v>787</v>
      </c>
      <c r="C10" s="326" t="str">
        <f t="shared" si="5"/>
        <v>NKG_Solar</v>
      </c>
      <c r="D10" s="326" t="s">
        <v>775</v>
      </c>
      <c r="E10" s="326" t="s">
        <v>772</v>
      </c>
      <c r="F10" s="326" t="s">
        <v>768</v>
      </c>
      <c r="G10" s="329">
        <v>635000</v>
      </c>
      <c r="H10" s="329">
        <f t="shared" si="4"/>
        <v>635000</v>
      </c>
      <c r="I10" s="329">
        <v>635000</v>
      </c>
      <c r="J10" s="329"/>
      <c r="K10" s="329"/>
      <c r="L10" s="329"/>
      <c r="M10" s="329"/>
      <c r="N10" s="329">
        <f t="shared" si="0"/>
        <v>635000</v>
      </c>
      <c r="O10" s="330">
        <v>46002</v>
      </c>
      <c r="P10" s="334">
        <f t="shared" si="1"/>
        <v>2025</v>
      </c>
      <c r="Q10" s="334">
        <f t="shared" si="2"/>
        <v>12</v>
      </c>
      <c r="R10" s="332" t="s">
        <v>769</v>
      </c>
      <c r="S10" s="333">
        <f t="shared" si="6"/>
        <v>635000</v>
      </c>
      <c r="T10" s="333">
        <v>0</v>
      </c>
      <c r="U10" s="329"/>
      <c r="V10" s="329"/>
      <c r="W10" s="329"/>
      <c r="X10" s="329"/>
      <c r="Y10" s="329"/>
      <c r="Z10" s="329">
        <f t="shared" si="3"/>
        <v>1318039</v>
      </c>
      <c r="AB10" s="22"/>
      <c r="AC10" s="22"/>
    </row>
    <row r="11" spans="1:30" x14ac:dyDescent="0.25">
      <c r="A11" s="326" t="s">
        <v>764</v>
      </c>
      <c r="B11" s="326" t="s">
        <v>788</v>
      </c>
      <c r="C11" s="326" t="str">
        <f t="shared" si="5"/>
        <v>Melr_Line Shed Demo</v>
      </c>
      <c r="D11" s="326" t="s">
        <v>780</v>
      </c>
      <c r="E11" s="326" t="s">
        <v>18</v>
      </c>
      <c r="F11" s="326" t="s">
        <v>768</v>
      </c>
      <c r="G11" s="329">
        <v>1905000</v>
      </c>
      <c r="H11" s="329">
        <f t="shared" si="4"/>
        <v>1905000</v>
      </c>
      <c r="I11" s="329">
        <v>1905000</v>
      </c>
      <c r="J11" s="329"/>
      <c r="K11" s="329"/>
      <c r="L11" s="329"/>
      <c r="M11" s="329"/>
      <c r="N11" s="329">
        <f t="shared" si="0"/>
        <v>1905000</v>
      </c>
      <c r="O11" s="330">
        <v>46107</v>
      </c>
      <c r="P11" s="334">
        <f t="shared" si="1"/>
        <v>2026</v>
      </c>
      <c r="Q11" s="334">
        <f t="shared" si="2"/>
        <v>3</v>
      </c>
      <c r="R11" s="332" t="s">
        <v>769</v>
      </c>
      <c r="S11" s="333">
        <f t="shared" si="6"/>
        <v>1905000</v>
      </c>
      <c r="T11" s="333">
        <v>0</v>
      </c>
      <c r="U11" s="329"/>
      <c r="V11" s="329"/>
      <c r="W11" s="329"/>
      <c r="X11" s="329"/>
      <c r="Y11" s="329"/>
      <c r="Z11" s="329">
        <f t="shared" si="3"/>
        <v>3858136</v>
      </c>
      <c r="AB11" s="22"/>
      <c r="AC11" s="22"/>
    </row>
    <row r="12" spans="1:30" x14ac:dyDescent="0.25">
      <c r="A12" s="326" t="s">
        <v>764</v>
      </c>
      <c r="B12" s="326" t="s">
        <v>789</v>
      </c>
      <c r="C12" s="326" t="str">
        <f t="shared" si="5"/>
        <v>Melr_Elevator Replacements</v>
      </c>
      <c r="D12" s="326" t="s">
        <v>780</v>
      </c>
      <c r="E12" s="326" t="s">
        <v>772</v>
      </c>
      <c r="F12" s="326" t="s">
        <v>768</v>
      </c>
      <c r="G12" s="329">
        <v>1387626.1300000001</v>
      </c>
      <c r="H12" s="329">
        <f t="shared" si="4"/>
        <v>1387626.1300000001</v>
      </c>
      <c r="I12" s="329">
        <v>925084.08666666679</v>
      </c>
      <c r="J12" s="329">
        <v>462542.04333333333</v>
      </c>
      <c r="K12" s="329"/>
      <c r="L12" s="329"/>
      <c r="M12" s="329"/>
      <c r="N12" s="329">
        <f t="shared" si="0"/>
        <v>1387626.1300000001</v>
      </c>
      <c r="O12" s="330">
        <v>46187</v>
      </c>
      <c r="P12" s="334">
        <f t="shared" si="1"/>
        <v>2026</v>
      </c>
      <c r="Q12" s="334">
        <f t="shared" si="2"/>
        <v>6</v>
      </c>
      <c r="R12" s="332" t="s">
        <v>769</v>
      </c>
      <c r="S12" s="333">
        <f t="shared" si="6"/>
        <v>1387626.1300000001</v>
      </c>
      <c r="T12" s="333">
        <v>0</v>
      </c>
      <c r="U12" s="329"/>
      <c r="V12" s="329"/>
      <c r="W12" s="329"/>
      <c r="X12" s="329"/>
      <c r="Y12" s="329"/>
      <c r="Z12" s="329">
        <f t="shared" si="3"/>
        <v>2823471.2600000002</v>
      </c>
      <c r="AB12" s="22"/>
      <c r="AC12" s="22"/>
    </row>
    <row r="13" spans="1:30" x14ac:dyDescent="0.25">
      <c r="A13" s="326" t="s">
        <v>764</v>
      </c>
      <c r="B13" s="326" t="s">
        <v>790</v>
      </c>
      <c r="C13" s="326" t="str">
        <f t="shared" si="5"/>
        <v>Melr_Life Safety</v>
      </c>
      <c r="D13" s="326" t="s">
        <v>780</v>
      </c>
      <c r="E13" s="326" t="s">
        <v>772</v>
      </c>
      <c r="F13" s="326" t="s">
        <v>768</v>
      </c>
      <c r="G13" s="329">
        <v>825500</v>
      </c>
      <c r="H13" s="329">
        <f t="shared" si="4"/>
        <v>825500</v>
      </c>
      <c r="I13" s="329">
        <v>619125</v>
      </c>
      <c r="J13" s="329">
        <v>206375</v>
      </c>
      <c r="K13" s="329"/>
      <c r="L13" s="329"/>
      <c r="M13" s="329"/>
      <c r="N13" s="329">
        <f t="shared" si="0"/>
        <v>825500</v>
      </c>
      <c r="O13" s="330">
        <v>46206</v>
      </c>
      <c r="P13" s="334">
        <f t="shared" si="1"/>
        <v>2026</v>
      </c>
      <c r="Q13" s="334">
        <f t="shared" si="2"/>
        <v>7</v>
      </c>
      <c r="R13" s="332" t="s">
        <v>769</v>
      </c>
      <c r="S13" s="333">
        <f t="shared" si="6"/>
        <v>825500</v>
      </c>
      <c r="T13" s="333">
        <v>0</v>
      </c>
      <c r="U13" s="329"/>
      <c r="V13" s="329"/>
      <c r="W13" s="329"/>
      <c r="X13" s="329"/>
      <c r="Y13" s="329"/>
      <c r="Z13" s="329">
        <f t="shared" si="3"/>
        <v>1699239</v>
      </c>
      <c r="AB13" s="22"/>
      <c r="AC13" s="22"/>
    </row>
    <row r="14" spans="1:30" x14ac:dyDescent="0.25">
      <c r="A14" s="326" t="s">
        <v>764</v>
      </c>
      <c r="B14" s="326" t="s">
        <v>791</v>
      </c>
      <c r="C14" s="326" t="str">
        <f t="shared" si="5"/>
        <v>Melr_Office Roof Upgrade</v>
      </c>
      <c r="D14" s="326" t="s">
        <v>780</v>
      </c>
      <c r="E14" s="326" t="s">
        <v>772</v>
      </c>
      <c r="F14" s="326" t="s">
        <v>768</v>
      </c>
      <c r="G14" s="329">
        <v>373380</v>
      </c>
      <c r="H14" s="329">
        <f t="shared" si="4"/>
        <v>373380</v>
      </c>
      <c r="I14" s="329">
        <v>0</v>
      </c>
      <c r="J14" s="329"/>
      <c r="K14" s="329"/>
      <c r="L14" s="329">
        <v>373380</v>
      </c>
      <c r="M14" s="329"/>
      <c r="N14" s="329">
        <f t="shared" si="0"/>
        <v>373380</v>
      </c>
      <c r="O14" s="330">
        <v>46206</v>
      </c>
      <c r="P14" s="334">
        <f t="shared" si="1"/>
        <v>2026</v>
      </c>
      <c r="Q14" s="334">
        <f t="shared" si="2"/>
        <v>7</v>
      </c>
      <c r="R14" s="332" t="s">
        <v>769</v>
      </c>
      <c r="S14" s="333">
        <f t="shared" si="6"/>
        <v>373380</v>
      </c>
      <c r="T14" s="333">
        <v>0</v>
      </c>
      <c r="U14" s="329"/>
      <c r="V14" s="329"/>
      <c r="W14" s="329"/>
      <c r="X14" s="329"/>
      <c r="Y14" s="329"/>
      <c r="Z14" s="329">
        <f t="shared" si="3"/>
        <v>794999</v>
      </c>
      <c r="AB14" s="298"/>
      <c r="AC14" s="298"/>
    </row>
    <row r="15" spans="1:30" x14ac:dyDescent="0.25">
      <c r="A15" s="326" t="s">
        <v>764</v>
      </c>
      <c r="B15" s="326" t="s">
        <v>792</v>
      </c>
      <c r="C15" s="326" t="str">
        <f t="shared" si="5"/>
        <v>Melr_Solar Part 1</v>
      </c>
      <c r="D15" s="326" t="s">
        <v>780</v>
      </c>
      <c r="E15" s="326" t="s">
        <v>772</v>
      </c>
      <c r="F15" s="326" t="s">
        <v>768</v>
      </c>
      <c r="G15" s="329">
        <v>635000</v>
      </c>
      <c r="H15" s="329">
        <f t="shared" si="4"/>
        <v>635000</v>
      </c>
      <c r="I15" s="329">
        <v>0</v>
      </c>
      <c r="J15" s="329">
        <v>635000</v>
      </c>
      <c r="K15" s="329"/>
      <c r="L15" s="329"/>
      <c r="M15" s="329"/>
      <c r="N15" s="329">
        <f t="shared" si="0"/>
        <v>635000</v>
      </c>
      <c r="O15" s="330">
        <v>46206</v>
      </c>
      <c r="P15" s="334">
        <f t="shared" si="1"/>
        <v>2026</v>
      </c>
      <c r="Q15" s="334">
        <f t="shared" si="2"/>
        <v>7</v>
      </c>
      <c r="R15" s="332" t="s">
        <v>769</v>
      </c>
      <c r="S15" s="333">
        <f t="shared" si="6"/>
        <v>635000</v>
      </c>
      <c r="T15" s="333">
        <v>0</v>
      </c>
      <c r="U15" s="329"/>
      <c r="V15" s="329"/>
      <c r="W15" s="329"/>
      <c r="X15" s="329"/>
      <c r="Y15" s="329"/>
      <c r="Z15" s="329">
        <f t="shared" si="3"/>
        <v>1318239</v>
      </c>
    </row>
    <row r="16" spans="1:30" x14ac:dyDescent="0.25">
      <c r="A16" s="326" t="s">
        <v>764</v>
      </c>
      <c r="B16" s="326" t="s">
        <v>793</v>
      </c>
      <c r="C16" s="326" t="s">
        <v>794</v>
      </c>
      <c r="D16" s="326" t="s">
        <v>780</v>
      </c>
      <c r="E16" s="326" t="s">
        <v>772</v>
      </c>
      <c r="F16" s="326" t="s">
        <v>768</v>
      </c>
      <c r="G16" s="329">
        <v>1905000</v>
      </c>
      <c r="H16" s="329">
        <v>1905000</v>
      </c>
      <c r="I16" s="329"/>
      <c r="J16" s="329">
        <f>H16</f>
        <v>1905000</v>
      </c>
      <c r="K16" s="329"/>
      <c r="L16" s="329"/>
      <c r="M16" s="329"/>
      <c r="N16" s="329">
        <f t="shared" si="0"/>
        <v>1905000</v>
      </c>
      <c r="O16" s="330">
        <v>46206</v>
      </c>
      <c r="P16" s="334">
        <f t="shared" si="1"/>
        <v>2026</v>
      </c>
      <c r="Q16" s="334">
        <f t="shared" si="2"/>
        <v>7</v>
      </c>
      <c r="R16" s="332" t="s">
        <v>769</v>
      </c>
      <c r="S16" s="333">
        <f t="shared" si="6"/>
        <v>1905000</v>
      </c>
      <c r="T16" s="333">
        <v>0</v>
      </c>
      <c r="U16" s="329"/>
      <c r="V16" s="329"/>
      <c r="W16" s="329"/>
      <c r="X16" s="329"/>
      <c r="Y16" s="329"/>
      <c r="Z16" s="329">
        <f t="shared" si="3"/>
        <v>3858239</v>
      </c>
    </row>
    <row r="17" spans="1:27" x14ac:dyDescent="0.25">
      <c r="A17" s="326" t="s">
        <v>764</v>
      </c>
      <c r="B17" s="326" t="s">
        <v>795</v>
      </c>
      <c r="C17" s="326" t="str">
        <f t="shared" ref="C17:C58" si="7">B17</f>
        <v>CO_Central Office Fitout</v>
      </c>
      <c r="D17" s="326" t="s">
        <v>777</v>
      </c>
      <c r="E17" s="326" t="s">
        <v>772</v>
      </c>
      <c r="F17" s="326" t="s">
        <v>768</v>
      </c>
      <c r="G17" s="329">
        <v>9283700</v>
      </c>
      <c r="H17" s="329">
        <f t="shared" ref="H17:H27" si="8">G17</f>
        <v>9283700</v>
      </c>
      <c r="I17" s="329">
        <v>6840700</v>
      </c>
      <c r="J17" s="329">
        <v>0</v>
      </c>
      <c r="K17" s="329"/>
      <c r="L17" s="329"/>
      <c r="M17" s="329"/>
      <c r="N17" s="329">
        <f t="shared" si="0"/>
        <v>6840700</v>
      </c>
      <c r="O17" s="330">
        <v>46226</v>
      </c>
      <c r="P17" s="334">
        <f t="shared" si="1"/>
        <v>2026</v>
      </c>
      <c r="Q17" s="334">
        <f t="shared" si="2"/>
        <v>7</v>
      </c>
      <c r="R17" s="332" t="s">
        <v>769</v>
      </c>
      <c r="S17" s="333">
        <f t="shared" si="6"/>
        <v>6840700</v>
      </c>
      <c r="T17" s="333">
        <v>0</v>
      </c>
      <c r="U17" s="329"/>
      <c r="V17" s="329"/>
      <c r="W17" s="329"/>
      <c r="X17" s="329"/>
      <c r="Y17" s="329"/>
      <c r="Z17" s="329">
        <f t="shared" si="3"/>
        <v>13729659</v>
      </c>
    </row>
    <row r="18" spans="1:27" x14ac:dyDescent="0.25">
      <c r="A18" s="326" t="s">
        <v>764</v>
      </c>
      <c r="B18" s="326" t="s">
        <v>796</v>
      </c>
      <c r="C18" s="326" t="str">
        <f t="shared" si="7"/>
        <v>EV Switchgears</v>
      </c>
      <c r="D18" s="326" t="s">
        <v>780</v>
      </c>
      <c r="E18" s="326" t="s">
        <v>772</v>
      </c>
      <c r="F18" s="326" t="s">
        <v>768</v>
      </c>
      <c r="G18" s="329">
        <v>1200000</v>
      </c>
      <c r="H18" s="329">
        <f t="shared" si="8"/>
        <v>1200000</v>
      </c>
      <c r="I18" s="329">
        <v>1200000</v>
      </c>
      <c r="J18" s="329"/>
      <c r="K18" s="329"/>
      <c r="L18" s="329"/>
      <c r="M18" s="329"/>
      <c r="N18" s="329">
        <f t="shared" si="0"/>
        <v>1200000</v>
      </c>
      <c r="O18" s="330">
        <v>46295</v>
      </c>
      <c r="P18" s="334">
        <f t="shared" si="1"/>
        <v>2026</v>
      </c>
      <c r="Q18" s="334">
        <f t="shared" si="2"/>
        <v>9</v>
      </c>
      <c r="R18" s="333" t="str" cm="1">
        <f t="array" ref="R18">IFERROR(_xlfn.IFS(AND(O18&gt;=DATE(2025,1,1),O18&lt;=DATE(2027,7,31)),"Year 1",AND(O18&gt;=DATE(2027,8,1),O18&lt;=DATE(2028,7,31)),"Year 2",AND(O18&gt;=DATE(2028,8,1),O18&lt;=DATE(2029,7,31)),"Year 3"),"Future")</f>
        <v>Year 1</v>
      </c>
      <c r="S18" s="333">
        <f t="shared" si="6"/>
        <v>1200000</v>
      </c>
      <c r="T18" s="333">
        <v>0</v>
      </c>
      <c r="U18" s="329"/>
      <c r="V18" s="329"/>
      <c r="W18" s="329"/>
      <c r="X18" s="329"/>
      <c r="Y18" s="329"/>
      <c r="Z18" s="329">
        <f t="shared" si="3"/>
        <v>2448330</v>
      </c>
    </row>
    <row r="19" spans="1:27" x14ac:dyDescent="0.25">
      <c r="A19" s="326" t="s">
        <v>764</v>
      </c>
      <c r="B19" s="326" t="s">
        <v>797</v>
      </c>
      <c r="C19" s="326" t="str">
        <f t="shared" si="7"/>
        <v>ALL_Parking lot pavement (north and east parking lots)</v>
      </c>
      <c r="D19" s="326" t="s">
        <v>767</v>
      </c>
      <c r="E19" s="326" t="s">
        <v>772</v>
      </c>
      <c r="F19" s="326" t="s">
        <v>768</v>
      </c>
      <c r="G19" s="329">
        <v>1905000</v>
      </c>
      <c r="H19" s="329">
        <f t="shared" si="8"/>
        <v>1905000</v>
      </c>
      <c r="I19" s="329">
        <v>605000</v>
      </c>
      <c r="J19" s="329">
        <v>1300000</v>
      </c>
      <c r="K19" s="329"/>
      <c r="L19" s="329"/>
      <c r="M19" s="329"/>
      <c r="N19" s="329">
        <f t="shared" si="0"/>
        <v>1905000</v>
      </c>
      <c r="O19" s="330">
        <v>46371</v>
      </c>
      <c r="P19" s="334">
        <f t="shared" si="1"/>
        <v>2026</v>
      </c>
      <c r="Q19" s="334">
        <f t="shared" si="2"/>
        <v>12</v>
      </c>
      <c r="R19" s="333" t="str" cm="1">
        <f t="array" ref="R19">IFERROR(_xlfn.IFS(AND(O19&gt;=DATE(2025,1,1),O19&lt;=DATE(2027,7,31)),"Year 1",AND(O19&gt;=DATE(2027,8,1),O19&lt;=DATE(2028,7,31)),"Year 2",AND(O19&gt;=DATE(2028,8,1),O19&lt;=DATE(2029,7,31)),"Year 3"),"Future")</f>
        <v>Year 1</v>
      </c>
      <c r="S19" s="333">
        <v>0</v>
      </c>
      <c r="T19" s="333">
        <f>+N19</f>
        <v>1905000</v>
      </c>
      <c r="U19" s="329"/>
      <c r="V19" s="329"/>
      <c r="W19" s="329"/>
      <c r="X19" s="329"/>
      <c r="Y19" s="329"/>
      <c r="Z19" s="329">
        <f t="shared" si="3"/>
        <v>3858409</v>
      </c>
    </row>
    <row r="20" spans="1:27" x14ac:dyDescent="0.25">
      <c r="A20" s="326" t="s">
        <v>764</v>
      </c>
      <c r="B20" s="326" t="s">
        <v>798</v>
      </c>
      <c r="C20" s="326" t="str">
        <f t="shared" si="7"/>
        <v>Cumb_DCC Construction</v>
      </c>
      <c r="D20" s="326" t="s">
        <v>799</v>
      </c>
      <c r="E20" s="326" t="s">
        <v>18</v>
      </c>
      <c r="F20" s="326" t="s">
        <v>768</v>
      </c>
      <c r="G20" s="329">
        <v>3810000</v>
      </c>
      <c r="H20" s="329">
        <f t="shared" si="8"/>
        <v>3810000</v>
      </c>
      <c r="I20" s="329">
        <v>810000</v>
      </c>
      <c r="J20" s="329">
        <v>3000000</v>
      </c>
      <c r="K20" s="329"/>
      <c r="L20" s="329"/>
      <c r="M20" s="329"/>
      <c r="N20" s="329">
        <f t="shared" si="0"/>
        <v>3810000</v>
      </c>
      <c r="O20" s="330">
        <v>46386</v>
      </c>
      <c r="P20" s="334">
        <f t="shared" si="1"/>
        <v>2026</v>
      </c>
      <c r="Q20" s="334">
        <f t="shared" si="2"/>
        <v>12</v>
      </c>
      <c r="R20" s="333" t="str" cm="1">
        <f t="array" ref="R20">IFERROR(_xlfn.IFS(AND(O20&gt;=DATE(2025,1,1),O20&lt;=DATE(2027,7,31)),"Year 1",AND(O20&gt;=DATE(2027,8,1),O20&lt;=DATE(2028,7,31)),"Year 2",AND(O20&gt;=DATE(2028,8,1),O20&lt;=DATE(2029,7,31)),"Year 3"),"Future")</f>
        <v>Year 1</v>
      </c>
      <c r="S20" s="333">
        <v>0</v>
      </c>
      <c r="T20" s="332">
        <f>+N20</f>
        <v>3810000</v>
      </c>
      <c r="U20" s="329"/>
      <c r="V20" s="329"/>
      <c r="W20" s="329"/>
      <c r="X20" s="329"/>
      <c r="Y20" s="329"/>
      <c r="Z20" s="329">
        <f t="shared" si="3"/>
        <v>7668424</v>
      </c>
      <c r="AA20" s="335" t="s">
        <v>881</v>
      </c>
    </row>
    <row r="21" spans="1:27" x14ac:dyDescent="0.25">
      <c r="A21" s="326" t="s">
        <v>764</v>
      </c>
      <c r="B21" s="326" t="s">
        <v>800</v>
      </c>
      <c r="C21" s="326" t="str">
        <f t="shared" si="7"/>
        <v>ALL_ HVAC System Upgrade</v>
      </c>
      <c r="D21" s="326" t="s">
        <v>767</v>
      </c>
      <c r="E21" s="326" t="s">
        <v>19</v>
      </c>
      <c r="F21" s="326" t="s">
        <v>768</v>
      </c>
      <c r="G21" s="329">
        <v>1905000</v>
      </c>
      <c r="H21" s="329">
        <f t="shared" si="8"/>
        <v>1905000</v>
      </c>
      <c r="I21" s="329">
        <v>605000</v>
      </c>
      <c r="J21" s="329">
        <v>1300000</v>
      </c>
      <c r="K21" s="329"/>
      <c r="L21" s="329"/>
      <c r="M21" s="329"/>
      <c r="N21" s="329">
        <f t="shared" si="0"/>
        <v>1905000</v>
      </c>
      <c r="O21" s="330">
        <v>46459</v>
      </c>
      <c r="P21" s="334">
        <f t="shared" si="1"/>
        <v>2027</v>
      </c>
      <c r="Q21" s="334">
        <f t="shared" si="2"/>
        <v>3</v>
      </c>
      <c r="R21" s="333" t="str" cm="1">
        <f t="array" ref="R21">IFERROR(_xlfn.IFS(AND(O21&gt;=DATE(2025,1,1),O21&lt;=DATE(2027,7,31)),"Year 1",AND(O21&gt;=DATE(2027,8,1),O21&lt;=DATE(2028,7,31)),"Year 2",AND(O21&gt;=DATE(2028,8,1),O21&lt;=DATE(2029,7,31)),"Year 3"),"Future")</f>
        <v>Year 1</v>
      </c>
      <c r="S21" s="333">
        <v>0</v>
      </c>
      <c r="T21" s="333">
        <f>+N21</f>
        <v>1905000</v>
      </c>
      <c r="U21" s="329"/>
      <c r="V21" s="329"/>
      <c r="W21" s="329"/>
      <c r="X21" s="329"/>
      <c r="Y21" s="329"/>
      <c r="Z21" s="329">
        <f t="shared" si="3"/>
        <v>3858489</v>
      </c>
    </row>
    <row r="22" spans="1:27" x14ac:dyDescent="0.25">
      <c r="A22" s="326" t="s">
        <v>764</v>
      </c>
      <c r="B22" s="326" t="s">
        <v>801</v>
      </c>
      <c r="C22" s="326" t="str">
        <f t="shared" si="7"/>
        <v>ALL_Fire Alarm upgrade</v>
      </c>
      <c r="D22" s="326" t="s">
        <v>767</v>
      </c>
      <c r="E22" s="326" t="s">
        <v>19</v>
      </c>
      <c r="F22" s="326" t="s">
        <v>768</v>
      </c>
      <c r="G22" s="329">
        <v>254000</v>
      </c>
      <c r="H22" s="329">
        <f t="shared" si="8"/>
        <v>254000</v>
      </c>
      <c r="I22" s="329">
        <v>0</v>
      </c>
      <c r="J22" s="329"/>
      <c r="K22" s="329">
        <v>254000</v>
      </c>
      <c r="L22" s="329"/>
      <c r="M22" s="329"/>
      <c r="N22" s="329">
        <f t="shared" si="0"/>
        <v>254000</v>
      </c>
      <c r="O22" s="330">
        <v>46459</v>
      </c>
      <c r="P22" s="334">
        <f t="shared" si="1"/>
        <v>2027</v>
      </c>
      <c r="Q22" s="334">
        <f t="shared" si="2"/>
        <v>3</v>
      </c>
      <c r="R22" s="333" t="str" cm="1">
        <f t="array" ref="R22">IFERROR(_xlfn.IFS(AND(O22&gt;=DATE(2025,1,1),O22&lt;=DATE(2027,7,31)),"Year 1",AND(O22&gt;=DATE(2027,8,1),O22&lt;=DATE(2028,7,31)),"Year 2",AND(O22&gt;=DATE(2028,8,1),O22&lt;=DATE(2029,7,31)),"Year 3"),"Future")</f>
        <v>Year 1</v>
      </c>
      <c r="S22" s="333">
        <v>0</v>
      </c>
      <c r="T22" s="333">
        <f>+N22</f>
        <v>254000</v>
      </c>
      <c r="U22" s="329"/>
      <c r="V22" s="329"/>
      <c r="W22" s="329"/>
      <c r="X22" s="329"/>
      <c r="Y22" s="329"/>
      <c r="Z22" s="329">
        <f t="shared" si="3"/>
        <v>556489</v>
      </c>
    </row>
    <row r="23" spans="1:27" x14ac:dyDescent="0.25">
      <c r="A23" s="326" t="s">
        <v>764</v>
      </c>
      <c r="B23" s="326" t="s">
        <v>802</v>
      </c>
      <c r="C23" s="326" t="str">
        <f t="shared" si="7"/>
        <v>ALL_Fire Suppression</v>
      </c>
      <c r="D23" s="326" t="s">
        <v>767</v>
      </c>
      <c r="E23" s="326" t="s">
        <v>19</v>
      </c>
      <c r="F23" s="326" t="s">
        <v>768</v>
      </c>
      <c r="G23" s="329">
        <v>1905000</v>
      </c>
      <c r="H23" s="329">
        <f t="shared" si="8"/>
        <v>1905000</v>
      </c>
      <c r="I23" s="329">
        <v>0</v>
      </c>
      <c r="J23" s="329"/>
      <c r="K23" s="329">
        <v>1905000</v>
      </c>
      <c r="L23" s="329"/>
      <c r="M23" s="329"/>
      <c r="N23" s="329">
        <f t="shared" si="0"/>
        <v>1905000</v>
      </c>
      <c r="O23" s="330">
        <v>46459</v>
      </c>
      <c r="P23" s="334">
        <f t="shared" si="1"/>
        <v>2027</v>
      </c>
      <c r="Q23" s="334">
        <f t="shared" si="2"/>
        <v>3</v>
      </c>
      <c r="R23" s="333" t="str" cm="1">
        <f t="array" ref="R23">IFERROR(_xlfn.IFS(AND(O23&gt;=DATE(2025,1,1),O23&lt;=DATE(2027,7,31)),"Year 1",AND(O23&gt;=DATE(2027,8,1),O23&lt;=DATE(2028,7,31)),"Year 2",AND(O23&gt;=DATE(2028,8,1),O23&lt;=DATE(2029,7,31)),"Year 3"),"Future")</f>
        <v>Year 1</v>
      </c>
      <c r="S23" s="333">
        <v>0</v>
      </c>
      <c r="T23" s="333">
        <f>+N23</f>
        <v>1905000</v>
      </c>
      <c r="U23" s="329"/>
      <c r="V23" s="329"/>
      <c r="W23" s="329"/>
      <c r="X23" s="329"/>
      <c r="Y23" s="329"/>
      <c r="Z23" s="329">
        <f t="shared" si="3"/>
        <v>3858489</v>
      </c>
    </row>
    <row r="24" spans="1:27" x14ac:dyDescent="0.25">
      <c r="A24" s="326" t="s">
        <v>764</v>
      </c>
      <c r="B24" s="326" t="s">
        <v>803</v>
      </c>
      <c r="C24" s="326" t="str">
        <f t="shared" si="7"/>
        <v xml:space="preserve">Melr_ Off &amp; conn BLD Renovations </v>
      </c>
      <c r="D24" s="326" t="s">
        <v>780</v>
      </c>
      <c r="E24" s="326" t="s">
        <v>772</v>
      </c>
      <c r="F24" s="326" t="s">
        <v>768</v>
      </c>
      <c r="G24" s="329">
        <v>2580765.73</v>
      </c>
      <c r="H24" s="329">
        <f t="shared" si="8"/>
        <v>2580765.73</v>
      </c>
      <c r="I24" s="329">
        <v>1290382.865</v>
      </c>
      <c r="J24" s="329">
        <v>1290382.865</v>
      </c>
      <c r="K24" s="329"/>
      <c r="L24" s="329"/>
      <c r="M24" s="329"/>
      <c r="N24" s="329">
        <f t="shared" si="0"/>
        <v>2580765.73</v>
      </c>
      <c r="O24" s="330">
        <v>46617</v>
      </c>
      <c r="P24" s="334">
        <f t="shared" si="1"/>
        <v>2027</v>
      </c>
      <c r="Q24" s="334">
        <f t="shared" si="2"/>
        <v>8</v>
      </c>
      <c r="R24" s="333" t="str" cm="1">
        <f t="array" ref="R24">IFERROR(_xlfn.IFS(AND(O24&gt;=DATE(2025,1,1),O24&lt;=DATE(2027,7,31)),"Year 1",AND(O24&gt;=DATE(2027,8,1),O24&lt;=DATE(2028,7,31)),"Year 2",AND(O24&gt;=DATE(2028,8,1),O24&lt;=DATE(2029,7,31)),"Year 3"),"Future")</f>
        <v>Year 2</v>
      </c>
      <c r="S24" s="333">
        <f t="shared" ref="S24:S36" si="9">+N24</f>
        <v>2580765.73</v>
      </c>
      <c r="T24" s="333">
        <v>0</v>
      </c>
      <c r="U24" s="329"/>
      <c r="V24" s="329"/>
      <c r="W24" s="329"/>
      <c r="X24" s="329"/>
      <c r="Y24" s="329"/>
      <c r="Z24" s="329">
        <f t="shared" si="3"/>
        <v>5210183.46</v>
      </c>
    </row>
    <row r="25" spans="1:27" x14ac:dyDescent="0.25">
      <c r="A25" s="326" t="s">
        <v>764</v>
      </c>
      <c r="B25" s="326" t="s">
        <v>804</v>
      </c>
      <c r="C25" s="326" t="str">
        <f t="shared" si="7"/>
        <v>Melr_ Office BLDG HVAC</v>
      </c>
      <c r="D25" s="326" t="s">
        <v>780</v>
      </c>
      <c r="E25" s="326" t="s">
        <v>772</v>
      </c>
      <c r="F25" s="326" t="s">
        <v>768</v>
      </c>
      <c r="G25" s="329">
        <v>952500</v>
      </c>
      <c r="H25" s="329">
        <f t="shared" si="8"/>
        <v>952500</v>
      </c>
      <c r="I25" s="329">
        <v>635000</v>
      </c>
      <c r="J25" s="329">
        <v>317500</v>
      </c>
      <c r="K25" s="329"/>
      <c r="L25" s="329"/>
      <c r="M25" s="329"/>
      <c r="N25" s="329">
        <f t="shared" si="0"/>
        <v>952500</v>
      </c>
      <c r="O25" s="330">
        <v>46617</v>
      </c>
      <c r="P25" s="334">
        <f t="shared" si="1"/>
        <v>2027</v>
      </c>
      <c r="Q25" s="334">
        <f t="shared" si="2"/>
        <v>8</v>
      </c>
      <c r="R25" s="333" t="str" cm="1">
        <f t="array" ref="R25">IFERROR(_xlfn.IFS(AND(O25&gt;=DATE(2025,1,1),O25&lt;=DATE(2027,7,31)),"Year 1",AND(O25&gt;=DATE(2027,8,1),O25&lt;=DATE(2028,7,31)),"Year 2",AND(O25&gt;=DATE(2028,8,1),O25&lt;=DATE(2029,7,31)),"Year 3"),"Future")</f>
        <v>Year 2</v>
      </c>
      <c r="S25" s="333">
        <f t="shared" si="9"/>
        <v>952500</v>
      </c>
      <c r="T25" s="333">
        <v>0</v>
      </c>
      <c r="U25" s="329"/>
      <c r="V25" s="329"/>
      <c r="W25" s="329"/>
      <c r="X25" s="329"/>
      <c r="Y25" s="329"/>
      <c r="Z25" s="329">
        <f t="shared" si="3"/>
        <v>1953652</v>
      </c>
    </row>
    <row r="26" spans="1:27" x14ac:dyDescent="0.25">
      <c r="A26" s="326" t="s">
        <v>764</v>
      </c>
      <c r="B26" s="326" t="s">
        <v>805</v>
      </c>
      <c r="C26" s="326" t="str">
        <f t="shared" si="7"/>
        <v>Melr_Fire alarm upgrade</v>
      </c>
      <c r="D26" s="326" t="s">
        <v>780</v>
      </c>
      <c r="E26" s="326" t="s">
        <v>772</v>
      </c>
      <c r="F26" s="326" t="s">
        <v>768</v>
      </c>
      <c r="G26" s="329">
        <v>1841500</v>
      </c>
      <c r="H26" s="329">
        <f t="shared" si="8"/>
        <v>1841500</v>
      </c>
      <c r="I26" s="329">
        <v>0</v>
      </c>
      <c r="J26" s="329">
        <v>460375</v>
      </c>
      <c r="K26" s="329">
        <v>1381125</v>
      </c>
      <c r="L26" s="329">
        <v>0</v>
      </c>
      <c r="M26" s="329"/>
      <c r="N26" s="329">
        <f t="shared" si="0"/>
        <v>1841500</v>
      </c>
      <c r="O26" s="330">
        <v>46617</v>
      </c>
      <c r="P26" s="334">
        <f t="shared" si="1"/>
        <v>2027</v>
      </c>
      <c r="Q26" s="334">
        <f t="shared" si="2"/>
        <v>8</v>
      </c>
      <c r="R26" s="333" t="str" cm="1">
        <f t="array" ref="R26">IFERROR(_xlfn.IFS(AND(O26&gt;=DATE(2025,1,1),O26&lt;=DATE(2027,7,31)),"Year 1",AND(O26&gt;=DATE(2027,8,1),O26&lt;=DATE(2028,7,31)),"Year 2",AND(O26&gt;=DATE(2028,8,1),O26&lt;=DATE(2029,7,31)),"Year 3"),"Future")</f>
        <v>Year 2</v>
      </c>
      <c r="S26" s="333">
        <f t="shared" si="9"/>
        <v>1841500</v>
      </c>
      <c r="T26" s="333">
        <v>0</v>
      </c>
      <c r="U26" s="329"/>
      <c r="V26" s="329"/>
      <c r="W26" s="329"/>
      <c r="X26" s="329"/>
      <c r="Y26" s="329"/>
      <c r="Z26" s="329">
        <f t="shared" si="3"/>
        <v>3731652</v>
      </c>
    </row>
    <row r="27" spans="1:27" x14ac:dyDescent="0.25">
      <c r="A27" s="326" t="s">
        <v>764</v>
      </c>
      <c r="B27" s="326" t="s">
        <v>806</v>
      </c>
      <c r="C27" s="326" t="str">
        <f t="shared" si="7"/>
        <v>Melr_Fire escape repair/replace</v>
      </c>
      <c r="D27" s="326" t="s">
        <v>780</v>
      </c>
      <c r="E27" s="326" t="s">
        <v>772</v>
      </c>
      <c r="F27" s="326" t="s">
        <v>768</v>
      </c>
      <c r="G27" s="329">
        <v>127000</v>
      </c>
      <c r="H27" s="329">
        <f t="shared" si="8"/>
        <v>127000</v>
      </c>
      <c r="I27" s="329">
        <v>0</v>
      </c>
      <c r="J27" s="329"/>
      <c r="K27" s="329">
        <v>127000</v>
      </c>
      <c r="L27" s="329"/>
      <c r="M27" s="329"/>
      <c r="N27" s="329">
        <f t="shared" si="0"/>
        <v>127000</v>
      </c>
      <c r="O27" s="330">
        <v>46617</v>
      </c>
      <c r="P27" s="334">
        <f t="shared" si="1"/>
        <v>2027</v>
      </c>
      <c r="Q27" s="334">
        <f t="shared" si="2"/>
        <v>8</v>
      </c>
      <c r="R27" s="333" t="str" cm="1">
        <f t="array" ref="R27">IFERROR(_xlfn.IFS(AND(O27&gt;=DATE(2025,1,1),O27&lt;=DATE(2027,7,31)),"Year 1",AND(O27&gt;=DATE(2027,8,1),O27&lt;=DATE(2028,7,31)),"Year 2",AND(O27&gt;=DATE(2028,8,1),O27&lt;=DATE(2029,7,31)),"Year 3"),"Future")</f>
        <v>Year 2</v>
      </c>
      <c r="S27" s="333">
        <f t="shared" si="9"/>
        <v>127000</v>
      </c>
      <c r="T27" s="333">
        <v>0</v>
      </c>
      <c r="U27" s="329"/>
      <c r="V27" s="329"/>
      <c r="W27" s="329"/>
      <c r="X27" s="329"/>
      <c r="Y27" s="329"/>
      <c r="Z27" s="329">
        <f t="shared" si="3"/>
        <v>302652</v>
      </c>
    </row>
    <row r="28" spans="1:27" x14ac:dyDescent="0.25">
      <c r="A28" s="326" t="s">
        <v>764</v>
      </c>
      <c r="B28" s="326" t="s">
        <v>807</v>
      </c>
      <c r="C28" s="326" t="str">
        <f t="shared" si="7"/>
        <v xml:space="preserve">Melr_Fleet Ops </v>
      </c>
      <c r="D28" s="326" t="s">
        <v>780</v>
      </c>
      <c r="E28" s="326" t="s">
        <v>772</v>
      </c>
      <c r="F28" s="326" t="s">
        <v>768</v>
      </c>
      <c r="G28" s="329">
        <v>5080000</v>
      </c>
      <c r="H28" s="329">
        <v>5080000</v>
      </c>
      <c r="I28" s="329">
        <v>0</v>
      </c>
      <c r="J28" s="329">
        <f>H28</f>
        <v>5080000</v>
      </c>
      <c r="K28" s="329"/>
      <c r="L28" s="329"/>
      <c r="M28" s="329"/>
      <c r="N28" s="329">
        <f t="shared" si="0"/>
        <v>5080000</v>
      </c>
      <c r="O28" s="330">
        <v>46617</v>
      </c>
      <c r="P28" s="334">
        <f t="shared" si="1"/>
        <v>2027</v>
      </c>
      <c r="Q28" s="334">
        <f t="shared" si="2"/>
        <v>8</v>
      </c>
      <c r="R28" s="333" t="str" cm="1">
        <f t="array" ref="R28">IFERROR(_xlfn.IFS(AND(O28&gt;=DATE(2025,1,1),O28&lt;=DATE(2027,7,31)),"Year 1",AND(O28&gt;=DATE(2027,8,1),O28&lt;=DATE(2028,7,31)),"Year 2",AND(O28&gt;=DATE(2028,8,1),O28&lt;=DATE(2029,7,31)),"Year 3"),"Future")</f>
        <v>Year 2</v>
      </c>
      <c r="S28" s="333">
        <f t="shared" si="9"/>
        <v>5080000</v>
      </c>
      <c r="T28" s="333">
        <v>0</v>
      </c>
      <c r="U28" s="329"/>
      <c r="V28" s="329"/>
      <c r="W28" s="329"/>
      <c r="X28" s="329"/>
      <c r="Y28" s="329"/>
      <c r="Z28" s="329">
        <f t="shared" si="3"/>
        <v>10208652</v>
      </c>
    </row>
    <row r="29" spans="1:27" x14ac:dyDescent="0.25">
      <c r="A29" s="326" t="s">
        <v>764</v>
      </c>
      <c r="B29" s="326" t="s">
        <v>808</v>
      </c>
      <c r="C29" s="326" t="str">
        <f t="shared" si="7"/>
        <v>Melr_HVAC Controls Upgrade</v>
      </c>
      <c r="D29" s="326" t="s">
        <v>780</v>
      </c>
      <c r="E29" s="326" t="s">
        <v>772</v>
      </c>
      <c r="F29" s="326" t="s">
        <v>768</v>
      </c>
      <c r="G29" s="329">
        <v>254000</v>
      </c>
      <c r="H29" s="329">
        <f>G29</f>
        <v>254000</v>
      </c>
      <c r="I29" s="329">
        <v>0</v>
      </c>
      <c r="J29" s="329">
        <v>254000</v>
      </c>
      <c r="K29" s="329">
        <v>0</v>
      </c>
      <c r="L29" s="329"/>
      <c r="M29" s="329"/>
      <c r="N29" s="329">
        <f t="shared" si="0"/>
        <v>254000</v>
      </c>
      <c r="O29" s="330">
        <v>46617</v>
      </c>
      <c r="P29" s="334">
        <f t="shared" si="1"/>
        <v>2027</v>
      </c>
      <c r="Q29" s="334">
        <f t="shared" si="2"/>
        <v>8</v>
      </c>
      <c r="R29" s="333" t="str" cm="1">
        <f t="array" ref="R29">IFERROR(_xlfn.IFS(AND(O29&gt;=DATE(2025,1,1),O29&lt;=DATE(2027,7,31)),"Year 1",AND(O29&gt;=DATE(2027,8,1),O29&lt;=DATE(2028,7,31)),"Year 2",AND(O29&gt;=DATE(2028,8,1),O29&lt;=DATE(2029,7,31)),"Year 3"),"Future")</f>
        <v>Year 2</v>
      </c>
      <c r="S29" s="333">
        <f t="shared" si="9"/>
        <v>254000</v>
      </c>
      <c r="T29" s="333">
        <v>0</v>
      </c>
      <c r="U29" s="329"/>
      <c r="V29" s="329"/>
      <c r="W29" s="329"/>
      <c r="X29" s="329"/>
      <c r="Y29" s="329"/>
      <c r="Z29" s="329">
        <f t="shared" si="3"/>
        <v>556652</v>
      </c>
    </row>
    <row r="30" spans="1:27" x14ac:dyDescent="0.25">
      <c r="A30" s="326" t="s">
        <v>764</v>
      </c>
      <c r="B30" s="326" t="s">
        <v>809</v>
      </c>
      <c r="C30" s="326" t="str">
        <f t="shared" si="7"/>
        <v>Melr_Off Building Elevator</v>
      </c>
      <c r="D30" s="326" t="s">
        <v>780</v>
      </c>
      <c r="E30" s="326" t="s">
        <v>772</v>
      </c>
      <c r="F30" s="326" t="s">
        <v>768</v>
      </c>
      <c r="G30" s="329">
        <v>2540000</v>
      </c>
      <c r="H30" s="329">
        <f>G30</f>
        <v>2540000</v>
      </c>
      <c r="I30" s="329">
        <v>0</v>
      </c>
      <c r="J30" s="329">
        <v>635000</v>
      </c>
      <c r="K30" s="329">
        <v>1905000</v>
      </c>
      <c r="L30" s="329"/>
      <c r="M30" s="329"/>
      <c r="N30" s="329">
        <f t="shared" si="0"/>
        <v>2540000</v>
      </c>
      <c r="O30" s="330">
        <v>46617</v>
      </c>
      <c r="P30" s="334">
        <f t="shared" si="1"/>
        <v>2027</v>
      </c>
      <c r="Q30" s="334">
        <f t="shared" si="2"/>
        <v>8</v>
      </c>
      <c r="R30" s="333" t="str" cm="1">
        <f t="array" ref="R30">IFERROR(_xlfn.IFS(AND(O30&gt;=DATE(2025,1,1),O30&lt;=DATE(2027,7,31)),"Year 1",AND(O30&gt;=DATE(2027,8,1),O30&lt;=DATE(2028,7,31)),"Year 2",AND(O30&gt;=DATE(2028,8,1),O30&lt;=DATE(2029,7,31)),"Year 3"),"Future")</f>
        <v>Year 2</v>
      </c>
      <c r="S30" s="333">
        <f t="shared" si="9"/>
        <v>2540000</v>
      </c>
      <c r="T30" s="333">
        <v>0</v>
      </c>
      <c r="U30" s="329"/>
      <c r="V30" s="329"/>
      <c r="W30" s="329"/>
      <c r="X30" s="329"/>
      <c r="Y30" s="329"/>
      <c r="Z30" s="329">
        <f t="shared" si="3"/>
        <v>5128652</v>
      </c>
    </row>
    <row r="31" spans="1:27" x14ac:dyDescent="0.25">
      <c r="A31" s="326" t="s">
        <v>764</v>
      </c>
      <c r="B31" s="326" t="s">
        <v>810</v>
      </c>
      <c r="C31" s="326" t="str">
        <f t="shared" si="7"/>
        <v xml:space="preserve">Melr_Office and connector Façade repointing </v>
      </c>
      <c r="D31" s="326" t="s">
        <v>780</v>
      </c>
      <c r="E31" s="326" t="s">
        <v>772</v>
      </c>
      <c r="F31" s="326" t="s">
        <v>768</v>
      </c>
      <c r="G31" s="329">
        <v>952500</v>
      </c>
      <c r="H31" s="329">
        <f>G31</f>
        <v>952500</v>
      </c>
      <c r="I31" s="329">
        <v>0</v>
      </c>
      <c r="J31" s="329"/>
      <c r="K31" s="329">
        <v>952500</v>
      </c>
      <c r="L31" s="329"/>
      <c r="M31" s="329"/>
      <c r="N31" s="329">
        <f t="shared" si="0"/>
        <v>952500</v>
      </c>
      <c r="O31" s="330">
        <v>46617</v>
      </c>
      <c r="P31" s="334">
        <f t="shared" si="1"/>
        <v>2027</v>
      </c>
      <c r="Q31" s="334">
        <f t="shared" si="2"/>
        <v>8</v>
      </c>
      <c r="R31" s="333" t="str" cm="1">
        <f t="array" ref="R31">IFERROR(_xlfn.IFS(AND(O31&gt;=DATE(2025,1,1),O31&lt;=DATE(2027,7,31)),"Year 1",AND(O31&gt;=DATE(2027,8,1),O31&lt;=DATE(2028,7,31)),"Year 2",AND(O31&gt;=DATE(2028,8,1),O31&lt;=DATE(2029,7,31)),"Year 3"),"Future")</f>
        <v>Year 2</v>
      </c>
      <c r="S31" s="333">
        <f t="shared" si="9"/>
        <v>952500</v>
      </c>
      <c r="T31" s="333">
        <v>0</v>
      </c>
      <c r="U31" s="329"/>
      <c r="V31" s="329"/>
      <c r="W31" s="329"/>
      <c r="X31" s="329"/>
      <c r="Y31" s="329"/>
      <c r="Z31" s="329">
        <f t="shared" si="3"/>
        <v>1953652</v>
      </c>
    </row>
    <row r="32" spans="1:27" x14ac:dyDescent="0.25">
      <c r="A32" s="326" t="s">
        <v>764</v>
      </c>
      <c r="B32" s="326" t="s">
        <v>811</v>
      </c>
      <c r="C32" s="326" t="str">
        <f t="shared" si="7"/>
        <v>Chop_Building Close</v>
      </c>
      <c r="D32" s="326" t="s">
        <v>812</v>
      </c>
      <c r="E32" s="326" t="s">
        <v>18</v>
      </c>
      <c r="F32" s="326" t="s">
        <v>768</v>
      </c>
      <c r="G32" s="329">
        <v>500000</v>
      </c>
      <c r="H32" s="329">
        <f>G32</f>
        <v>500000</v>
      </c>
      <c r="I32" s="329">
        <v>0</v>
      </c>
      <c r="J32" s="329">
        <v>500000</v>
      </c>
      <c r="K32" s="329"/>
      <c r="L32" s="329"/>
      <c r="M32" s="329"/>
      <c r="N32" s="329">
        <f t="shared" si="0"/>
        <v>500000</v>
      </c>
      <c r="O32" s="330">
        <v>46626</v>
      </c>
      <c r="P32" s="334">
        <f t="shared" si="1"/>
        <v>2027</v>
      </c>
      <c r="Q32" s="334">
        <f t="shared" si="2"/>
        <v>8</v>
      </c>
      <c r="R32" s="333" t="str" cm="1">
        <f t="array" ref="R32">IFERROR(_xlfn.IFS(AND(O32&gt;=DATE(2025,1,1),O32&lt;=DATE(2027,7,31)),"Year 1",AND(O32&gt;=DATE(2027,8,1),O32&lt;=DATE(2028,7,31)),"Year 2",AND(O32&gt;=DATE(2028,8,1),O32&lt;=DATE(2029,7,31)),"Year 3"),"Future")</f>
        <v>Year 2</v>
      </c>
      <c r="S32" s="333">
        <f t="shared" si="9"/>
        <v>500000</v>
      </c>
      <c r="T32" s="333">
        <v>0</v>
      </c>
      <c r="U32" s="329"/>
      <c r="V32" s="329"/>
      <c r="W32" s="329"/>
      <c r="X32" s="329"/>
      <c r="Y32" s="329"/>
      <c r="Z32" s="329">
        <f t="shared" si="3"/>
        <v>1048661</v>
      </c>
    </row>
    <row r="33" spans="1:26" x14ac:dyDescent="0.25">
      <c r="A33" s="326" t="s">
        <v>764</v>
      </c>
      <c r="B33" s="326" t="s">
        <v>813</v>
      </c>
      <c r="C33" s="326" t="str">
        <f t="shared" si="7"/>
        <v>Linc_Site Work Development</v>
      </c>
      <c r="D33" s="326" t="s">
        <v>814</v>
      </c>
      <c r="E33" s="326" t="s">
        <v>772</v>
      </c>
      <c r="F33" s="326" t="s">
        <v>768</v>
      </c>
      <c r="G33" s="329">
        <v>2540000</v>
      </c>
      <c r="H33" s="329">
        <f>G33</f>
        <v>2540000</v>
      </c>
      <c r="I33" s="329">
        <v>0</v>
      </c>
      <c r="J33" s="329"/>
      <c r="K33" s="329">
        <v>1693333.3333333333</v>
      </c>
      <c r="L33" s="329">
        <v>846666.66666666674</v>
      </c>
      <c r="M33" s="329"/>
      <c r="N33" s="329">
        <f t="shared" si="0"/>
        <v>2540000</v>
      </c>
      <c r="O33" s="330">
        <v>46645</v>
      </c>
      <c r="P33" s="334">
        <f t="shared" si="1"/>
        <v>2027</v>
      </c>
      <c r="Q33" s="334">
        <f t="shared" si="2"/>
        <v>9</v>
      </c>
      <c r="R33" s="333" t="str" cm="1">
        <f t="array" ref="R33">IFERROR(_xlfn.IFS(AND(O33&gt;=DATE(2025,1,1),O33&lt;=DATE(2027,7,31)),"Year 1",AND(O33&gt;=DATE(2027,8,1),O33&lt;=DATE(2028,7,31)),"Year 2",AND(O33&gt;=DATE(2028,8,1),O33&lt;=DATE(2029,7,31)),"Year 3"),"Future")</f>
        <v>Year 2</v>
      </c>
      <c r="S33" s="333">
        <f t="shared" si="9"/>
        <v>2540000</v>
      </c>
      <c r="T33" s="333">
        <v>0</v>
      </c>
      <c r="U33" s="329"/>
      <c r="V33" s="329"/>
      <c r="W33" s="329"/>
      <c r="X33" s="329"/>
      <c r="Y33" s="329"/>
      <c r="Z33" s="329">
        <f t="shared" si="3"/>
        <v>5128681</v>
      </c>
    </row>
    <row r="34" spans="1:26" x14ac:dyDescent="0.25">
      <c r="A34" s="326" t="s">
        <v>764</v>
      </c>
      <c r="B34" s="326" t="s">
        <v>815</v>
      </c>
      <c r="C34" s="326" t="str">
        <f t="shared" si="7"/>
        <v>Linc_Site Work Existing - Lot Paving</v>
      </c>
      <c r="D34" s="326" t="s">
        <v>814</v>
      </c>
      <c r="E34" s="326" t="s">
        <v>772</v>
      </c>
      <c r="F34" s="326" t="s">
        <v>768</v>
      </c>
      <c r="G34" s="329">
        <v>3175000</v>
      </c>
      <c r="H34" s="329">
        <v>3175000</v>
      </c>
      <c r="I34" s="329">
        <f>H34/2</f>
        <v>1587500</v>
      </c>
      <c r="J34" s="329">
        <v>1587500</v>
      </c>
      <c r="K34" s="329"/>
      <c r="L34" s="329"/>
      <c r="M34" s="329"/>
      <c r="N34" s="329">
        <f t="shared" ref="N34:N58" si="10">SUM(I34:M34)</f>
        <v>3175000</v>
      </c>
      <c r="O34" s="330">
        <v>46645</v>
      </c>
      <c r="P34" s="334">
        <f t="shared" ref="P34:P56" si="11">YEAR(O34)</f>
        <v>2027</v>
      </c>
      <c r="Q34" s="334">
        <f t="shared" ref="Q34:Q56" si="12">MONTH(O34)</f>
        <v>9</v>
      </c>
      <c r="R34" s="333" t="str" cm="1">
        <f t="array" ref="R34">IFERROR(_xlfn.IFS(AND(O34&gt;=DATE(2025,1,1),O34&lt;=DATE(2027,7,31)),"Year 1",AND(O34&gt;=DATE(2027,8,1),O34&lt;=DATE(2028,7,31)),"Year 2",AND(O34&gt;=DATE(2028,8,1),O34&lt;=DATE(2029,7,31)),"Year 3"),"Future")</f>
        <v>Year 2</v>
      </c>
      <c r="S34" s="333">
        <f t="shared" si="9"/>
        <v>3175000</v>
      </c>
      <c r="T34" s="333">
        <v>0</v>
      </c>
      <c r="U34" s="333">
        <v>0</v>
      </c>
      <c r="V34" s="333">
        <v>0</v>
      </c>
      <c r="W34" s="333">
        <v>0</v>
      </c>
      <c r="X34" s="333">
        <v>0</v>
      </c>
      <c r="Y34" s="333">
        <v>0</v>
      </c>
      <c r="Z34" s="333">
        <v>0</v>
      </c>
    </row>
    <row r="35" spans="1:26" x14ac:dyDescent="0.25">
      <c r="A35" s="326" t="s">
        <v>764</v>
      </c>
      <c r="B35" s="326" t="s">
        <v>816</v>
      </c>
      <c r="C35" s="326" t="str">
        <f t="shared" si="7"/>
        <v>Melr_ Site remediation Phase 2</v>
      </c>
      <c r="D35" s="326" t="s">
        <v>780</v>
      </c>
      <c r="E35" s="326" t="s">
        <v>772</v>
      </c>
      <c r="F35" s="326" t="s">
        <v>768</v>
      </c>
      <c r="G35" s="329">
        <v>5080000</v>
      </c>
      <c r="H35" s="329">
        <f t="shared" ref="H35:H41" si="13">G35</f>
        <v>5080000</v>
      </c>
      <c r="I35" s="329">
        <v>2000000</v>
      </c>
      <c r="J35" s="329">
        <v>2000000</v>
      </c>
      <c r="K35" s="329">
        <v>1080000</v>
      </c>
      <c r="L35" s="329"/>
      <c r="M35" s="329"/>
      <c r="N35" s="329">
        <f t="shared" si="10"/>
        <v>5080000</v>
      </c>
      <c r="O35" s="330">
        <v>46659</v>
      </c>
      <c r="P35" s="334">
        <f t="shared" si="11"/>
        <v>2027</v>
      </c>
      <c r="Q35" s="334">
        <f t="shared" si="12"/>
        <v>9</v>
      </c>
      <c r="R35" s="333" t="str" cm="1">
        <f t="array" ref="R35">IFERROR(_xlfn.IFS(AND(O35&gt;=DATE(2025,1,1),O35&lt;=DATE(2027,7,31)),"Year 1",AND(O35&gt;=DATE(2027,8,1),O35&lt;=DATE(2028,7,31)),"Year 2",AND(O35&gt;=DATE(2028,8,1),O35&lt;=DATE(2029,7,31)),"Year 3"),"Future")</f>
        <v>Year 2</v>
      </c>
      <c r="S35" s="333">
        <f t="shared" si="9"/>
        <v>5080000</v>
      </c>
      <c r="T35" s="333">
        <v>0</v>
      </c>
      <c r="U35" s="329"/>
      <c r="V35" s="329"/>
      <c r="W35" s="329"/>
      <c r="X35" s="329"/>
      <c r="Y35" s="329"/>
      <c r="Z35" s="329">
        <f t="shared" ref="Z35:Z58" si="14">SUM(N35:Y35)</f>
        <v>10208695</v>
      </c>
    </row>
    <row r="36" spans="1:26" x14ac:dyDescent="0.25">
      <c r="A36" s="326" t="s">
        <v>764</v>
      </c>
      <c r="B36" s="326" t="s">
        <v>817</v>
      </c>
      <c r="C36" s="326" t="str">
        <f t="shared" si="7"/>
        <v>Melr_Solar Part 2</v>
      </c>
      <c r="D36" s="326" t="s">
        <v>780</v>
      </c>
      <c r="E36" s="326" t="s">
        <v>772</v>
      </c>
      <c r="F36" s="326" t="s">
        <v>768</v>
      </c>
      <c r="G36" s="329">
        <v>635000</v>
      </c>
      <c r="H36" s="329">
        <f t="shared" si="13"/>
        <v>635000</v>
      </c>
      <c r="I36" s="329">
        <v>0</v>
      </c>
      <c r="J36" s="329"/>
      <c r="K36" s="329">
        <v>635000</v>
      </c>
      <c r="L36" s="329"/>
      <c r="M36" s="329"/>
      <c r="N36" s="329">
        <f t="shared" si="10"/>
        <v>635000</v>
      </c>
      <c r="O36" s="330">
        <v>46659</v>
      </c>
      <c r="P36" s="334">
        <f t="shared" si="11"/>
        <v>2027</v>
      </c>
      <c r="Q36" s="334">
        <f t="shared" si="12"/>
        <v>9</v>
      </c>
      <c r="R36" s="333" t="str" cm="1">
        <f t="array" ref="R36">IFERROR(_xlfn.IFS(AND(O36&gt;=DATE(2025,1,1),O36&lt;=DATE(2027,7,31)),"Year 1",AND(O36&gt;=DATE(2027,8,1),O36&lt;=DATE(2028,7,31)),"Year 2",AND(O36&gt;=DATE(2028,8,1),O36&lt;=DATE(2029,7,31)),"Year 3"),"Future")</f>
        <v>Year 2</v>
      </c>
      <c r="S36" s="333">
        <f t="shared" si="9"/>
        <v>635000</v>
      </c>
      <c r="T36" s="333">
        <v>0</v>
      </c>
      <c r="U36" s="329"/>
      <c r="V36" s="329"/>
      <c r="W36" s="329"/>
      <c r="X36" s="329"/>
      <c r="Y36" s="329"/>
      <c r="Z36" s="329">
        <f t="shared" si="14"/>
        <v>1318695</v>
      </c>
    </row>
    <row r="37" spans="1:26" x14ac:dyDescent="0.25">
      <c r="A37" s="326" t="s">
        <v>764</v>
      </c>
      <c r="B37" s="326" t="s">
        <v>818</v>
      </c>
      <c r="C37" s="326" t="str">
        <f t="shared" si="7"/>
        <v>Dex_Building Sale</v>
      </c>
      <c r="D37" s="326" t="s">
        <v>785</v>
      </c>
      <c r="E37" s="326" t="s">
        <v>19</v>
      </c>
      <c r="F37" s="326" t="s">
        <v>768</v>
      </c>
      <c r="G37" s="329">
        <v>-4925000</v>
      </c>
      <c r="H37" s="329">
        <f t="shared" si="13"/>
        <v>-4925000</v>
      </c>
      <c r="I37" s="329">
        <v>0</v>
      </c>
      <c r="J37" s="329">
        <v>0</v>
      </c>
      <c r="K37" s="329">
        <v>-4925000</v>
      </c>
      <c r="L37" s="329"/>
      <c r="M37" s="329"/>
      <c r="N37" s="329">
        <f t="shared" si="10"/>
        <v>-4925000</v>
      </c>
      <c r="O37" s="330">
        <v>46716</v>
      </c>
      <c r="P37" s="334">
        <f t="shared" si="11"/>
        <v>2027</v>
      </c>
      <c r="Q37" s="334">
        <f t="shared" si="12"/>
        <v>11</v>
      </c>
      <c r="R37" s="333" t="str" cm="1">
        <f t="array" ref="R37">IFERROR(_xlfn.IFS(AND(O37&gt;=DATE(2025,1,1),O37&lt;=DATE(2027,7,31)),"Year 1",AND(O37&gt;=DATE(2027,8,1),O37&lt;=DATE(2028,7,31)),"Year 2",AND(O37&gt;=DATE(2028,8,1),O37&lt;=DATE(2029,7,31)),"Year 3"),"Future")</f>
        <v>Year 2</v>
      </c>
      <c r="S37" s="333">
        <v>0</v>
      </c>
      <c r="T37" s="333">
        <f>+N37</f>
        <v>-4925000</v>
      </c>
      <c r="U37" s="329"/>
      <c r="V37" s="329"/>
      <c r="W37" s="329"/>
      <c r="X37" s="329"/>
      <c r="Y37" s="329"/>
      <c r="Z37" s="329">
        <f t="shared" si="14"/>
        <v>-9801246</v>
      </c>
    </row>
    <row r="38" spans="1:26" x14ac:dyDescent="0.25">
      <c r="A38" s="326" t="s">
        <v>764</v>
      </c>
      <c r="B38" s="326" t="s">
        <v>819</v>
      </c>
      <c r="C38" s="326" t="str">
        <f t="shared" si="7"/>
        <v xml:space="preserve">Midt_ LED upgrades </v>
      </c>
      <c r="D38" s="326" t="s">
        <v>771</v>
      </c>
      <c r="E38" s="326" t="s">
        <v>772</v>
      </c>
      <c r="F38" s="326" t="s">
        <v>768</v>
      </c>
      <c r="G38" s="329">
        <v>127000</v>
      </c>
      <c r="H38" s="329">
        <f t="shared" si="13"/>
        <v>127000</v>
      </c>
      <c r="I38" s="329">
        <v>0</v>
      </c>
      <c r="J38" s="329"/>
      <c r="K38" s="329"/>
      <c r="L38" s="329">
        <v>127000</v>
      </c>
      <c r="M38" s="329"/>
      <c r="N38" s="329">
        <f t="shared" si="10"/>
        <v>127000</v>
      </c>
      <c r="O38" s="330">
        <v>46822</v>
      </c>
      <c r="P38" s="334">
        <f t="shared" si="11"/>
        <v>2028</v>
      </c>
      <c r="Q38" s="334">
        <f t="shared" si="12"/>
        <v>3</v>
      </c>
      <c r="R38" s="333" t="str" cm="1">
        <f t="array" ref="R38">IFERROR(_xlfn.IFS(AND(O38&gt;=DATE(2025,1,1),O38&lt;=DATE(2027,7,31)),"Year 1",AND(O38&gt;=DATE(2027,8,1),O38&lt;=DATE(2028,7,31)),"Year 2",AND(O38&gt;=DATE(2028,8,1),O38&lt;=DATE(2029,7,31)),"Year 3"),"Future")</f>
        <v>Year 2</v>
      </c>
      <c r="S38" s="333">
        <f t="shared" ref="S38:S53" si="15">+N38</f>
        <v>127000</v>
      </c>
      <c r="T38" s="333">
        <v>0</v>
      </c>
      <c r="U38" s="329"/>
      <c r="V38" s="329"/>
      <c r="W38" s="329"/>
      <c r="X38" s="329"/>
      <c r="Y38" s="329"/>
      <c r="Z38" s="329">
        <f t="shared" si="14"/>
        <v>302853</v>
      </c>
    </row>
    <row r="39" spans="1:26" x14ac:dyDescent="0.25">
      <c r="A39" s="326" t="s">
        <v>764</v>
      </c>
      <c r="B39" s="326" t="s">
        <v>820</v>
      </c>
      <c r="C39" s="326" t="str">
        <f t="shared" si="7"/>
        <v>Midt_Fire alarm upgrades</v>
      </c>
      <c r="D39" s="326" t="s">
        <v>771</v>
      </c>
      <c r="E39" s="326" t="s">
        <v>772</v>
      </c>
      <c r="F39" s="326" t="s">
        <v>768</v>
      </c>
      <c r="G39" s="329">
        <v>952500</v>
      </c>
      <c r="H39" s="329">
        <f t="shared" si="13"/>
        <v>952500</v>
      </c>
      <c r="I39" s="329">
        <v>0</v>
      </c>
      <c r="J39" s="329">
        <v>952500</v>
      </c>
      <c r="K39" s="329"/>
      <c r="L39" s="329"/>
      <c r="M39" s="329"/>
      <c r="N39" s="329">
        <f t="shared" si="10"/>
        <v>952500</v>
      </c>
      <c r="O39" s="330">
        <v>46822</v>
      </c>
      <c r="P39" s="334">
        <f t="shared" si="11"/>
        <v>2028</v>
      </c>
      <c r="Q39" s="334">
        <f t="shared" si="12"/>
        <v>3</v>
      </c>
      <c r="R39" s="333" t="str" cm="1">
        <f t="array" ref="R39">IFERROR(_xlfn.IFS(AND(O39&gt;=DATE(2025,1,1),O39&lt;=DATE(2027,7,31)),"Year 1",AND(O39&gt;=DATE(2027,8,1),O39&lt;=DATE(2028,7,31)),"Year 2",AND(O39&gt;=DATE(2028,8,1),O39&lt;=DATE(2029,7,31)),"Year 3"),"Future")</f>
        <v>Year 2</v>
      </c>
      <c r="S39" s="333">
        <f t="shared" si="15"/>
        <v>952500</v>
      </c>
      <c r="T39" s="333">
        <v>0</v>
      </c>
      <c r="U39" s="329"/>
      <c r="V39" s="329"/>
      <c r="W39" s="329"/>
      <c r="X39" s="329"/>
      <c r="Y39" s="329"/>
      <c r="Z39" s="329">
        <f t="shared" si="14"/>
        <v>1953853</v>
      </c>
    </row>
    <row r="40" spans="1:26" x14ac:dyDescent="0.25">
      <c r="A40" s="326" t="s">
        <v>764</v>
      </c>
      <c r="B40" s="326" t="s">
        <v>821</v>
      </c>
      <c r="C40" s="326" t="str">
        <f t="shared" si="7"/>
        <v>Midt_Gas office &amp; bathroom reno</v>
      </c>
      <c r="D40" s="326" t="s">
        <v>771</v>
      </c>
      <c r="E40" s="326" t="s">
        <v>19</v>
      </c>
      <c r="F40" s="326" t="s">
        <v>768</v>
      </c>
      <c r="G40" s="329">
        <v>1016000</v>
      </c>
      <c r="H40" s="329">
        <f t="shared" si="13"/>
        <v>1016000</v>
      </c>
      <c r="I40" s="329">
        <v>0</v>
      </c>
      <c r="J40" s="329"/>
      <c r="K40" s="329">
        <v>1016000</v>
      </c>
      <c r="L40" s="329"/>
      <c r="M40" s="329"/>
      <c r="N40" s="329">
        <f t="shared" si="10"/>
        <v>1016000</v>
      </c>
      <c r="O40" s="330">
        <v>46822</v>
      </c>
      <c r="P40" s="334">
        <f t="shared" si="11"/>
        <v>2028</v>
      </c>
      <c r="Q40" s="334">
        <f t="shared" si="12"/>
        <v>3</v>
      </c>
      <c r="R40" s="333" t="str" cm="1">
        <f t="array" ref="R40">IFERROR(_xlfn.IFS(AND(O40&gt;=DATE(2025,1,1),O40&lt;=DATE(2027,7,31)),"Year 1",AND(O40&gt;=DATE(2027,8,1),O40&lt;=DATE(2028,7,31)),"Year 2",AND(O40&gt;=DATE(2028,8,1),O40&lt;=DATE(2029,7,31)),"Year 3"),"Future")</f>
        <v>Year 2</v>
      </c>
      <c r="S40" s="333">
        <f t="shared" si="15"/>
        <v>1016000</v>
      </c>
      <c r="T40" s="333">
        <v>0</v>
      </c>
      <c r="U40" s="329"/>
      <c r="V40" s="329"/>
      <c r="W40" s="329"/>
      <c r="X40" s="329"/>
      <c r="Y40" s="329"/>
      <c r="Z40" s="329">
        <f t="shared" si="14"/>
        <v>2080853</v>
      </c>
    </row>
    <row r="41" spans="1:26" x14ac:dyDescent="0.25">
      <c r="A41" s="326" t="s">
        <v>764</v>
      </c>
      <c r="B41" s="326" t="s">
        <v>822</v>
      </c>
      <c r="C41" s="326" t="str">
        <f t="shared" si="7"/>
        <v>Midt_HVAC replacement - roof top</v>
      </c>
      <c r="D41" s="326" t="s">
        <v>771</v>
      </c>
      <c r="E41" s="326" t="s">
        <v>772</v>
      </c>
      <c r="F41" s="326" t="s">
        <v>768</v>
      </c>
      <c r="G41" s="329">
        <v>1270000</v>
      </c>
      <c r="H41" s="329">
        <f t="shared" si="13"/>
        <v>1270000</v>
      </c>
      <c r="I41" s="329">
        <v>0</v>
      </c>
      <c r="J41" s="329"/>
      <c r="K41" s="329">
        <v>1270000</v>
      </c>
      <c r="L41" s="329"/>
      <c r="M41" s="329"/>
      <c r="N41" s="329">
        <f t="shared" si="10"/>
        <v>1270000</v>
      </c>
      <c r="O41" s="330">
        <v>46822</v>
      </c>
      <c r="P41" s="334">
        <f t="shared" si="11"/>
        <v>2028</v>
      </c>
      <c r="Q41" s="334">
        <f t="shared" si="12"/>
        <v>3</v>
      </c>
      <c r="R41" s="333" t="str" cm="1">
        <f t="array" ref="R41">IFERROR(_xlfn.IFS(AND(O41&gt;=DATE(2025,1,1),O41&lt;=DATE(2027,7,31)),"Year 1",AND(O41&gt;=DATE(2027,8,1),O41&lt;=DATE(2028,7,31)),"Year 2",AND(O41&gt;=DATE(2028,8,1),O41&lt;=DATE(2029,7,31)),"Year 3"),"Future")</f>
        <v>Year 2</v>
      </c>
      <c r="S41" s="333">
        <f t="shared" si="15"/>
        <v>1270000</v>
      </c>
      <c r="T41" s="333">
        <v>0</v>
      </c>
      <c r="U41" s="329"/>
      <c r="V41" s="329"/>
      <c r="W41" s="329"/>
      <c r="X41" s="329"/>
      <c r="Y41" s="329"/>
      <c r="Z41" s="329">
        <f t="shared" si="14"/>
        <v>2588853</v>
      </c>
    </row>
    <row r="42" spans="1:26" x14ac:dyDescent="0.25">
      <c r="A42" s="326" t="s">
        <v>764</v>
      </c>
      <c r="B42" s="326" t="s">
        <v>823</v>
      </c>
      <c r="C42" s="326" t="str">
        <f t="shared" si="7"/>
        <v xml:space="preserve">Midt_Roof replacement </v>
      </c>
      <c r="D42" s="326" t="s">
        <v>771</v>
      </c>
      <c r="E42" s="326" t="s">
        <v>772</v>
      </c>
      <c r="F42" s="326" t="s">
        <v>768</v>
      </c>
      <c r="G42" s="329">
        <v>2500000</v>
      </c>
      <c r="H42" s="329">
        <f>1.27*G42</f>
        <v>3175000</v>
      </c>
      <c r="I42" s="329">
        <v>0</v>
      </c>
      <c r="J42" s="329">
        <v>0</v>
      </c>
      <c r="K42" s="329">
        <f>H42</f>
        <v>3175000</v>
      </c>
      <c r="L42" s="329">
        <v>0</v>
      </c>
      <c r="M42" s="329"/>
      <c r="N42" s="329">
        <f t="shared" si="10"/>
        <v>3175000</v>
      </c>
      <c r="O42" s="330">
        <v>46822</v>
      </c>
      <c r="P42" s="334">
        <f t="shared" si="11"/>
        <v>2028</v>
      </c>
      <c r="Q42" s="334">
        <f t="shared" si="12"/>
        <v>3</v>
      </c>
      <c r="R42" s="333" t="str" cm="1">
        <f t="array" ref="R42">IFERROR(_xlfn.IFS(AND(O42&gt;=DATE(2025,1,1),O42&lt;=DATE(2027,7,31)),"Year 1",AND(O42&gt;=DATE(2027,8,1),O42&lt;=DATE(2028,7,31)),"Year 2",AND(O42&gt;=DATE(2028,8,1),O42&lt;=DATE(2029,7,31)),"Year 3"),"Future")</f>
        <v>Year 2</v>
      </c>
      <c r="S42" s="333">
        <f t="shared" si="15"/>
        <v>3175000</v>
      </c>
      <c r="T42" s="333">
        <v>0</v>
      </c>
      <c r="U42" s="329"/>
      <c r="V42" s="329"/>
      <c r="W42" s="329"/>
      <c r="X42" s="329"/>
      <c r="Y42" s="329"/>
      <c r="Z42" s="329">
        <f t="shared" si="14"/>
        <v>6398853</v>
      </c>
    </row>
    <row r="43" spans="1:26" x14ac:dyDescent="0.25">
      <c r="A43" s="326" t="s">
        <v>764</v>
      </c>
      <c r="B43" s="326" t="s">
        <v>824</v>
      </c>
      <c r="C43" s="326" t="str">
        <f t="shared" si="7"/>
        <v>Midt_Solar</v>
      </c>
      <c r="D43" s="326" t="s">
        <v>771</v>
      </c>
      <c r="E43" s="326" t="s">
        <v>772</v>
      </c>
      <c r="F43" s="326" t="s">
        <v>768</v>
      </c>
      <c r="G43" s="329">
        <v>635000</v>
      </c>
      <c r="H43" s="329">
        <f>G43</f>
        <v>635000</v>
      </c>
      <c r="I43" s="329">
        <v>0</v>
      </c>
      <c r="J43" s="329"/>
      <c r="K43" s="329"/>
      <c r="L43" s="329">
        <v>635000</v>
      </c>
      <c r="M43" s="329"/>
      <c r="N43" s="329">
        <f t="shared" si="10"/>
        <v>635000</v>
      </c>
      <c r="O43" s="330">
        <v>46822</v>
      </c>
      <c r="P43" s="334">
        <f t="shared" si="11"/>
        <v>2028</v>
      </c>
      <c r="Q43" s="334">
        <f t="shared" si="12"/>
        <v>3</v>
      </c>
      <c r="R43" s="333" t="str" cm="1">
        <f t="array" ref="R43">IFERROR(_xlfn.IFS(AND(O43&gt;=DATE(2025,1,1),O43&lt;=DATE(2027,7,31)),"Year 1",AND(O43&gt;=DATE(2027,8,1),O43&lt;=DATE(2028,7,31)),"Year 2",AND(O43&gt;=DATE(2028,8,1),O43&lt;=DATE(2029,7,31)),"Year 3"),"Future")</f>
        <v>Year 2</v>
      </c>
      <c r="S43" s="333">
        <f t="shared" si="15"/>
        <v>635000</v>
      </c>
      <c r="T43" s="333">
        <v>0</v>
      </c>
      <c r="U43" s="329"/>
      <c r="V43" s="329"/>
      <c r="W43" s="329"/>
      <c r="X43" s="329"/>
      <c r="Y43" s="329"/>
      <c r="Z43" s="329">
        <f t="shared" si="14"/>
        <v>1318853</v>
      </c>
    </row>
    <row r="44" spans="1:26" x14ac:dyDescent="0.25">
      <c r="A44" s="326" t="s">
        <v>764</v>
      </c>
      <c r="B44" s="326" t="s">
        <v>825</v>
      </c>
      <c r="C44" s="326" t="str">
        <f t="shared" si="7"/>
        <v>Linc_ Fire alarm upgrades</v>
      </c>
      <c r="D44" s="326" t="s">
        <v>814</v>
      </c>
      <c r="E44" s="326" t="s">
        <v>772</v>
      </c>
      <c r="F44" s="326" t="s">
        <v>768</v>
      </c>
      <c r="G44" s="329">
        <v>952500</v>
      </c>
      <c r="H44" s="329">
        <f>G44</f>
        <v>952500</v>
      </c>
      <c r="I44" s="329">
        <v>0</v>
      </c>
      <c r="J44" s="329"/>
      <c r="K44" s="329">
        <v>952500</v>
      </c>
      <c r="L44" s="329"/>
      <c r="M44" s="329"/>
      <c r="N44" s="329">
        <f t="shared" si="10"/>
        <v>952500</v>
      </c>
      <c r="O44" s="330">
        <v>47012</v>
      </c>
      <c r="P44" s="334">
        <f t="shared" si="11"/>
        <v>2028</v>
      </c>
      <c r="Q44" s="334">
        <f t="shared" si="12"/>
        <v>9</v>
      </c>
      <c r="R44" s="333" t="str" cm="1">
        <f t="array" ref="R44">IFERROR(_xlfn.IFS(AND(O44&gt;=DATE(2025,1,1),O44&lt;=DATE(2027,7,31)),"Year 1",AND(O44&gt;=DATE(2027,8,1),O44&lt;=DATE(2028,7,31)),"Year 2",AND(O44&gt;=DATE(2028,8,1),O44&lt;=DATE(2029,7,31)),"Year 3"),"Future")</f>
        <v>Year 3</v>
      </c>
      <c r="S44" s="333">
        <f t="shared" si="15"/>
        <v>952500</v>
      </c>
      <c r="T44" s="333">
        <v>0</v>
      </c>
      <c r="U44" s="329"/>
      <c r="V44" s="329"/>
      <c r="W44" s="329"/>
      <c r="X44" s="329"/>
      <c r="Y44" s="329"/>
      <c r="Z44" s="329">
        <f t="shared" si="14"/>
        <v>1954049</v>
      </c>
    </row>
    <row r="45" spans="1:26" x14ac:dyDescent="0.25">
      <c r="A45" s="326" t="s">
        <v>764</v>
      </c>
      <c r="B45" s="326" t="s">
        <v>826</v>
      </c>
      <c r="C45" s="326" t="str">
        <f t="shared" si="7"/>
        <v>Linc_ Garage bathroom renovation</v>
      </c>
      <c r="D45" s="326" t="s">
        <v>814</v>
      </c>
      <c r="E45" s="326" t="s">
        <v>772</v>
      </c>
      <c r="F45" s="326" t="s">
        <v>768</v>
      </c>
      <c r="G45" s="329">
        <v>317500</v>
      </c>
      <c r="H45" s="329">
        <f>G45</f>
        <v>317500</v>
      </c>
      <c r="I45" s="329">
        <v>0</v>
      </c>
      <c r="J45" s="329"/>
      <c r="K45" s="329"/>
      <c r="L45" s="329">
        <v>317500</v>
      </c>
      <c r="M45" s="329"/>
      <c r="N45" s="329">
        <f t="shared" si="10"/>
        <v>317500</v>
      </c>
      <c r="O45" s="330">
        <v>47012</v>
      </c>
      <c r="P45" s="334">
        <f t="shared" si="11"/>
        <v>2028</v>
      </c>
      <c r="Q45" s="334">
        <f t="shared" si="12"/>
        <v>9</v>
      </c>
      <c r="R45" s="333" t="str" cm="1">
        <f t="array" ref="R45">IFERROR(_xlfn.IFS(AND(O45&gt;=DATE(2025,1,1),O45&lt;=DATE(2027,7,31)),"Year 1",AND(O45&gt;=DATE(2027,8,1),O45&lt;=DATE(2028,7,31)),"Year 2",AND(O45&gt;=DATE(2028,8,1),O45&lt;=DATE(2029,7,31)),"Year 3"),"Future")</f>
        <v>Year 3</v>
      </c>
      <c r="S45" s="333">
        <f t="shared" si="15"/>
        <v>317500</v>
      </c>
      <c r="T45" s="333">
        <v>0</v>
      </c>
      <c r="U45" s="329"/>
      <c r="V45" s="329"/>
      <c r="W45" s="329"/>
      <c r="X45" s="329"/>
      <c r="Y45" s="329"/>
      <c r="Z45" s="329">
        <f t="shared" si="14"/>
        <v>684049</v>
      </c>
    </row>
    <row r="46" spans="1:26" x14ac:dyDescent="0.25">
      <c r="A46" s="326" t="s">
        <v>764</v>
      </c>
      <c r="B46" s="326" t="s">
        <v>827</v>
      </c>
      <c r="C46" s="326" t="str">
        <f t="shared" si="7"/>
        <v>Linc_ HVAC replacement main Bldg</v>
      </c>
      <c r="D46" s="326" t="s">
        <v>814</v>
      </c>
      <c r="E46" s="326" t="s">
        <v>772</v>
      </c>
      <c r="F46" s="326" t="s">
        <v>768</v>
      </c>
      <c r="G46" s="329">
        <v>1524000</v>
      </c>
      <c r="H46" s="329">
        <f>G46</f>
        <v>1524000</v>
      </c>
      <c r="I46" s="329">
        <v>0</v>
      </c>
      <c r="J46" s="329">
        <v>762000</v>
      </c>
      <c r="K46" s="329">
        <v>762000</v>
      </c>
      <c r="L46" s="329"/>
      <c r="M46" s="329"/>
      <c r="N46" s="329">
        <f t="shared" si="10"/>
        <v>1524000</v>
      </c>
      <c r="O46" s="330">
        <v>47012</v>
      </c>
      <c r="P46" s="334">
        <f t="shared" si="11"/>
        <v>2028</v>
      </c>
      <c r="Q46" s="334">
        <f t="shared" si="12"/>
        <v>9</v>
      </c>
      <c r="R46" s="333" t="str" cm="1">
        <f t="array" ref="R46">IFERROR(_xlfn.IFS(AND(O46&gt;=DATE(2025,1,1),O46&lt;=DATE(2027,7,31)),"Year 1",AND(O46&gt;=DATE(2027,8,1),O46&lt;=DATE(2028,7,31)),"Year 2",AND(O46&gt;=DATE(2028,8,1),O46&lt;=DATE(2029,7,31)),"Year 3"),"Future")</f>
        <v>Year 3</v>
      </c>
      <c r="S46" s="333">
        <f t="shared" si="15"/>
        <v>1524000</v>
      </c>
      <c r="T46" s="333">
        <v>0</v>
      </c>
      <c r="U46" s="329"/>
      <c r="V46" s="329"/>
      <c r="W46" s="329"/>
      <c r="X46" s="329"/>
      <c r="Y46" s="329"/>
      <c r="Z46" s="329">
        <f t="shared" si="14"/>
        <v>3097049</v>
      </c>
    </row>
    <row r="47" spans="1:26" x14ac:dyDescent="0.25">
      <c r="A47" s="326" t="s">
        <v>764</v>
      </c>
      <c r="B47" s="326" t="s">
        <v>828</v>
      </c>
      <c r="C47" s="326" t="str">
        <f t="shared" si="7"/>
        <v xml:space="preserve">Linc_ LED upgrades </v>
      </c>
      <c r="D47" s="326" t="s">
        <v>814</v>
      </c>
      <c r="E47" s="326" t="s">
        <v>772</v>
      </c>
      <c r="F47" s="326" t="s">
        <v>768</v>
      </c>
      <c r="G47" s="329">
        <v>125000</v>
      </c>
      <c r="H47" s="329">
        <f>1.27*G47</f>
        <v>158750</v>
      </c>
      <c r="I47" s="329">
        <v>0</v>
      </c>
      <c r="J47" s="329"/>
      <c r="K47" s="329"/>
      <c r="L47" s="329">
        <v>158750</v>
      </c>
      <c r="M47" s="329"/>
      <c r="N47" s="329">
        <f t="shared" si="10"/>
        <v>158750</v>
      </c>
      <c r="O47" s="330">
        <v>47012</v>
      </c>
      <c r="P47" s="334">
        <f t="shared" si="11"/>
        <v>2028</v>
      </c>
      <c r="Q47" s="334">
        <f t="shared" si="12"/>
        <v>9</v>
      </c>
      <c r="R47" s="333" t="str" cm="1">
        <f t="array" ref="R47">IFERROR(_xlfn.IFS(AND(O47&gt;=DATE(2025,1,1),O47&lt;=DATE(2027,7,31)),"Year 1",AND(O47&gt;=DATE(2027,8,1),O47&lt;=DATE(2028,7,31)),"Year 2",AND(O47&gt;=DATE(2028,8,1),O47&lt;=DATE(2029,7,31)),"Year 3"),"Future")</f>
        <v>Year 3</v>
      </c>
      <c r="S47" s="333">
        <f t="shared" si="15"/>
        <v>158750</v>
      </c>
      <c r="T47" s="333">
        <v>0</v>
      </c>
      <c r="U47" s="329"/>
      <c r="V47" s="329"/>
      <c r="W47" s="329"/>
      <c r="X47" s="329"/>
      <c r="Y47" s="329"/>
      <c r="Z47" s="329">
        <f t="shared" si="14"/>
        <v>366549</v>
      </c>
    </row>
    <row r="48" spans="1:26" x14ac:dyDescent="0.25">
      <c r="A48" s="326" t="s">
        <v>764</v>
      </c>
      <c r="B48" s="326" t="s">
        <v>829</v>
      </c>
      <c r="C48" s="326" t="str">
        <f t="shared" si="7"/>
        <v xml:space="preserve">Linc_Gas locker room remodel </v>
      </c>
      <c r="D48" s="326" t="s">
        <v>814</v>
      </c>
      <c r="E48" s="326" t="s">
        <v>19</v>
      </c>
      <c r="F48" s="326" t="s">
        <v>768</v>
      </c>
      <c r="G48" s="329">
        <v>1016000</v>
      </c>
      <c r="H48" s="329">
        <f>G48</f>
        <v>1016000</v>
      </c>
      <c r="I48" s="329">
        <v>0</v>
      </c>
      <c r="J48" s="329"/>
      <c r="K48" s="329"/>
      <c r="L48" s="329">
        <v>1016000</v>
      </c>
      <c r="M48" s="329"/>
      <c r="N48" s="329">
        <f t="shared" si="10"/>
        <v>1016000</v>
      </c>
      <c r="O48" s="330">
        <v>47012</v>
      </c>
      <c r="P48" s="334">
        <f t="shared" si="11"/>
        <v>2028</v>
      </c>
      <c r="Q48" s="334">
        <f t="shared" si="12"/>
        <v>9</v>
      </c>
      <c r="R48" s="333" t="str" cm="1">
        <f t="array" ref="R48">IFERROR(_xlfn.IFS(AND(O48&gt;=DATE(2025,1,1),O48&lt;=DATE(2027,7,31)),"Year 1",AND(O48&gt;=DATE(2027,8,1),O48&lt;=DATE(2028,7,31)),"Year 2",AND(O48&gt;=DATE(2028,8,1),O48&lt;=DATE(2029,7,31)),"Year 3"),"Future")</f>
        <v>Year 3</v>
      </c>
      <c r="S48" s="333">
        <f t="shared" si="15"/>
        <v>1016000</v>
      </c>
      <c r="T48" s="333">
        <v>0</v>
      </c>
      <c r="U48" s="329"/>
      <c r="V48" s="329"/>
      <c r="W48" s="329"/>
      <c r="X48" s="329"/>
      <c r="Y48" s="329"/>
      <c r="Z48" s="329">
        <f t="shared" si="14"/>
        <v>2081049</v>
      </c>
    </row>
    <row r="49" spans="1:29" x14ac:dyDescent="0.25">
      <c r="A49" s="326" t="s">
        <v>764</v>
      </c>
      <c r="B49" s="326" t="s">
        <v>830</v>
      </c>
      <c r="C49" s="326" t="str">
        <f t="shared" si="7"/>
        <v xml:space="preserve">Linc_HVAC Controls upgrades </v>
      </c>
      <c r="D49" s="326" t="s">
        <v>814</v>
      </c>
      <c r="E49" s="326" t="s">
        <v>772</v>
      </c>
      <c r="F49" s="326" t="s">
        <v>768</v>
      </c>
      <c r="G49" s="329">
        <v>825500</v>
      </c>
      <c r="H49" s="329">
        <f>G49</f>
        <v>825500</v>
      </c>
      <c r="I49" s="329">
        <v>0</v>
      </c>
      <c r="J49" s="329"/>
      <c r="K49" s="329">
        <v>412750</v>
      </c>
      <c r="L49" s="329">
        <v>412750</v>
      </c>
      <c r="M49" s="329"/>
      <c r="N49" s="329">
        <f t="shared" si="10"/>
        <v>825500</v>
      </c>
      <c r="O49" s="330">
        <v>47012</v>
      </c>
      <c r="P49" s="334">
        <f t="shared" si="11"/>
        <v>2028</v>
      </c>
      <c r="Q49" s="334">
        <f t="shared" si="12"/>
        <v>9</v>
      </c>
      <c r="R49" s="333" t="str" cm="1">
        <f t="array" ref="R49">IFERROR(_xlfn.IFS(AND(O49&gt;=DATE(2025,1,1),O49&lt;=DATE(2027,7,31)),"Year 1",AND(O49&gt;=DATE(2027,8,1),O49&lt;=DATE(2028,7,31)),"Year 2",AND(O49&gt;=DATE(2028,8,1),O49&lt;=DATE(2029,7,31)),"Year 3"),"Future")</f>
        <v>Year 3</v>
      </c>
      <c r="S49" s="333">
        <f t="shared" si="15"/>
        <v>825500</v>
      </c>
      <c r="T49" s="333">
        <v>0</v>
      </c>
      <c r="U49" s="329"/>
      <c r="V49" s="329"/>
      <c r="W49" s="329"/>
      <c r="X49" s="329"/>
      <c r="Y49" s="329"/>
      <c r="Z49" s="329">
        <f t="shared" si="14"/>
        <v>1700049</v>
      </c>
    </row>
    <row r="50" spans="1:29" x14ac:dyDescent="0.25">
      <c r="A50" s="326" t="s">
        <v>764</v>
      </c>
      <c r="B50" s="326" t="s">
        <v>831</v>
      </c>
      <c r="C50" s="326" t="str">
        <f t="shared" si="7"/>
        <v xml:space="preserve">Linc_Roof replacement </v>
      </c>
      <c r="D50" s="326" t="s">
        <v>814</v>
      </c>
      <c r="E50" s="326" t="s">
        <v>772</v>
      </c>
      <c r="F50" s="326" t="s">
        <v>768</v>
      </c>
      <c r="G50" s="329">
        <v>3581375.87</v>
      </c>
      <c r="H50" s="329">
        <f>G50</f>
        <v>3581375.87</v>
      </c>
      <c r="I50" s="329">
        <v>0</v>
      </c>
      <c r="J50" s="329"/>
      <c r="K50" s="329"/>
      <c r="L50" s="329">
        <v>1790687.9350000001</v>
      </c>
      <c r="M50" s="329">
        <v>1790687.9350000001</v>
      </c>
      <c r="N50" s="329">
        <f t="shared" si="10"/>
        <v>3581375.87</v>
      </c>
      <c r="O50" s="330">
        <v>47012</v>
      </c>
      <c r="P50" s="334">
        <f t="shared" si="11"/>
        <v>2028</v>
      </c>
      <c r="Q50" s="334">
        <f t="shared" si="12"/>
        <v>9</v>
      </c>
      <c r="R50" s="333" t="str" cm="1">
        <f t="array" ref="R50">IFERROR(_xlfn.IFS(AND(O50&gt;=DATE(2025,1,1),O50&lt;=DATE(2027,7,31)),"Year 1",AND(O50&gt;=DATE(2027,8,1),O50&lt;=DATE(2028,7,31)),"Year 2",AND(O50&gt;=DATE(2028,8,1),O50&lt;=DATE(2029,7,31)),"Year 3"),"Future")</f>
        <v>Year 3</v>
      </c>
      <c r="S50" s="333">
        <f t="shared" si="15"/>
        <v>3581375.87</v>
      </c>
      <c r="T50" s="333">
        <v>0</v>
      </c>
      <c r="U50" s="329"/>
      <c r="V50" s="329"/>
      <c r="W50" s="329"/>
      <c r="X50" s="329"/>
      <c r="Y50" s="329"/>
      <c r="Z50" s="329">
        <f t="shared" si="14"/>
        <v>7211800.7400000002</v>
      </c>
    </row>
    <row r="51" spans="1:29" x14ac:dyDescent="0.25">
      <c r="A51" s="326" t="s">
        <v>764</v>
      </c>
      <c r="B51" s="326" t="s">
        <v>832</v>
      </c>
      <c r="C51" s="326" t="str">
        <f t="shared" si="7"/>
        <v xml:space="preserve">NKG_Parking lot increase </v>
      </c>
      <c r="D51" s="326" t="s">
        <v>775</v>
      </c>
      <c r="E51" s="326" t="s">
        <v>772</v>
      </c>
      <c r="F51" s="326" t="s">
        <v>768</v>
      </c>
      <c r="G51" s="329">
        <v>1500000</v>
      </c>
      <c r="H51" s="329">
        <f>G51*1.27</f>
        <v>1905000</v>
      </c>
      <c r="I51" s="329">
        <v>0</v>
      </c>
      <c r="J51" s="329">
        <v>0</v>
      </c>
      <c r="K51" s="329">
        <v>0</v>
      </c>
      <c r="L51" s="329">
        <f>H51</f>
        <v>1905000</v>
      </c>
      <c r="M51" s="329">
        <v>0</v>
      </c>
      <c r="N51" s="329">
        <f t="shared" si="10"/>
        <v>1905000</v>
      </c>
      <c r="O51" s="330">
        <v>47041</v>
      </c>
      <c r="P51" s="334">
        <f t="shared" si="11"/>
        <v>2028</v>
      </c>
      <c r="Q51" s="334">
        <f t="shared" si="12"/>
        <v>10</v>
      </c>
      <c r="R51" s="333" t="str" cm="1">
        <f t="array" ref="R51">IFERROR(_xlfn.IFS(AND(O51&gt;=DATE(2025,1,1),O51&lt;=DATE(2027,7,31)),"Year 1",AND(O51&gt;=DATE(2027,8,1),O51&lt;=DATE(2028,7,31)),"Year 2",AND(O51&gt;=DATE(2028,8,1),O51&lt;=DATE(2029,7,31)),"Year 3"),"Future")</f>
        <v>Year 3</v>
      </c>
      <c r="S51" s="333">
        <f t="shared" si="15"/>
        <v>1905000</v>
      </c>
      <c r="T51" s="333">
        <v>0</v>
      </c>
      <c r="U51" s="329"/>
      <c r="V51" s="329"/>
      <c r="W51" s="329"/>
      <c r="X51" s="329"/>
      <c r="Y51" s="329"/>
      <c r="Z51" s="329">
        <f t="shared" si="14"/>
        <v>3859079</v>
      </c>
    </row>
    <row r="52" spans="1:29" x14ac:dyDescent="0.25">
      <c r="A52" s="326" t="s">
        <v>764</v>
      </c>
      <c r="B52" s="326" t="s">
        <v>833</v>
      </c>
      <c r="C52" s="326" t="str">
        <f t="shared" si="7"/>
        <v>Melr_ Heating HW upgrades</v>
      </c>
      <c r="D52" s="326" t="s">
        <v>780</v>
      </c>
      <c r="E52" s="326" t="s">
        <v>772</v>
      </c>
      <c r="F52" s="326" t="s">
        <v>768</v>
      </c>
      <c r="G52" s="329">
        <v>1651000</v>
      </c>
      <c r="H52" s="329">
        <f t="shared" ref="H52:H58" si="16">G52</f>
        <v>1651000</v>
      </c>
      <c r="I52" s="329">
        <v>0</v>
      </c>
      <c r="J52" s="329"/>
      <c r="K52" s="329"/>
      <c r="L52" s="329">
        <v>1651000</v>
      </c>
      <c r="M52" s="329"/>
      <c r="N52" s="329">
        <f t="shared" si="10"/>
        <v>1651000</v>
      </c>
      <c r="O52" s="330">
        <v>47090</v>
      </c>
      <c r="P52" s="334">
        <f t="shared" si="11"/>
        <v>2028</v>
      </c>
      <c r="Q52" s="334">
        <f t="shared" si="12"/>
        <v>12</v>
      </c>
      <c r="R52" s="333" t="str" cm="1">
        <f t="array" ref="R52">IFERROR(_xlfn.IFS(AND(O52&gt;=DATE(2025,1,1),O52&lt;=DATE(2027,7,31)),"Year 1",AND(O52&gt;=DATE(2027,8,1),O52&lt;=DATE(2028,7,31)),"Year 2",AND(O52&gt;=DATE(2028,8,1),O52&lt;=DATE(2029,7,31)),"Year 3"),"Future")</f>
        <v>Year 3</v>
      </c>
      <c r="S52" s="333">
        <f t="shared" si="15"/>
        <v>1651000</v>
      </c>
      <c r="T52" s="333">
        <v>0</v>
      </c>
      <c r="U52" s="329"/>
      <c r="V52" s="329"/>
      <c r="W52" s="329"/>
      <c r="X52" s="329"/>
      <c r="Y52" s="329"/>
      <c r="Z52" s="329">
        <f t="shared" si="14"/>
        <v>3351130</v>
      </c>
    </row>
    <row r="53" spans="1:29" x14ac:dyDescent="0.25">
      <c r="A53" s="326" t="s">
        <v>764</v>
      </c>
      <c r="B53" s="326" t="s">
        <v>834</v>
      </c>
      <c r="C53" s="326" t="str">
        <f t="shared" si="7"/>
        <v>West_Building Close</v>
      </c>
      <c r="D53" s="326" t="s">
        <v>835</v>
      </c>
      <c r="E53" s="326" t="s">
        <v>18</v>
      </c>
      <c r="F53" s="326" t="s">
        <v>768</v>
      </c>
      <c r="G53" s="329">
        <v>500000</v>
      </c>
      <c r="H53" s="329">
        <f t="shared" si="16"/>
        <v>500000</v>
      </c>
      <c r="I53" s="329">
        <v>0</v>
      </c>
      <c r="J53" s="329">
        <v>500000</v>
      </c>
      <c r="K53" s="329"/>
      <c r="L53" s="329"/>
      <c r="M53" s="329"/>
      <c r="N53" s="329">
        <f t="shared" si="10"/>
        <v>500000</v>
      </c>
      <c r="O53" s="330">
        <v>47174</v>
      </c>
      <c r="P53" s="334">
        <f t="shared" si="11"/>
        <v>2029</v>
      </c>
      <c r="Q53" s="334">
        <f t="shared" si="12"/>
        <v>2</v>
      </c>
      <c r="R53" s="333" t="str" cm="1">
        <f t="array" ref="R53">IFERROR(_xlfn.IFS(AND(O53&gt;=DATE(2025,1,1),O53&lt;=DATE(2027,7,31)),"Year 1",AND(O53&gt;=DATE(2027,8,1),O53&lt;=DATE(2028,7,31)),"Year 2",AND(O53&gt;=DATE(2028,8,1),O53&lt;=DATE(2029,7,31)),"Year 3"),"Future")</f>
        <v>Year 3</v>
      </c>
      <c r="S53" s="333">
        <f t="shared" si="15"/>
        <v>500000</v>
      </c>
      <c r="T53" s="333">
        <v>0</v>
      </c>
      <c r="U53" s="329"/>
      <c r="V53" s="329"/>
      <c r="W53" s="329"/>
      <c r="X53" s="329"/>
      <c r="Y53" s="329"/>
      <c r="Z53" s="329">
        <f t="shared" si="14"/>
        <v>1049205</v>
      </c>
    </row>
    <row r="54" spans="1:29" x14ac:dyDescent="0.25">
      <c r="A54" s="326" t="s">
        <v>764</v>
      </c>
      <c r="B54" s="326" t="s">
        <v>836</v>
      </c>
      <c r="C54" s="326" t="str">
        <f t="shared" si="7"/>
        <v xml:space="preserve">Melr_Truck overhangs </v>
      </c>
      <c r="D54" s="326" t="s">
        <v>767</v>
      </c>
      <c r="E54" s="326" t="s">
        <v>19</v>
      </c>
      <c r="F54" s="326" t="s">
        <v>768</v>
      </c>
      <c r="G54" s="333">
        <v>3175000</v>
      </c>
      <c r="H54" s="333">
        <f t="shared" si="16"/>
        <v>3175000</v>
      </c>
      <c r="I54" s="333">
        <v>0</v>
      </c>
      <c r="J54" s="333"/>
      <c r="K54" s="333"/>
      <c r="L54" s="333"/>
      <c r="M54" s="333">
        <v>3175000</v>
      </c>
      <c r="N54" s="333">
        <f t="shared" si="10"/>
        <v>3175000</v>
      </c>
      <c r="O54" s="330">
        <v>47299</v>
      </c>
      <c r="P54" s="334">
        <f t="shared" si="11"/>
        <v>2029</v>
      </c>
      <c r="Q54" s="334">
        <f t="shared" si="12"/>
        <v>6</v>
      </c>
      <c r="R54" s="333" t="str" cm="1">
        <f t="array" ref="R54">IFERROR(_xlfn.IFS(AND(O54&gt;=DATE(2025,1,1),O54&lt;=DATE(2027,7,31)),"Year 1",AND(O54&gt;=DATE(2027,8,1),O54&lt;=DATE(2028,7,31)),"Year 2",AND(O54&gt;=DATE(2028,8,1),O54&lt;=DATE(2029,7,31)),"Year 3"),"Future")</f>
        <v>Year 3</v>
      </c>
      <c r="S54" s="333">
        <v>0</v>
      </c>
      <c r="T54" s="333">
        <f>+N54</f>
        <v>3175000</v>
      </c>
      <c r="U54" s="333"/>
      <c r="V54" s="333"/>
      <c r="W54" s="333"/>
      <c r="X54" s="333"/>
      <c r="Y54" s="333"/>
      <c r="Z54" s="333">
        <f t="shared" si="14"/>
        <v>6399334</v>
      </c>
    </row>
    <row r="55" spans="1:29" x14ac:dyDescent="0.25">
      <c r="A55" s="326" t="s">
        <v>764</v>
      </c>
      <c r="B55" s="326" t="s">
        <v>837</v>
      </c>
      <c r="C55" s="326" t="str">
        <f t="shared" si="7"/>
        <v>Melr_Fence Replacement</v>
      </c>
      <c r="D55" s="326" t="s">
        <v>780</v>
      </c>
      <c r="E55" s="326" t="s">
        <v>772</v>
      </c>
      <c r="F55" s="326" t="s">
        <v>768</v>
      </c>
      <c r="G55" s="329">
        <v>952500</v>
      </c>
      <c r="H55" s="329">
        <f t="shared" si="16"/>
        <v>952500</v>
      </c>
      <c r="I55" s="329">
        <v>0</v>
      </c>
      <c r="J55" s="329"/>
      <c r="K55" s="329"/>
      <c r="L55" s="329"/>
      <c r="M55" s="329">
        <v>952500</v>
      </c>
      <c r="N55" s="329">
        <f t="shared" si="10"/>
        <v>952500</v>
      </c>
      <c r="O55" s="330">
        <v>47390</v>
      </c>
      <c r="P55" s="334">
        <f t="shared" si="11"/>
        <v>2029</v>
      </c>
      <c r="Q55" s="334">
        <f t="shared" si="12"/>
        <v>9</v>
      </c>
      <c r="R55" s="333" t="str" cm="1">
        <f t="array" ref="R55">IFERROR(_xlfn.IFS(AND(O55&gt;=DATE(2025,1,1),O55&lt;=DATE(2027,7,31)),"Year 1",AND(O55&gt;=DATE(2027,8,1),O55&lt;=DATE(2028,7,31)),"Year 2",AND(O55&gt;=DATE(2028,8,1),O55&lt;=DATE(2029,7,31)),"Year 3"),"Future")</f>
        <v>Future</v>
      </c>
      <c r="S55" s="333">
        <f>+N55</f>
        <v>952500</v>
      </c>
      <c r="T55" s="333">
        <v>0</v>
      </c>
      <c r="U55" s="329"/>
      <c r="V55" s="329"/>
      <c r="W55" s="329"/>
      <c r="X55" s="329"/>
      <c r="Y55" s="329"/>
      <c r="Z55" s="329">
        <f t="shared" si="14"/>
        <v>1954428</v>
      </c>
    </row>
    <row r="56" spans="1:29" x14ac:dyDescent="0.25">
      <c r="A56" s="326" t="s">
        <v>764</v>
      </c>
      <c r="B56" s="326" t="s">
        <v>838</v>
      </c>
      <c r="C56" s="326" t="str">
        <f t="shared" si="7"/>
        <v>Melr_Heavy Stores Roof Upgrade</v>
      </c>
      <c r="D56" s="326" t="s">
        <v>780</v>
      </c>
      <c r="E56" s="326" t="s">
        <v>772</v>
      </c>
      <c r="F56" s="326" t="s">
        <v>768</v>
      </c>
      <c r="G56" s="329">
        <v>1320800</v>
      </c>
      <c r="H56" s="329">
        <f t="shared" si="16"/>
        <v>1320800</v>
      </c>
      <c r="I56" s="329">
        <v>0</v>
      </c>
      <c r="J56" s="329"/>
      <c r="K56" s="329"/>
      <c r="L56" s="329"/>
      <c r="M56" s="329">
        <v>1320800</v>
      </c>
      <c r="N56" s="329">
        <f t="shared" si="10"/>
        <v>1320800</v>
      </c>
      <c r="O56" s="330">
        <v>47390</v>
      </c>
      <c r="P56" s="334">
        <f t="shared" si="11"/>
        <v>2029</v>
      </c>
      <c r="Q56" s="334">
        <f t="shared" si="12"/>
        <v>9</v>
      </c>
      <c r="R56" s="333" t="str" cm="1">
        <f t="array" ref="R56">IFERROR(_xlfn.IFS(AND(O56&gt;=DATE(2025,1,1),O56&lt;=DATE(2027,7,31)),"Year 1",AND(O56&gt;=DATE(2027,8,1),O56&lt;=DATE(2028,7,31)),"Year 2",AND(O56&gt;=DATE(2028,8,1),O56&lt;=DATE(2029,7,31)),"Year 3"),"Future")</f>
        <v>Future</v>
      </c>
      <c r="S56" s="333">
        <f>+N56</f>
        <v>1320800</v>
      </c>
      <c r="T56" s="333">
        <v>0</v>
      </c>
      <c r="U56" s="329"/>
      <c r="V56" s="329"/>
      <c r="W56" s="329"/>
      <c r="X56" s="329"/>
      <c r="Y56" s="329"/>
      <c r="Z56" s="329">
        <f t="shared" si="14"/>
        <v>2691028</v>
      </c>
    </row>
    <row r="57" spans="1:29" x14ac:dyDescent="0.25">
      <c r="A57" s="326" t="s">
        <v>764</v>
      </c>
      <c r="B57" s="326" t="s">
        <v>839</v>
      </c>
      <c r="C57" s="326" t="str">
        <f t="shared" si="7"/>
        <v>ALL_ Envelope repair (windows, doors, leaks)</v>
      </c>
      <c r="D57" s="326" t="s">
        <v>767</v>
      </c>
      <c r="E57" s="326" t="s">
        <v>19</v>
      </c>
      <c r="F57" s="326" t="s">
        <v>768</v>
      </c>
      <c r="G57" s="329">
        <v>3175000</v>
      </c>
      <c r="H57" s="329">
        <f t="shared" si="16"/>
        <v>3175000</v>
      </c>
      <c r="I57" s="329">
        <v>0</v>
      </c>
      <c r="J57" s="329"/>
      <c r="K57" s="329"/>
      <c r="L57" s="329">
        <v>1200000</v>
      </c>
      <c r="M57" s="329">
        <v>1975000</v>
      </c>
      <c r="N57" s="329">
        <f t="shared" si="10"/>
        <v>3175000</v>
      </c>
      <c r="O57" s="330">
        <v>47455</v>
      </c>
      <c r="P57" s="327"/>
      <c r="Q57" s="327"/>
      <c r="R57" s="333" t="str" cm="1">
        <f t="array" ref="R57">IFERROR(_xlfn.IFS(AND(O57&gt;=DATE(2025,1,1),O57&lt;=DATE(2027,7,31)),"Year 1",AND(O57&gt;=DATE(2027,8,1),O57&lt;=DATE(2028,7,31)),"Year 2",AND(O57&gt;=DATE(2028,8,1),O57&lt;=DATE(2029,7,31)),"Year 3"),"Future")</f>
        <v>Future</v>
      </c>
      <c r="S57" s="333">
        <v>0</v>
      </c>
      <c r="T57" s="333">
        <f>+N57</f>
        <v>3175000</v>
      </c>
      <c r="U57" s="329"/>
      <c r="V57" s="329"/>
      <c r="W57" s="329"/>
      <c r="X57" s="329"/>
      <c r="Y57" s="329"/>
      <c r="Z57" s="329">
        <f t="shared" si="14"/>
        <v>6397455</v>
      </c>
    </row>
    <row r="58" spans="1:29" x14ac:dyDescent="0.25">
      <c r="A58" s="326" t="s">
        <v>764</v>
      </c>
      <c r="B58" s="326" t="s">
        <v>840</v>
      </c>
      <c r="C58" s="326" t="str">
        <f t="shared" si="7"/>
        <v>CO_Lease</v>
      </c>
      <c r="D58" s="326" t="s">
        <v>777</v>
      </c>
      <c r="E58" s="326" t="s">
        <v>772</v>
      </c>
      <c r="F58" s="326" t="s">
        <v>768</v>
      </c>
      <c r="G58" s="329">
        <v>2000000</v>
      </c>
      <c r="H58" s="329">
        <f t="shared" si="16"/>
        <v>2000000</v>
      </c>
      <c r="I58" s="329">
        <v>0</v>
      </c>
      <c r="J58" s="329">
        <v>1128715.1666666667</v>
      </c>
      <c r="K58" s="329">
        <v>2166991</v>
      </c>
      <c r="L58" s="329">
        <v>2252894.2474999996</v>
      </c>
      <c r="M58" s="329">
        <v>2341122.5421124995</v>
      </c>
      <c r="N58" s="329">
        <f t="shared" si="10"/>
        <v>7889722.956279166</v>
      </c>
      <c r="O58" s="330">
        <v>47484</v>
      </c>
      <c r="P58" s="334">
        <f>YEAR(O58)</f>
        <v>2030</v>
      </c>
      <c r="Q58" s="334">
        <f>MONTH(O58)</f>
        <v>1</v>
      </c>
      <c r="R58" s="333" t="str" cm="1">
        <f t="array" ref="R58">IFERROR(_xlfn.IFS(AND(O58&gt;=DATE(2025,1,1),O58&lt;=DATE(2027,7,31)),"Year 1",AND(O58&gt;=DATE(2027,8,1),O58&lt;=DATE(2028,7,31)),"Year 2",AND(O58&gt;=DATE(2028,8,1),O58&lt;=DATE(2029,7,31)),"Year 3"),"Future")</f>
        <v>Future</v>
      </c>
      <c r="S58" s="333">
        <f>+N58</f>
        <v>7889722.956279166</v>
      </c>
      <c r="T58" s="333">
        <v>0</v>
      </c>
      <c r="U58" s="329"/>
      <c r="V58" s="329"/>
      <c r="W58" s="329"/>
      <c r="X58" s="329"/>
      <c r="Y58" s="329"/>
      <c r="Z58" s="329">
        <f t="shared" si="14"/>
        <v>15828960.912558332</v>
      </c>
    </row>
    <row r="59" spans="1:29" x14ac:dyDescent="0.25">
      <c r="P59" s="336"/>
      <c r="Q59" s="330"/>
    </row>
    <row r="60" spans="1:29" x14ac:dyDescent="0.25">
      <c r="G60" s="326" t="s">
        <v>768</v>
      </c>
      <c r="H60" s="326" t="s">
        <v>764</v>
      </c>
      <c r="I60" s="329">
        <f t="shared" ref="I60:N60" si="17">SUMIFS(I3:I58,$A$3:$A$58,$H$60,$F$3:$F$58,$G$60)</f>
        <v>28633491.951666664</v>
      </c>
      <c r="J60" s="329">
        <f t="shared" si="17"/>
        <v>24753140.074999999</v>
      </c>
      <c r="K60" s="329">
        <f t="shared" si="17"/>
        <v>14763199.333333332</v>
      </c>
      <c r="L60" s="329">
        <f t="shared" si="17"/>
        <v>12686628.849166665</v>
      </c>
      <c r="M60" s="329">
        <f t="shared" si="17"/>
        <v>11555110.4771125</v>
      </c>
      <c r="N60" s="329">
        <f t="shared" si="17"/>
        <v>92391570.686279178</v>
      </c>
      <c r="O60" s="333"/>
      <c r="R60" s="333"/>
      <c r="S60" s="333">
        <f>SUM(S2:S59)</f>
        <v>80381120.686279148</v>
      </c>
      <c r="T60" s="333">
        <f>SUM(T2:T59)</f>
        <v>12200950</v>
      </c>
      <c r="U60" s="329">
        <f t="shared" ref="U60:Z60" si="18">SUMIFS(U3:U58,$A$3:$A$58,$H$60,$F$3:$F$58,$G$60)</f>
        <v>0</v>
      </c>
      <c r="V60" s="329">
        <f t="shared" si="18"/>
        <v>0</v>
      </c>
      <c r="W60" s="329">
        <f t="shared" si="18"/>
        <v>0</v>
      </c>
      <c r="X60" s="329">
        <f t="shared" si="18"/>
        <v>0</v>
      </c>
      <c r="Y60" s="329">
        <f t="shared" si="18"/>
        <v>0</v>
      </c>
      <c r="Z60" s="329">
        <f t="shared" si="18"/>
        <v>181106903.37255836</v>
      </c>
    </row>
    <row r="61" spans="1:29" ht="31.5" x14ac:dyDescent="0.25">
      <c r="P61" s="333"/>
      <c r="Q61" s="333"/>
      <c r="AA61" s="337" t="s">
        <v>841</v>
      </c>
      <c r="AB61" s="338" t="s">
        <v>842</v>
      </c>
    </row>
    <row r="62" spans="1:29" x14ac:dyDescent="0.25">
      <c r="P62" s="339"/>
      <c r="Q62" s="340" t="s">
        <v>843</v>
      </c>
      <c r="R62" s="332" t="s">
        <v>769</v>
      </c>
      <c r="S62" s="332">
        <f t="shared" ref="S62:T66" si="19">SUMIFS(S$2:S$58,$R$2:$R$58,$R62)</f>
        <v>23152706.130000003</v>
      </c>
      <c r="T62" s="332">
        <f t="shared" si="19"/>
        <v>996950</v>
      </c>
      <c r="U62" s="341">
        <f>SUM(S62:T62)</f>
        <v>24149656.130000003</v>
      </c>
      <c r="AA62" s="341">
        <f>+S62+T62</f>
        <v>24149656.130000003</v>
      </c>
      <c r="AB62" s="342">
        <v>24149656.130000003</v>
      </c>
      <c r="AC62" s="341">
        <f>+AA62-AB62</f>
        <v>0</v>
      </c>
    </row>
    <row r="63" spans="1:29" x14ac:dyDescent="0.25">
      <c r="Q63" s="292" t="s">
        <v>844</v>
      </c>
      <c r="R63" s="333" t="s">
        <v>185</v>
      </c>
      <c r="S63" s="333">
        <f t="shared" si="19"/>
        <v>1200000</v>
      </c>
      <c r="T63" s="333">
        <f t="shared" si="19"/>
        <v>9779000</v>
      </c>
      <c r="U63" s="341">
        <f>SUM(S63:T63)</f>
        <v>10979000</v>
      </c>
      <c r="AA63" s="341">
        <f>+S63+T63</f>
        <v>10979000</v>
      </c>
      <c r="AB63" s="342">
        <v>10979000</v>
      </c>
      <c r="AC63" s="341">
        <f t="shared" ref="AC63:AC65" si="20">+AA63-AB63</f>
        <v>0</v>
      </c>
    </row>
    <row r="64" spans="1:29" x14ac:dyDescent="0.25">
      <c r="Q64" s="292" t="s">
        <v>845</v>
      </c>
      <c r="R64" s="333" t="s">
        <v>186</v>
      </c>
      <c r="S64" s="333">
        <f t="shared" si="19"/>
        <v>33433765.73</v>
      </c>
      <c r="T64" s="333">
        <f t="shared" si="19"/>
        <v>-4925000</v>
      </c>
      <c r="U64" s="341">
        <f t="shared" ref="U64:U67" si="21">SUM(S64:T64)</f>
        <v>28508765.73</v>
      </c>
      <c r="AA64" s="341">
        <f t="shared" ref="AA64:AA66" si="22">+S64+T64</f>
        <v>28508765.73</v>
      </c>
      <c r="AB64" s="342">
        <v>28508765.73</v>
      </c>
      <c r="AC64" s="341">
        <f t="shared" si="20"/>
        <v>0</v>
      </c>
    </row>
    <row r="65" spans="17:29" x14ac:dyDescent="0.25">
      <c r="Q65" s="292" t="s">
        <v>846</v>
      </c>
      <c r="R65" s="333" t="s">
        <v>187</v>
      </c>
      <c r="S65" s="333">
        <f t="shared" si="19"/>
        <v>12431625.870000001</v>
      </c>
      <c r="T65" s="333">
        <f t="shared" si="19"/>
        <v>3175000</v>
      </c>
      <c r="U65" s="341">
        <f t="shared" si="21"/>
        <v>15606625.870000001</v>
      </c>
      <c r="AA65" s="341">
        <f t="shared" si="22"/>
        <v>15606625.870000001</v>
      </c>
      <c r="AB65" s="342">
        <v>15606625.870000001</v>
      </c>
      <c r="AC65" s="341">
        <f t="shared" si="20"/>
        <v>0</v>
      </c>
    </row>
    <row r="66" spans="17:29" x14ac:dyDescent="0.25">
      <c r="R66" s="333" t="s">
        <v>847</v>
      </c>
      <c r="S66" s="333">
        <f t="shared" si="19"/>
        <v>10163022.956279166</v>
      </c>
      <c r="T66" s="333">
        <f t="shared" si="19"/>
        <v>3175000</v>
      </c>
      <c r="U66" s="341">
        <f t="shared" si="21"/>
        <v>13338022.956279166</v>
      </c>
      <c r="AA66" s="341">
        <f t="shared" si="22"/>
        <v>13338022.956279166</v>
      </c>
    </row>
    <row r="67" spans="17:29" x14ac:dyDescent="0.25">
      <c r="R67" s="333" t="s">
        <v>139</v>
      </c>
      <c r="S67" s="333">
        <f>SUM(S62:S66)</f>
        <v>80381120.686279178</v>
      </c>
      <c r="T67" s="333">
        <f>SUM(T62:T66)</f>
        <v>12200950</v>
      </c>
      <c r="U67" s="341">
        <f t="shared" si="21"/>
        <v>92582070.686279178</v>
      </c>
    </row>
    <row r="68" spans="17:29" x14ac:dyDescent="0.25">
      <c r="S68" s="341">
        <f>+S60-S67</f>
        <v>0</v>
      </c>
      <c r="T68" s="341">
        <f>+T60-T67</f>
        <v>0</v>
      </c>
    </row>
    <row r="70" spans="17:29" x14ac:dyDescent="0.25">
      <c r="R70" s="339" t="s">
        <v>761</v>
      </c>
    </row>
    <row r="71" spans="17:29" x14ac:dyDescent="0.25">
      <c r="R71" s="332" t="s">
        <v>848</v>
      </c>
      <c r="S71" s="332">
        <f>SUM(S62:S65)</f>
        <v>70218097.730000004</v>
      </c>
      <c r="T71" s="332">
        <f>SUM(T62:T65)</f>
        <v>9025950</v>
      </c>
    </row>
  </sheetData>
  <autoFilter ref="A2:Z59" xr:uid="{36D11D58-7B78-4C30-90D7-B9E31B8E1981}">
    <sortState xmlns:xlrd2="http://schemas.microsoft.com/office/spreadsheetml/2017/richdata2" ref="A3:Z59">
      <sortCondition ref="D2:D59"/>
    </sortState>
  </autoFilter>
  <sortState xmlns:xlrd2="http://schemas.microsoft.com/office/spreadsheetml/2017/richdata2" ref="A3:AJ59">
    <sortCondition ref="O3:O59"/>
  </sortState>
  <pageMargins left="0.7" right="0.7" top="0.75" bottom="0.75" header="0.3" footer="0.3"/>
  <pageSetup orientation="portrait" r:id="rId1"/>
  <headerFooter>
    <oddFooter>&amp;L_x000D_&amp;1#&amp;"Calibri"&amp;14&amp;K000000 Business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D06A8-F8B5-4C88-9118-B671B2086685}">
  <dimension ref="A1:K5"/>
  <sheetViews>
    <sheetView workbookViewId="0">
      <selection activeCell="J1" sqref="J1"/>
    </sheetView>
  </sheetViews>
  <sheetFormatPr defaultColWidth="9.140625" defaultRowHeight="15" customHeight="1" x14ac:dyDescent="0.25"/>
  <cols>
    <col min="1" max="2" width="18.5703125" style="324" customWidth="1"/>
    <col min="3" max="4" width="14.140625" style="324" bestFit="1" customWidth="1"/>
    <col min="5" max="5" width="15" style="324" bestFit="1" customWidth="1"/>
    <col min="6" max="9" width="9.140625" style="324"/>
    <col min="10" max="10" width="18.5703125" style="324" customWidth="1"/>
    <col min="11" max="12" width="14.140625" style="324" bestFit="1" customWidth="1"/>
    <col min="13" max="13" width="15" style="324" bestFit="1" customWidth="1"/>
    <col min="14" max="16384" width="9.140625" style="324"/>
  </cols>
  <sheetData>
    <row r="1" spans="1:11" ht="15" customHeight="1" x14ac:dyDescent="0.25">
      <c r="A1" s="324" t="s">
        <v>882</v>
      </c>
      <c r="J1" s="110"/>
      <c r="K1" s="110" t="s">
        <v>20</v>
      </c>
    </row>
    <row r="2" spans="1:11" ht="15" customHeight="1" x14ac:dyDescent="0.25">
      <c r="J2" s="110"/>
      <c r="K2" s="110" t="str">
        <f>+'ADIT 1 Electric'!$G$2</f>
        <v>d/b/a RHODE ISLAND ENERGY</v>
      </c>
    </row>
    <row r="3" spans="1:11" ht="15" customHeight="1" x14ac:dyDescent="0.25">
      <c r="A3" s="324" t="s">
        <v>883</v>
      </c>
      <c r="J3" s="110"/>
      <c r="K3" s="110" t="str">
        <f>+'ADIT 1 Electric'!$G$3</f>
        <v>RIPUC Docket No. 25-45-GE</v>
      </c>
    </row>
    <row r="4" spans="1:11" ht="15" customHeight="1" x14ac:dyDescent="0.25">
      <c r="A4" s="324" t="s">
        <v>884</v>
      </c>
      <c r="G4" s="20">
        <v>0.1249</v>
      </c>
      <c r="J4" s="110"/>
      <c r="K4" s="110" t="str">
        <f>+'ADIT 1 Electric'!$G$2</f>
        <v>d/b/a RHODE ISLAND ENERGY</v>
      </c>
    </row>
    <row r="5" spans="1:11" ht="15" customHeight="1" x14ac:dyDescent="0.25">
      <c r="J5" s="196"/>
      <c r="K5" s="196" t="str">
        <f>+'ADIT 1 Electric'!$G$5</f>
        <v>Schedule NH-3-ELEC</v>
      </c>
    </row>
  </sheetData>
  <pageMargins left="0.7" right="0.7" top="0.75" bottom="0.75" header="0.3" footer="0.3"/>
  <pageSetup orientation="portrait" r:id="rId1"/>
  <headerFooter>
    <oddFooter>&amp;L_x000D_&amp;1#&amp;"Calibri"&amp;14&amp;K000000 Business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6BAB2-0BE6-4D95-BA68-19D8AA23B1E5}">
  <dimension ref="A1:P57"/>
  <sheetViews>
    <sheetView workbookViewId="0">
      <selection sqref="A1:P7"/>
    </sheetView>
  </sheetViews>
  <sheetFormatPr defaultColWidth="9.140625" defaultRowHeight="15.75" x14ac:dyDescent="0.25"/>
  <cols>
    <col min="1" max="1" width="6" style="42" customWidth="1"/>
    <col min="2" max="2" width="4.42578125" style="43" customWidth="1"/>
    <col min="3" max="3" width="51.42578125" style="43" customWidth="1"/>
    <col min="4" max="4" width="17.28515625" style="44" customWidth="1"/>
    <col min="5" max="5" width="3" style="44" customWidth="1"/>
    <col min="6" max="6" width="16.7109375" style="43" customWidth="1"/>
    <col min="7" max="7" width="2.5703125" style="43" customWidth="1"/>
    <col min="8" max="8" width="16.7109375" style="43" customWidth="1"/>
    <col min="9" max="9" width="2.5703125" style="43" customWidth="1"/>
    <col min="10" max="10" width="16.7109375" style="43" customWidth="1"/>
    <col min="11" max="11" width="2.5703125" style="43" customWidth="1"/>
    <col min="12" max="12" width="16.7109375" style="43" customWidth="1"/>
    <col min="13" max="13" width="2.5703125" style="43" customWidth="1"/>
    <col min="14" max="14" width="16.7109375" style="43" customWidth="1"/>
    <col min="15" max="15" width="20.85546875" style="43" customWidth="1"/>
    <col min="16" max="16384" width="9.140625" style="43"/>
  </cols>
  <sheetData>
    <row r="1" spans="1:16" x14ac:dyDescent="0.25">
      <c r="A1" s="112"/>
      <c r="B1" s="113"/>
      <c r="C1" s="113"/>
      <c r="D1" s="114"/>
      <c r="E1" s="114"/>
      <c r="F1" s="113"/>
      <c r="G1" s="113"/>
      <c r="H1" s="113"/>
      <c r="I1" s="113"/>
      <c r="J1" s="113"/>
      <c r="K1" s="113"/>
      <c r="L1" s="113"/>
      <c r="M1" s="113"/>
      <c r="N1" s="113"/>
      <c r="O1" s="113"/>
      <c r="P1" s="110" t="s">
        <v>20</v>
      </c>
    </row>
    <row r="2" spans="1:16" x14ac:dyDescent="0.25">
      <c r="A2" s="112"/>
      <c r="B2" s="113"/>
      <c r="C2" s="113"/>
      <c r="D2" s="114"/>
      <c r="E2" s="114"/>
      <c r="F2" s="113"/>
      <c r="G2" s="113"/>
      <c r="H2" s="113"/>
      <c r="I2" s="113"/>
      <c r="J2" s="113"/>
      <c r="K2" s="113"/>
      <c r="L2" s="113"/>
      <c r="M2" s="113"/>
      <c r="N2" s="113"/>
      <c r="O2" s="113"/>
      <c r="P2" s="110" t="str">
        <f>+'ADIT 1 Electric'!$G$2</f>
        <v>d/b/a RHODE ISLAND ENERGY</v>
      </c>
    </row>
    <row r="3" spans="1:16" x14ac:dyDescent="0.25">
      <c r="A3" s="112"/>
      <c r="B3" s="113"/>
      <c r="C3" s="113"/>
      <c r="D3" s="114"/>
      <c r="E3" s="114"/>
      <c r="F3" s="113"/>
      <c r="G3" s="113"/>
      <c r="H3" s="113"/>
      <c r="I3" s="113"/>
      <c r="J3" s="113"/>
      <c r="K3" s="113"/>
      <c r="L3" s="113"/>
      <c r="M3" s="113"/>
      <c r="N3" s="113"/>
      <c r="O3" s="113"/>
      <c r="P3" s="110" t="str">
        <f>+'ADIT 1 Electric'!$G$3</f>
        <v>RIPUC Docket No. 25-45-GE</v>
      </c>
    </row>
    <row r="4" spans="1:16" hidden="1" x14ac:dyDescent="0.25">
      <c r="A4" s="112"/>
      <c r="B4" s="113"/>
      <c r="C4" s="113"/>
      <c r="D4" s="114"/>
      <c r="E4" s="114"/>
      <c r="F4" s="113"/>
      <c r="G4" s="113"/>
      <c r="H4" s="113"/>
      <c r="I4" s="113"/>
      <c r="J4" s="113"/>
      <c r="K4" s="113"/>
      <c r="L4" s="113"/>
      <c r="M4" s="113"/>
      <c r="N4" s="113"/>
      <c r="O4" s="113"/>
      <c r="P4" s="110" t="str">
        <f>+'ADIT 1 Electric'!$G$4</f>
        <v>Compliance Attachment 2</v>
      </c>
    </row>
    <row r="5" spans="1:16" x14ac:dyDescent="0.25">
      <c r="A5" s="112"/>
      <c r="B5" s="113"/>
      <c r="C5" s="113"/>
      <c r="D5" s="114"/>
      <c r="E5" s="114"/>
      <c r="F5" s="113"/>
      <c r="G5" s="113"/>
      <c r="H5" s="113"/>
      <c r="I5" s="113"/>
      <c r="J5" s="113"/>
      <c r="K5" s="113"/>
      <c r="L5" s="113"/>
      <c r="M5" s="113"/>
      <c r="N5" s="113"/>
      <c r="O5" s="113"/>
      <c r="P5" s="110" t="str">
        <f>+'ADIT 1 Electric'!$G$5</f>
        <v>Schedule NH-3-ELEC</v>
      </c>
    </row>
    <row r="6" spans="1:16" x14ac:dyDescent="0.25">
      <c r="A6" s="112"/>
      <c r="B6" s="113"/>
      <c r="C6" s="113"/>
      <c r="D6" s="114"/>
      <c r="E6" s="114"/>
      <c r="F6" s="113"/>
      <c r="G6" s="113"/>
      <c r="H6" s="113"/>
      <c r="I6" s="113"/>
      <c r="J6" s="113"/>
      <c r="K6" s="113"/>
      <c r="L6" s="113"/>
      <c r="M6" s="113"/>
      <c r="N6" s="113"/>
      <c r="O6" s="113"/>
      <c r="P6" s="110" t="s">
        <v>83</v>
      </c>
    </row>
    <row r="7" spans="1:16" x14ac:dyDescent="0.25">
      <c r="A7" s="112"/>
      <c r="B7" s="113"/>
      <c r="C7" s="113"/>
      <c r="D7" s="114"/>
      <c r="E7" s="114"/>
      <c r="F7" s="113"/>
      <c r="G7" s="113"/>
      <c r="H7" s="113"/>
      <c r="I7" s="113"/>
      <c r="J7" s="113"/>
      <c r="K7" s="113"/>
      <c r="L7" s="113"/>
      <c r="M7" s="113"/>
      <c r="N7" s="110"/>
      <c r="O7" s="113"/>
      <c r="P7" s="113"/>
    </row>
    <row r="8" spans="1:16" x14ac:dyDescent="0.25">
      <c r="A8" s="351" t="str">
        <f>+'ADIT 1 Electric'!A10</f>
        <v>The Narragansett Electric Company d/b/a Rhode Island Energy</v>
      </c>
      <c r="B8" s="351"/>
      <c r="C8" s="351"/>
      <c r="D8" s="351"/>
      <c r="E8" s="351"/>
      <c r="F8" s="351"/>
      <c r="G8" s="351"/>
      <c r="H8" s="351"/>
      <c r="I8" s="351"/>
      <c r="J8" s="351"/>
      <c r="K8" s="351"/>
      <c r="L8" s="351"/>
      <c r="M8" s="351"/>
      <c r="N8" s="351"/>
      <c r="O8" s="351"/>
      <c r="P8" s="351"/>
    </row>
    <row r="9" spans="1:16" x14ac:dyDescent="0.25">
      <c r="A9" s="351" t="s">
        <v>84</v>
      </c>
      <c r="B9" s="351"/>
      <c r="C9" s="351"/>
      <c r="D9" s="351"/>
      <c r="E9" s="351"/>
      <c r="F9" s="351"/>
      <c r="G9" s="351"/>
      <c r="H9" s="351"/>
      <c r="I9" s="351"/>
      <c r="J9" s="351"/>
      <c r="K9" s="351"/>
      <c r="L9" s="351"/>
      <c r="M9" s="351"/>
      <c r="N9" s="351"/>
      <c r="O9" s="351"/>
      <c r="P9" s="351"/>
    </row>
    <row r="10" spans="1:16" x14ac:dyDescent="0.25">
      <c r="A10" s="351" t="s">
        <v>85</v>
      </c>
      <c r="B10" s="351"/>
      <c r="C10" s="351"/>
      <c r="D10" s="351"/>
      <c r="E10" s="351"/>
      <c r="F10" s="351"/>
      <c r="G10" s="351"/>
      <c r="H10" s="351"/>
      <c r="I10" s="351"/>
      <c r="J10" s="351"/>
      <c r="K10" s="351"/>
      <c r="L10" s="351"/>
      <c r="M10" s="351"/>
      <c r="N10" s="351"/>
      <c r="O10" s="351"/>
      <c r="P10" s="351"/>
    </row>
    <row r="11" spans="1:16" x14ac:dyDescent="0.25">
      <c r="N11" s="22"/>
    </row>
    <row r="12" spans="1:16" ht="47.25" x14ac:dyDescent="0.25">
      <c r="A12" s="46" t="s">
        <v>24</v>
      </c>
      <c r="D12" s="47" t="s">
        <v>86</v>
      </c>
      <c r="F12" s="48" t="s">
        <v>87</v>
      </c>
      <c r="H12" s="48" t="s">
        <v>88</v>
      </c>
      <c r="J12" s="48" t="s">
        <v>89</v>
      </c>
      <c r="L12" s="48" t="s">
        <v>90</v>
      </c>
      <c r="N12" s="48" t="s">
        <v>91</v>
      </c>
    </row>
    <row r="13" spans="1:16" x14ac:dyDescent="0.25">
      <c r="F13" s="44" t="s">
        <v>8</v>
      </c>
      <c r="H13" s="44" t="s">
        <v>9</v>
      </c>
      <c r="J13" s="44" t="s">
        <v>10</v>
      </c>
      <c r="L13" s="44" t="s">
        <v>25</v>
      </c>
      <c r="N13" s="44" t="s">
        <v>11</v>
      </c>
    </row>
    <row r="14" spans="1:16" x14ac:dyDescent="0.25">
      <c r="B14" s="49" t="s">
        <v>92</v>
      </c>
      <c r="D14" s="44" t="s">
        <v>93</v>
      </c>
    </row>
    <row r="15" spans="1:16" x14ac:dyDescent="0.25">
      <c r="A15" s="42">
        <v>1</v>
      </c>
      <c r="C15" s="50" t="s">
        <v>94</v>
      </c>
      <c r="D15" s="44" t="s">
        <v>95</v>
      </c>
      <c r="F15" s="51">
        <f>+F23</f>
        <v>15079065.390000001</v>
      </c>
      <c r="H15" s="51">
        <f>+H23</f>
        <v>11718390</v>
      </c>
      <c r="I15" s="51"/>
      <c r="J15" s="51">
        <f>+F15+H15</f>
        <v>26797455.390000001</v>
      </c>
      <c r="K15" s="51"/>
      <c r="L15" s="51">
        <f>+L23</f>
        <v>20381426.32</v>
      </c>
      <c r="M15" s="51"/>
      <c r="N15" s="51">
        <f>+J15+L15</f>
        <v>47178881.710000001</v>
      </c>
    </row>
    <row r="16" spans="1:16" x14ac:dyDescent="0.25">
      <c r="A16" s="42">
        <f>+A15+1</f>
        <v>2</v>
      </c>
      <c r="C16" s="43" t="s">
        <v>96</v>
      </c>
      <c r="D16" s="44" t="s">
        <v>97</v>
      </c>
      <c r="F16" s="51">
        <f>+F34</f>
        <v>-118213872.07999995</v>
      </c>
      <c r="H16" s="51">
        <f>+H34</f>
        <v>-118505432.77999999</v>
      </c>
      <c r="I16" s="51"/>
      <c r="J16" s="51">
        <f>+F16+H16</f>
        <v>-236719304.85999995</v>
      </c>
      <c r="K16" s="51"/>
      <c r="L16" s="51">
        <f>+L34</f>
        <v>-130688428.61000001</v>
      </c>
      <c r="M16" s="51"/>
      <c r="N16" s="51">
        <f>+J16+L16</f>
        <v>-367407733.46999997</v>
      </c>
    </row>
    <row r="17" spans="1:14" x14ac:dyDescent="0.25">
      <c r="A17" s="52">
        <f>+A16+1</f>
        <v>3</v>
      </c>
      <c r="B17" s="53"/>
      <c r="C17" s="54" t="s">
        <v>98</v>
      </c>
      <c r="D17" s="54" t="s">
        <v>99</v>
      </c>
      <c r="E17" s="55"/>
      <c r="F17" s="51">
        <f>+'3 Plant ADIT Balances by Mo'!S13-F15-F16</f>
        <v>237749.77948099375</v>
      </c>
      <c r="G17" s="53"/>
      <c r="H17" s="51">
        <f>-F17</f>
        <v>-237749.77948099375</v>
      </c>
      <c r="I17" s="51"/>
      <c r="J17" s="51">
        <f>+F17+H17</f>
        <v>0</v>
      </c>
      <c r="K17" s="51"/>
      <c r="L17" s="51">
        <v>0</v>
      </c>
      <c r="M17" s="51"/>
      <c r="N17" s="51">
        <f>+J17+L17</f>
        <v>0</v>
      </c>
    </row>
    <row r="18" spans="1:14" x14ac:dyDescent="0.25">
      <c r="A18" s="42">
        <f>+A17+1</f>
        <v>4</v>
      </c>
      <c r="C18" s="49" t="s">
        <v>100</v>
      </c>
      <c r="D18" s="56" t="s">
        <v>101</v>
      </c>
      <c r="F18" s="34">
        <f>SUM(F15:F17)</f>
        <v>-102897056.91051896</v>
      </c>
      <c r="G18" s="49"/>
      <c r="H18" s="34">
        <f>SUM(H15:H17)</f>
        <v>-107024792.55948098</v>
      </c>
      <c r="I18" s="49"/>
      <c r="J18" s="34">
        <f>SUM(J15:J17)</f>
        <v>-209921849.46999997</v>
      </c>
      <c r="K18" s="49"/>
      <c r="L18" s="34">
        <f>SUM(L15:L17)</f>
        <v>-110307002.29000002</v>
      </c>
      <c r="M18" s="49"/>
      <c r="N18" s="34">
        <f>SUM(N15:N17)</f>
        <v>-320228851.75999999</v>
      </c>
    </row>
    <row r="19" spans="1:14" ht="16.5" thickTop="1" x14ac:dyDescent="0.25"/>
    <row r="20" spans="1:14" x14ac:dyDescent="0.25">
      <c r="B20" s="49" t="s">
        <v>102</v>
      </c>
    </row>
    <row r="21" spans="1:14" x14ac:dyDescent="0.25">
      <c r="B21" s="43" t="s">
        <v>103</v>
      </c>
    </row>
    <row r="22" spans="1:14" x14ac:dyDescent="0.25">
      <c r="A22" s="42">
        <f>+A18+1</f>
        <v>5</v>
      </c>
      <c r="C22" s="43" t="s">
        <v>104</v>
      </c>
      <c r="D22" s="44" t="s">
        <v>105</v>
      </c>
      <c r="F22" s="51">
        <f>+'4 Test Yr ADIT Support'!R11</f>
        <v>11783790.880000001</v>
      </c>
      <c r="H22" s="51">
        <f>+'4 Test Yr ADIT Support'!R55</f>
        <v>1547761.83</v>
      </c>
      <c r="I22" s="51"/>
      <c r="J22" s="51">
        <f>+F22+H22</f>
        <v>13331552.710000001</v>
      </c>
      <c r="K22" s="51"/>
      <c r="L22" s="51">
        <f>+'4 Test Yr ADIT Support'!R94</f>
        <v>2172162.0399999996</v>
      </c>
      <c r="M22" s="51"/>
      <c r="N22" s="51">
        <f>+J22+L22</f>
        <v>15503714.75</v>
      </c>
    </row>
    <row r="23" spans="1:14" x14ac:dyDescent="0.25">
      <c r="A23" s="42">
        <f>+A22+1</f>
        <v>6</v>
      </c>
      <c r="C23" s="50" t="s">
        <v>94</v>
      </c>
      <c r="D23" s="44" t="s">
        <v>105</v>
      </c>
      <c r="F23" s="51">
        <f>+'4 Test Yr ADIT Support'!R10</f>
        <v>15079065.390000001</v>
      </c>
      <c r="H23" s="51">
        <f>+'4 Test Yr ADIT Support'!R54</f>
        <v>11718390</v>
      </c>
      <c r="I23" s="51"/>
      <c r="J23" s="51">
        <f>+F23+H23</f>
        <v>26797455.390000001</v>
      </c>
      <c r="K23" s="51"/>
      <c r="L23" s="51">
        <f>+'4 Test Yr ADIT Support'!R93</f>
        <v>20381426.32</v>
      </c>
      <c r="M23" s="51"/>
      <c r="N23" s="51">
        <f t="shared" ref="N23:N30" si="0">+J23+L23</f>
        <v>47178881.710000001</v>
      </c>
    </row>
    <row r="24" spans="1:14" x14ac:dyDescent="0.25">
      <c r="A24" s="42">
        <f t="shared" ref="A24:A31" si="1">+A23+1</f>
        <v>7</v>
      </c>
      <c r="C24" s="50" t="s">
        <v>106</v>
      </c>
      <c r="D24" s="44" t="s">
        <v>105</v>
      </c>
      <c r="F24" s="51">
        <f>+'4 Test Yr ADIT Support'!R17</f>
        <v>11242722.870000001</v>
      </c>
      <c r="H24" s="51">
        <f>+'4 Test Yr ADIT Support'!R61</f>
        <v>26722.3</v>
      </c>
      <c r="I24" s="51"/>
      <c r="J24" s="51">
        <f>+F24+H24</f>
        <v>11269445.170000002</v>
      </c>
      <c r="K24" s="51"/>
      <c r="L24" s="51">
        <f>+'4 Test Yr ADIT Support'!R100</f>
        <v>5041742.38</v>
      </c>
      <c r="M24" s="51"/>
      <c r="N24" s="51">
        <f t="shared" si="0"/>
        <v>16311187.550000001</v>
      </c>
    </row>
    <row r="25" spans="1:14" x14ac:dyDescent="0.25">
      <c r="A25" s="42">
        <f t="shared" si="1"/>
        <v>8</v>
      </c>
      <c r="C25" s="50" t="s">
        <v>107</v>
      </c>
      <c r="D25" s="44" t="s">
        <v>105</v>
      </c>
      <c r="F25" s="51">
        <f>+'4 Test Yr ADIT Support'!R18+'4 Test Yr ADIT Support'!R19+'4 Test Yr ADIT Support'!$R$22</f>
        <v>34872874.710000001</v>
      </c>
      <c r="H25" s="51">
        <f>+'4 Test Yr ADIT Support'!R62+'4 Test Yr ADIT Support'!R63</f>
        <v>2244532.83</v>
      </c>
      <c r="I25" s="51"/>
      <c r="J25" s="51">
        <f>+F25+H25</f>
        <v>37117407.539999999</v>
      </c>
      <c r="K25" s="51"/>
      <c r="L25" s="51">
        <f>+'4 Test Yr ADIT Support'!R101+'4 Test Yr ADIT Support'!R102</f>
        <v>19082995.449999999</v>
      </c>
      <c r="M25" s="51"/>
      <c r="N25" s="51">
        <f t="shared" si="0"/>
        <v>56200402.989999995</v>
      </c>
    </row>
    <row r="26" spans="1:14" x14ac:dyDescent="0.25">
      <c r="A26" s="42">
        <f t="shared" si="1"/>
        <v>9</v>
      </c>
      <c r="C26" s="50" t="s">
        <v>108</v>
      </c>
      <c r="D26" s="44" t="s">
        <v>105</v>
      </c>
      <c r="F26" s="51">
        <f>+'4 Test Yr ADIT Support'!R13+'4 Test Yr ADIT Support'!R16</f>
        <v>18256569.829999998</v>
      </c>
      <c r="H26" s="51">
        <f>+'4 Test Yr ADIT Support'!R57+'4 Test Yr ADIT Support'!R60</f>
        <v>19090158.399999999</v>
      </c>
      <c r="I26" s="51"/>
      <c r="J26" s="51">
        <f t="shared" ref="J26:J29" si="2">+F26+H26</f>
        <v>37346728.229999997</v>
      </c>
      <c r="K26" s="51"/>
      <c r="L26" s="51">
        <f>+'4 Test Yr ADIT Support'!R96+'4 Test Yr ADIT Support'!R99</f>
        <v>12777115.909999998</v>
      </c>
      <c r="M26" s="51"/>
      <c r="N26" s="51">
        <f t="shared" si="0"/>
        <v>50123844.139999993</v>
      </c>
    </row>
    <row r="27" spans="1:14" x14ac:dyDescent="0.25">
      <c r="A27" s="42">
        <f t="shared" si="1"/>
        <v>10</v>
      </c>
      <c r="C27" s="50" t="s">
        <v>109</v>
      </c>
      <c r="D27" s="44" t="s">
        <v>105</v>
      </c>
      <c r="F27" s="51">
        <f>+'4 Test Yr ADIT Support'!R20</f>
        <v>49294545.279999994</v>
      </c>
      <c r="H27" s="51">
        <f>+'4 Test Yr ADIT Support'!R64</f>
        <v>5052.2399999999989</v>
      </c>
      <c r="I27" s="51"/>
      <c r="J27" s="51">
        <f t="shared" si="2"/>
        <v>49299597.519999996</v>
      </c>
      <c r="K27" s="51"/>
      <c r="L27" s="51">
        <f>+'4 Test Yr ADIT Support'!R103</f>
        <v>19231539.069999997</v>
      </c>
      <c r="M27" s="51"/>
      <c r="N27" s="51">
        <f t="shared" si="0"/>
        <v>68531136.589999989</v>
      </c>
    </row>
    <row r="28" spans="1:14" x14ac:dyDescent="0.25">
      <c r="A28" s="42">
        <f t="shared" si="1"/>
        <v>11</v>
      </c>
      <c r="C28" s="50" t="s">
        <v>110</v>
      </c>
      <c r="D28" s="44" t="s">
        <v>105</v>
      </c>
      <c r="F28" s="51">
        <f>+'4 Test Yr ADIT Support'!R14</f>
        <v>7729347</v>
      </c>
      <c r="H28" s="51">
        <f>+'4 Test Yr ADIT Support'!R58</f>
        <v>6371625</v>
      </c>
      <c r="I28" s="51"/>
      <c r="J28" s="51">
        <f t="shared" si="2"/>
        <v>14100972</v>
      </c>
      <c r="K28" s="51"/>
      <c r="L28" s="51">
        <f>+'4 Test Yr ADIT Support'!R97</f>
        <v>3573817.29</v>
      </c>
      <c r="M28" s="51"/>
      <c r="N28" s="51">
        <f t="shared" si="0"/>
        <v>17674789.289999999</v>
      </c>
    </row>
    <row r="29" spans="1:14" x14ac:dyDescent="0.25">
      <c r="A29" s="42">
        <f t="shared" si="1"/>
        <v>12</v>
      </c>
      <c r="C29" s="43" t="s">
        <v>111</v>
      </c>
      <c r="D29" s="44" t="s">
        <v>105</v>
      </c>
      <c r="E29" s="44" t="s">
        <v>23</v>
      </c>
      <c r="F29" s="51">
        <f>+'4 Test Yr ADIT Support'!R12+'4 Test Yr ADIT Support'!R15</f>
        <v>-22808412.390000001</v>
      </c>
      <c r="H29" s="51">
        <f>+'4 Test Yr ADIT Support'!R56+'4 Test Yr ADIT Support'!R59</f>
        <v>-18090014.950000003</v>
      </c>
      <c r="I29" s="51"/>
      <c r="J29" s="51">
        <f t="shared" si="2"/>
        <v>-40898427.340000004</v>
      </c>
      <c r="K29" s="51"/>
      <c r="L29" s="51">
        <f>+'4 Test Yr ADIT Support'!R95+'4 Test Yr ADIT Support'!R98</f>
        <v>-23955243.5</v>
      </c>
      <c r="M29" s="51"/>
      <c r="N29" s="51">
        <f t="shared" si="0"/>
        <v>-64853670.840000004</v>
      </c>
    </row>
    <row r="30" spans="1:14" x14ac:dyDescent="0.25">
      <c r="A30" s="42">
        <f t="shared" si="1"/>
        <v>13</v>
      </c>
      <c r="C30" s="43" t="s">
        <v>112</v>
      </c>
      <c r="D30" s="44" t="s">
        <v>105</v>
      </c>
      <c r="F30" s="51">
        <f>'4 Test Yr ADIT Support'!R23-SUM(F22:F29)</f>
        <v>15472537.410000101</v>
      </c>
      <c r="H30" s="51">
        <f>+'4 Test Yr ADIT Support'!R67-SUM(H22:H29)</f>
        <v>2490096.8899999931</v>
      </c>
      <c r="I30" s="51"/>
      <c r="J30" s="51">
        <f>+F30+H30</f>
        <v>17962634.300000094</v>
      </c>
      <c r="K30" s="51"/>
      <c r="L30" s="51">
        <f>+'4 Test Yr ADIT Support'!R106-SUM(L22:L29)</f>
        <v>11160260.99000001</v>
      </c>
      <c r="M30" s="51"/>
      <c r="N30" s="51">
        <f t="shared" si="0"/>
        <v>29122895.290000103</v>
      </c>
    </row>
    <row r="31" spans="1:14" x14ac:dyDescent="0.25">
      <c r="A31" s="42">
        <f t="shared" si="1"/>
        <v>14</v>
      </c>
      <c r="B31" s="43" t="s">
        <v>113</v>
      </c>
      <c r="D31" s="56" t="s">
        <v>114</v>
      </c>
      <c r="F31" s="57">
        <f>SUM(F22:F30)</f>
        <v>140923040.98000008</v>
      </c>
      <c r="H31" s="57">
        <f>SUM(H22:H30)</f>
        <v>25404324.539999992</v>
      </c>
      <c r="J31" s="57">
        <f>SUM(J22:J30)</f>
        <v>166327365.5200001</v>
      </c>
      <c r="L31" s="57">
        <f>SUM(L22:L30)</f>
        <v>69465815.950000003</v>
      </c>
      <c r="N31" s="57">
        <f>SUM(N22:N30)</f>
        <v>235793181.47000009</v>
      </c>
    </row>
    <row r="32" spans="1:14" ht="16.5" thickTop="1" x14ac:dyDescent="0.25"/>
    <row r="33" spans="1:14" x14ac:dyDescent="0.25">
      <c r="B33" s="43" t="s">
        <v>115</v>
      </c>
    </row>
    <row r="34" spans="1:14" x14ac:dyDescent="0.25">
      <c r="A34" s="42">
        <f>+A31+1</f>
        <v>15</v>
      </c>
      <c r="C34" s="43" t="s">
        <v>96</v>
      </c>
      <c r="D34" s="44" t="s">
        <v>105</v>
      </c>
      <c r="F34" s="51">
        <f>+'4 Test Yr ADIT Support'!R29</f>
        <v>-118213872.07999995</v>
      </c>
      <c r="H34" s="51">
        <f>+'4 Test Yr ADIT Support'!R71</f>
        <v>-118505432.77999999</v>
      </c>
      <c r="I34" s="51"/>
      <c r="J34" s="51">
        <f>+F34+H34</f>
        <v>-236719304.85999995</v>
      </c>
      <c r="K34" s="51"/>
      <c r="L34" s="51">
        <f>+'4 Test Yr ADIT Support'!R109</f>
        <v>-130688428.61000001</v>
      </c>
      <c r="M34" s="51"/>
      <c r="N34" s="51">
        <f t="shared" ref="N34:N36" si="3">+J34+L34</f>
        <v>-367407733.46999997</v>
      </c>
    </row>
    <row r="35" spans="1:14" x14ac:dyDescent="0.25">
      <c r="A35" s="42">
        <f>+A34+1</f>
        <v>16</v>
      </c>
      <c r="C35" s="43" t="s">
        <v>116</v>
      </c>
      <c r="D35" s="44" t="s">
        <v>105</v>
      </c>
      <c r="F35" s="51">
        <f>+'4 Test Yr ADIT Support'!R30</f>
        <v>2705.85</v>
      </c>
      <c r="H35" s="51">
        <f>+'4 Test Yr ADIT Support'!R72</f>
        <v>1260054.32</v>
      </c>
      <c r="I35" s="51"/>
      <c r="J35" s="51">
        <f>+F35+H35</f>
        <v>1262760.1700000002</v>
      </c>
      <c r="K35" s="51"/>
      <c r="L35" s="51">
        <f>+'4 Test Yr ADIT Support'!R110</f>
        <v>0</v>
      </c>
      <c r="M35" s="51"/>
      <c r="N35" s="51">
        <f t="shared" si="3"/>
        <v>1262760.1700000002</v>
      </c>
    </row>
    <row r="36" spans="1:14" x14ac:dyDescent="0.25">
      <c r="A36" s="42">
        <f t="shared" ref="A36:A37" si="4">+A35+1</f>
        <v>17</v>
      </c>
      <c r="C36" s="43" t="s">
        <v>117</v>
      </c>
      <c r="D36" s="44" t="s">
        <v>105</v>
      </c>
      <c r="E36" s="44" t="s">
        <v>23</v>
      </c>
      <c r="F36" s="51">
        <f>+'4 Test Yr ADIT Support'!R31</f>
        <v>72688353.439999968</v>
      </c>
      <c r="H36" s="51">
        <f>+'4 Test Yr ADIT Support'!R73</f>
        <v>74430467.719999999</v>
      </c>
      <c r="I36" s="51"/>
      <c r="J36" s="51">
        <f>+F36+H36</f>
        <v>147118821.15999997</v>
      </c>
      <c r="K36" s="51"/>
      <c r="L36" s="51">
        <f>+'4 Test Yr ADIT Support'!R111</f>
        <v>65007223.150000006</v>
      </c>
      <c r="M36" s="51"/>
      <c r="N36" s="51">
        <f t="shared" si="3"/>
        <v>212126044.30999997</v>
      </c>
    </row>
    <row r="37" spans="1:14" x14ac:dyDescent="0.25">
      <c r="A37" s="42">
        <f t="shared" si="4"/>
        <v>18</v>
      </c>
      <c r="B37" s="43" t="s">
        <v>118</v>
      </c>
      <c r="D37" s="56" t="s">
        <v>119</v>
      </c>
      <c r="F37" s="57">
        <f>SUM(F34:F36)</f>
        <v>-45522812.789999992</v>
      </c>
      <c r="H37" s="57">
        <f>SUM(H34:H36)</f>
        <v>-42814910.739999995</v>
      </c>
      <c r="J37" s="57">
        <f>SUM(J34:J36)</f>
        <v>-88337723.530000001</v>
      </c>
      <c r="L37" s="57">
        <f>SUM(L34:L36)</f>
        <v>-65681205.460000008</v>
      </c>
      <c r="N37" s="57">
        <f>SUM(N34:N36)</f>
        <v>-154018928.98999998</v>
      </c>
    </row>
    <row r="38" spans="1:14" ht="16.5" thickTop="1" x14ac:dyDescent="0.25"/>
    <row r="39" spans="1:14" x14ac:dyDescent="0.25">
      <c r="B39" s="43" t="s">
        <v>120</v>
      </c>
    </row>
    <row r="40" spans="1:14" x14ac:dyDescent="0.25">
      <c r="A40" s="42">
        <f>+A37+1</f>
        <v>19</v>
      </c>
      <c r="C40" s="43" t="s">
        <v>121</v>
      </c>
      <c r="D40" s="44" t="s">
        <v>105</v>
      </c>
      <c r="F40" s="43">
        <f>+'4 Test Yr ADIT Support'!R40+'4 Test Yr ADIT Support'!R41+'4 Test Yr ADIT Support'!R44+'4 Test Yr ADIT Support'!R45</f>
        <v>-82996302.219999999</v>
      </c>
      <c r="H40" s="43">
        <f>+'4 Test Yr ADIT Support'!R82+'4 Test Yr ADIT Support'!R83</f>
        <v>-312410.03000000026</v>
      </c>
      <c r="J40" s="43">
        <f>+F40+H40</f>
        <v>-83308712.25</v>
      </c>
      <c r="L40" s="43">
        <f>+'4 Test Yr ADIT Support'!R121+'4 Test Yr ADIT Support'!R122+'4 Test Yr ADIT Support'!R125</f>
        <v>-39763963.660000004</v>
      </c>
      <c r="N40" s="43">
        <f t="shared" ref="N40:N45" si="5">+J40+L40</f>
        <v>-123072675.91</v>
      </c>
    </row>
    <row r="41" spans="1:14" x14ac:dyDescent="0.25">
      <c r="A41" s="42">
        <f>+A40+1</f>
        <v>20</v>
      </c>
      <c r="C41" s="43" t="s">
        <v>122</v>
      </c>
      <c r="D41" s="44" t="s">
        <v>105</v>
      </c>
      <c r="F41" s="43">
        <f>+'4 Test Yr ADIT Support'!R36+'4 Test Yr ADIT Support'!R39</f>
        <v>-2054636.5399999996</v>
      </c>
      <c r="H41" s="43">
        <f>+'4 Test Yr ADIT Support'!R78+'4 Test Yr ADIT Support'!R81</f>
        <v>-1693723.1000000003</v>
      </c>
      <c r="J41" s="43">
        <f t="shared" ref="J41:J44" si="6">+F41+H41</f>
        <v>-3748359.6399999997</v>
      </c>
      <c r="L41" s="43">
        <f>+'4 Test Yr ADIT Support'!R117+'4 Test Yr ADIT Support'!R120</f>
        <v>-950002.05999999947</v>
      </c>
      <c r="N41" s="43">
        <f t="shared" si="5"/>
        <v>-4698361.6999999993</v>
      </c>
    </row>
    <row r="42" spans="1:14" x14ac:dyDescent="0.25">
      <c r="A42" s="42">
        <f t="shared" ref="A42:A46" si="7">+A41+1</f>
        <v>21</v>
      </c>
      <c r="C42" s="43" t="s">
        <v>123</v>
      </c>
      <c r="D42" s="44" t="s">
        <v>105</v>
      </c>
      <c r="F42" s="43">
        <f>+'4 Test Yr ADIT Support'!R42</f>
        <v>-16792496.27</v>
      </c>
      <c r="H42" s="43">
        <f>+'4 Test Yr ADIT Support'!R84</f>
        <v>-17821183.830000006</v>
      </c>
      <c r="J42" s="43">
        <f t="shared" si="6"/>
        <v>-34613680.100000009</v>
      </c>
      <c r="L42" s="43">
        <f>+'4 Test Yr ADIT Support'!R123</f>
        <v>-12330057.890000001</v>
      </c>
      <c r="N42" s="43">
        <f t="shared" si="5"/>
        <v>-46943737.99000001</v>
      </c>
    </row>
    <row r="43" spans="1:14" x14ac:dyDescent="0.25">
      <c r="A43" s="42">
        <f t="shared" si="7"/>
        <v>22</v>
      </c>
      <c r="C43" s="43" t="s">
        <v>124</v>
      </c>
      <c r="D43" s="44" t="s">
        <v>105</v>
      </c>
      <c r="F43" s="43">
        <f>+'4 Test Yr ADIT Support'!R37</f>
        <v>-11070189</v>
      </c>
      <c r="H43" s="43">
        <f>+'4 Test Yr ADIT Support'!R79</f>
        <v>-9103280</v>
      </c>
      <c r="J43" s="43">
        <f t="shared" si="6"/>
        <v>-20173469</v>
      </c>
      <c r="L43" s="43">
        <f>+'4 Test Yr ADIT Support'!R118</f>
        <v>-3440496.1900000004</v>
      </c>
      <c r="N43" s="43">
        <f t="shared" si="5"/>
        <v>-23613965.190000001</v>
      </c>
    </row>
    <row r="44" spans="1:14" x14ac:dyDescent="0.25">
      <c r="A44" s="42">
        <f t="shared" si="7"/>
        <v>23</v>
      </c>
      <c r="C44" s="43" t="s">
        <v>125</v>
      </c>
      <c r="D44" s="44" t="s">
        <v>105</v>
      </c>
      <c r="E44" s="44" t="s">
        <v>23</v>
      </c>
      <c r="F44" s="43">
        <f>+'4 Test Yr ADIT Support'!R38</f>
        <v>11070189</v>
      </c>
      <c r="H44" s="43">
        <f>+'4 Test Yr ADIT Support'!R80</f>
        <v>9103280</v>
      </c>
      <c r="J44" s="43">
        <f t="shared" si="6"/>
        <v>20173469</v>
      </c>
      <c r="L44" s="43">
        <f>+'4 Test Yr ADIT Support'!R119</f>
        <v>3440496.1900000004</v>
      </c>
      <c r="N44" s="43">
        <f t="shared" si="5"/>
        <v>23613965.190000001</v>
      </c>
    </row>
    <row r="45" spans="1:14" x14ac:dyDescent="0.25">
      <c r="A45" s="42">
        <f t="shared" si="7"/>
        <v>24</v>
      </c>
      <c r="C45" s="43" t="s">
        <v>126</v>
      </c>
      <c r="D45" s="44" t="s">
        <v>105</v>
      </c>
      <c r="F45" s="43">
        <f>+'4 Test Yr ADIT Support'!R46-SUM(F40:F44)</f>
        <v>-8003300.8700000048</v>
      </c>
      <c r="H45" s="43">
        <f>+'4 Test Yr ADIT Support'!R87-SUM(H40:H44)</f>
        <v>-48801.069999989122</v>
      </c>
      <c r="J45" s="43">
        <f>+F45+H45</f>
        <v>-8052101.9399999939</v>
      </c>
      <c r="L45" s="43">
        <f>+'4 Test Yr ADIT Support'!R126-SUM(L40:L44)</f>
        <v>-6321535.3500000089</v>
      </c>
      <c r="N45" s="43">
        <f t="shared" si="5"/>
        <v>-14373637.290000003</v>
      </c>
    </row>
    <row r="46" spans="1:14" x14ac:dyDescent="0.25">
      <c r="A46" s="42">
        <f t="shared" si="7"/>
        <v>25</v>
      </c>
      <c r="B46" s="43" t="s">
        <v>127</v>
      </c>
      <c r="D46" s="56" t="s">
        <v>128</v>
      </c>
      <c r="F46" s="58">
        <f>SUM(F40:F45)</f>
        <v>-109846735.90000001</v>
      </c>
      <c r="H46" s="58">
        <f>SUM(H40:H45)</f>
        <v>-19876118.029999994</v>
      </c>
      <c r="J46" s="58">
        <f>SUM(J40:J45)</f>
        <v>-129722853.93000001</v>
      </c>
      <c r="L46" s="58">
        <f>SUM(L40:L45)</f>
        <v>-59365558.960000016</v>
      </c>
      <c r="N46" s="58">
        <f>SUM(N40:N45)</f>
        <v>-189088412.89000002</v>
      </c>
    </row>
    <row r="47" spans="1:14" ht="16.5" thickTop="1" x14ac:dyDescent="0.25"/>
    <row r="48" spans="1:14" x14ac:dyDescent="0.25">
      <c r="B48" s="43" t="s">
        <v>129</v>
      </c>
    </row>
    <row r="49" spans="1:14" x14ac:dyDescent="0.25">
      <c r="A49" s="42">
        <f>+A46+1</f>
        <v>26</v>
      </c>
      <c r="C49" s="43" t="s">
        <v>103</v>
      </c>
      <c r="D49" s="55" t="s">
        <v>865</v>
      </c>
      <c r="E49" s="55"/>
      <c r="F49" s="53"/>
      <c r="G49" s="53"/>
      <c r="H49" s="53"/>
      <c r="I49" s="53"/>
      <c r="J49" s="53"/>
      <c r="K49" s="53"/>
      <c r="L49" s="53"/>
      <c r="M49" s="53"/>
      <c r="N49" s="53">
        <f>+'5 BS @ 8-31-25'!N88</f>
        <v>235793181</v>
      </c>
    </row>
    <row r="50" spans="1:14" x14ac:dyDescent="0.25">
      <c r="A50" s="42">
        <f>+A49+1</f>
        <v>27</v>
      </c>
      <c r="C50" s="43" t="s">
        <v>115</v>
      </c>
      <c r="D50" s="55" t="s">
        <v>865</v>
      </c>
      <c r="E50" s="55"/>
      <c r="F50" s="53"/>
      <c r="G50" s="53"/>
      <c r="H50" s="53"/>
      <c r="I50" s="53"/>
      <c r="J50" s="53"/>
      <c r="K50" s="53"/>
      <c r="L50" s="53"/>
      <c r="M50" s="53"/>
      <c r="N50" s="53">
        <f>-'5 BS @ 8-31-25'!N172</f>
        <v>-154018929</v>
      </c>
    </row>
    <row r="51" spans="1:14" x14ac:dyDescent="0.25">
      <c r="A51" s="42">
        <f>+A50+1</f>
        <v>28</v>
      </c>
      <c r="C51" s="43" t="s">
        <v>120</v>
      </c>
      <c r="D51" s="55" t="s">
        <v>865</v>
      </c>
      <c r="E51" s="55"/>
      <c r="F51" s="53"/>
      <c r="G51" s="53"/>
      <c r="H51" s="53"/>
      <c r="I51" s="53"/>
      <c r="J51" s="53"/>
      <c r="K51" s="53"/>
      <c r="L51" s="53"/>
      <c r="M51" s="53"/>
      <c r="N51" s="53">
        <f>-'5 BS @ 8-31-25'!N174</f>
        <v>-189088413</v>
      </c>
    </row>
    <row r="53" spans="1:14" x14ac:dyDescent="0.25">
      <c r="B53" s="43" t="s">
        <v>51</v>
      </c>
    </row>
    <row r="54" spans="1:14" ht="15" customHeight="1" x14ac:dyDescent="0.25">
      <c r="B54" s="43" t="s">
        <v>23</v>
      </c>
      <c r="C54" s="352" t="s">
        <v>130</v>
      </c>
      <c r="D54" s="352"/>
      <c r="E54" s="352"/>
      <c r="F54" s="352"/>
      <c r="G54" s="352"/>
      <c r="H54" s="352"/>
      <c r="I54" s="352"/>
      <c r="J54" s="352"/>
      <c r="K54" s="352"/>
      <c r="L54" s="352"/>
      <c r="M54" s="352"/>
      <c r="N54" s="352"/>
    </row>
    <row r="55" spans="1:14" x14ac:dyDescent="0.25">
      <c r="C55" s="352"/>
      <c r="D55" s="352"/>
      <c r="E55" s="352"/>
      <c r="F55" s="352"/>
      <c r="G55" s="352"/>
      <c r="H55" s="352"/>
      <c r="I55" s="352"/>
      <c r="J55" s="352"/>
      <c r="K55" s="352"/>
      <c r="L55" s="352"/>
      <c r="M55" s="352"/>
      <c r="N55" s="352"/>
    </row>
    <row r="56" spans="1:14" x14ac:dyDescent="0.25">
      <c r="C56" s="352"/>
      <c r="D56" s="352"/>
      <c r="E56" s="352"/>
      <c r="F56" s="352"/>
      <c r="G56" s="352"/>
      <c r="H56" s="352"/>
      <c r="I56" s="352"/>
      <c r="J56" s="352"/>
      <c r="K56" s="352"/>
      <c r="L56" s="352"/>
      <c r="M56" s="352"/>
      <c r="N56" s="352"/>
    </row>
    <row r="57" spans="1:14" x14ac:dyDescent="0.25">
      <c r="C57" s="352"/>
      <c r="D57" s="352"/>
      <c r="E57" s="352"/>
      <c r="F57" s="352"/>
      <c r="G57" s="352"/>
      <c r="H57" s="352"/>
      <c r="I57" s="352"/>
      <c r="J57" s="352"/>
      <c r="K57" s="352"/>
      <c r="L57" s="352"/>
      <c r="M57" s="352"/>
      <c r="N57" s="352"/>
    </row>
  </sheetData>
  <mergeCells count="4">
    <mergeCell ref="A8:P8"/>
    <mergeCell ref="A9:P9"/>
    <mergeCell ref="A10:P10"/>
    <mergeCell ref="C54:N57"/>
  </mergeCells>
  <pageMargins left="0.95" right="0.45" top="0.75" bottom="0.75" header="0.3" footer="0.3"/>
  <pageSetup scale="56"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EC196-26B3-4C3E-944B-C41A8F22A7B9}">
  <dimension ref="A1:K28"/>
  <sheetViews>
    <sheetView workbookViewId="0">
      <selection activeCell="G1" sqref="G1:K5"/>
    </sheetView>
  </sheetViews>
  <sheetFormatPr defaultColWidth="9.140625" defaultRowHeight="15" x14ac:dyDescent="0.2"/>
  <cols>
    <col min="1" max="1" width="30.28515625" style="296" customWidth="1"/>
    <col min="2" max="3" width="9.140625" style="296"/>
    <col min="4" max="4" width="3.42578125" style="296" customWidth="1"/>
    <col min="5" max="6" width="17.85546875" style="297" customWidth="1"/>
    <col min="7" max="7" width="16.28515625" style="297" customWidth="1"/>
    <col min="8" max="8" width="3.42578125" style="296" customWidth="1"/>
    <col min="9" max="16384" width="9.140625" style="296"/>
  </cols>
  <sheetData>
    <row r="1" spans="1:11" ht="15.75" x14ac:dyDescent="0.25">
      <c r="A1" s="294" t="s">
        <v>849</v>
      </c>
      <c r="B1" s="294"/>
      <c r="C1" s="294"/>
      <c r="D1" s="294"/>
      <c r="E1" s="295"/>
      <c r="F1" s="295"/>
      <c r="G1" s="320"/>
      <c r="H1" s="321"/>
      <c r="I1" s="322"/>
      <c r="J1" s="110"/>
      <c r="K1" s="110" t="s">
        <v>20</v>
      </c>
    </row>
    <row r="2" spans="1:11" ht="15.75" x14ac:dyDescent="0.25">
      <c r="A2" s="294" t="s">
        <v>850</v>
      </c>
      <c r="B2" s="294"/>
      <c r="C2" s="294"/>
      <c r="D2" s="294"/>
      <c r="E2" s="295"/>
      <c r="F2" s="295"/>
      <c r="G2" s="320"/>
      <c r="H2" s="321"/>
      <c r="I2" s="322"/>
      <c r="J2" s="110"/>
      <c r="K2" s="110" t="str">
        <f>+'ADIT 1 Electric'!$G$2</f>
        <v>d/b/a RHODE ISLAND ENERGY</v>
      </c>
    </row>
    <row r="3" spans="1:11" ht="15.75" x14ac:dyDescent="0.25">
      <c r="A3" s="294" t="s">
        <v>885</v>
      </c>
      <c r="B3" s="294"/>
      <c r="C3" s="294"/>
      <c r="D3" s="294"/>
      <c r="E3" s="295"/>
      <c r="F3" s="295"/>
      <c r="G3" s="320"/>
      <c r="H3" s="321"/>
      <c r="I3" s="322"/>
      <c r="J3" s="110"/>
      <c r="K3" s="110" t="str">
        <f>+'ADIT 1 Electric'!$G$3</f>
        <v>RIPUC Docket No. 25-45-GE</v>
      </c>
    </row>
    <row r="4" spans="1:11" ht="15.75" x14ac:dyDescent="0.25">
      <c r="A4" s="294"/>
      <c r="G4" s="323"/>
      <c r="H4" s="322"/>
      <c r="I4" s="322"/>
      <c r="J4" s="110"/>
      <c r="K4" s="110" t="str">
        <f>+'ADIT 1 Electric'!$G$2</f>
        <v>d/b/a RHODE ISLAND ENERGY</v>
      </c>
    </row>
    <row r="5" spans="1:11" x14ac:dyDescent="0.2">
      <c r="G5" s="323"/>
      <c r="H5" s="322"/>
      <c r="I5" s="322"/>
      <c r="J5" s="196"/>
      <c r="K5" s="196" t="str">
        <f>+'ADIT 1 Electric'!$G$5</f>
        <v>Schedule NH-3-ELEC</v>
      </c>
    </row>
    <row r="6" spans="1:11" s="297" customFormat="1" x14ac:dyDescent="0.2">
      <c r="E6" s="297" t="s">
        <v>851</v>
      </c>
      <c r="F6" s="297" t="s">
        <v>851</v>
      </c>
      <c r="G6" s="297" t="s">
        <v>851</v>
      </c>
    </row>
    <row r="8" spans="1:11" s="297" customFormat="1" x14ac:dyDescent="0.2">
      <c r="E8" s="299" t="s">
        <v>852</v>
      </c>
      <c r="F8" s="299" t="s">
        <v>852</v>
      </c>
      <c r="G8" s="299" t="s">
        <v>852</v>
      </c>
    </row>
    <row r="9" spans="1:11" s="297" customFormat="1" x14ac:dyDescent="0.2">
      <c r="E9" s="299" t="s">
        <v>853</v>
      </c>
      <c r="F9" s="299" t="s">
        <v>854</v>
      </c>
      <c r="G9" s="299" t="s">
        <v>855</v>
      </c>
    </row>
    <row r="10" spans="1:11" s="297" customFormat="1" x14ac:dyDescent="0.2">
      <c r="E10" s="299">
        <v>2023</v>
      </c>
      <c r="F10" s="299">
        <v>2024</v>
      </c>
      <c r="G10" s="299" t="s">
        <v>856</v>
      </c>
    </row>
    <row r="11" spans="1:11" ht="16.5" thickBot="1" x14ac:dyDescent="0.3">
      <c r="A11" s="300" t="s">
        <v>857</v>
      </c>
    </row>
    <row r="12" spans="1:11" s="305" customFormat="1" ht="15.75" x14ac:dyDescent="0.25">
      <c r="A12" s="301" t="s">
        <v>858</v>
      </c>
      <c r="B12" s="302"/>
      <c r="C12" s="302"/>
      <c r="D12" s="302"/>
      <c r="E12" s="303">
        <v>26099456.325000003</v>
      </c>
      <c r="F12" s="303">
        <v>4919149.4574999968</v>
      </c>
      <c r="G12" s="304">
        <f>+E12+F12</f>
        <v>31018605.782499999</v>
      </c>
      <c r="H12" s="302"/>
    </row>
    <row r="13" spans="1:11" ht="15.75" x14ac:dyDescent="0.25">
      <c r="A13" s="306"/>
      <c r="E13" s="296"/>
      <c r="F13" s="296"/>
      <c r="G13" s="307"/>
    </row>
    <row r="14" spans="1:11" s="305" customFormat="1" ht="15.75" x14ac:dyDescent="0.25">
      <c r="A14" s="308" t="s">
        <v>213</v>
      </c>
      <c r="B14" s="309"/>
      <c r="C14" s="309"/>
      <c r="D14" s="309"/>
      <c r="E14" s="310">
        <v>61086693.644999981</v>
      </c>
      <c r="F14" s="310">
        <v>16223888.890000001</v>
      </c>
      <c r="G14" s="311">
        <f>+E14+F14</f>
        <v>77310582.534999982</v>
      </c>
      <c r="H14" s="309"/>
    </row>
    <row r="15" spans="1:11" s="305" customFormat="1" ht="15.75" x14ac:dyDescent="0.25">
      <c r="A15" s="308"/>
      <c r="B15" s="312"/>
      <c r="C15" s="312"/>
      <c r="D15" s="312"/>
      <c r="E15" s="297"/>
      <c r="F15" s="297"/>
      <c r="G15" s="297"/>
      <c r="H15" s="312"/>
    </row>
    <row r="16" spans="1:11" ht="15.75" x14ac:dyDescent="0.25">
      <c r="A16" s="306" t="s">
        <v>859</v>
      </c>
      <c r="E16" s="313"/>
      <c r="F16" s="314"/>
      <c r="G16" s="315">
        <f>+ROUND(G12/G14,4)</f>
        <v>0.4012</v>
      </c>
    </row>
    <row r="17" spans="1:7" x14ac:dyDescent="0.2">
      <c r="A17" s="306"/>
      <c r="G17" s="316"/>
    </row>
    <row r="18" spans="1:7" hidden="1" x14ac:dyDescent="0.2">
      <c r="A18" s="306" t="s">
        <v>860</v>
      </c>
    </row>
    <row r="19" spans="1:7" hidden="1" x14ac:dyDescent="0.2">
      <c r="A19" s="306"/>
    </row>
    <row r="20" spans="1:7" x14ac:dyDescent="0.2">
      <c r="A20" s="306" t="s">
        <v>861</v>
      </c>
      <c r="E20" s="297" t="s">
        <v>852</v>
      </c>
      <c r="F20" s="297" t="s">
        <v>852</v>
      </c>
    </row>
    <row r="21" spans="1:7" x14ac:dyDescent="0.2">
      <c r="A21" s="306" t="s">
        <v>862</v>
      </c>
      <c r="E21" s="297" t="s">
        <v>863</v>
      </c>
      <c r="F21" s="297" t="s">
        <v>863</v>
      </c>
    </row>
    <row r="22" spans="1:7" x14ac:dyDescent="0.2">
      <c r="A22" s="306"/>
      <c r="E22" s="297">
        <v>2023</v>
      </c>
      <c r="F22" s="297">
        <v>2024</v>
      </c>
    </row>
    <row r="23" spans="1:7" ht="15.75" x14ac:dyDescent="0.25">
      <c r="A23" s="308" t="s">
        <v>858</v>
      </c>
      <c r="E23" s="317">
        <v>34799275.100000001</v>
      </c>
      <c r="F23" s="317">
        <v>19676597.829999987</v>
      </c>
    </row>
    <row r="24" spans="1:7" x14ac:dyDescent="0.2">
      <c r="A24" s="306"/>
      <c r="E24" s="296"/>
      <c r="F24" s="296"/>
    </row>
    <row r="25" spans="1:7" ht="15.75" x14ac:dyDescent="0.25">
      <c r="A25" s="308" t="s">
        <v>213</v>
      </c>
      <c r="E25" s="317">
        <v>81448924.85999997</v>
      </c>
      <c r="F25" s="317">
        <v>64895555.560000002</v>
      </c>
    </row>
    <row r="26" spans="1:7" ht="15.75" x14ac:dyDescent="0.25">
      <c r="A26" s="308"/>
      <c r="E26" s="312"/>
    </row>
    <row r="27" spans="1:7" ht="15.75" x14ac:dyDescent="0.25">
      <c r="A27" s="306" t="s">
        <v>859</v>
      </c>
      <c r="E27" s="318">
        <f>+E23/E25</f>
        <v>0.42725272506439338</v>
      </c>
      <c r="F27" s="318">
        <f>+F23/F25</f>
        <v>0.30320408940497845</v>
      </c>
    </row>
    <row r="28" spans="1:7" ht="15.75" x14ac:dyDescent="0.25">
      <c r="A28" s="306"/>
      <c r="G28" s="319"/>
    </row>
  </sheetData>
  <pageMargins left="0.7" right="0.7" top="0.75" bottom="0.75" header="0.3" footer="0.3"/>
  <pageSetup orientation="portrait" r:id="rId1"/>
  <headerFooter>
    <oddFooter>&amp;L_x000D_&amp;1#&amp;"Calibri"&amp;14&amp;K000000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35DD8-F65F-454E-96CB-358F8AA0978B}">
  <sheetPr>
    <pageSetUpPr fitToPage="1"/>
  </sheetPr>
  <dimension ref="A1:O92"/>
  <sheetViews>
    <sheetView topLeftCell="A30" workbookViewId="0">
      <selection activeCell="K22" sqref="K22"/>
    </sheetView>
  </sheetViews>
  <sheetFormatPr defaultColWidth="9.140625" defaultRowHeight="15.75" x14ac:dyDescent="0.25"/>
  <cols>
    <col min="1" max="1" width="9" style="21" customWidth="1"/>
    <col min="2" max="2" width="1.42578125" style="21" customWidth="1"/>
    <col min="3" max="3" width="58" style="21" customWidth="1"/>
    <col min="4" max="4" width="14.7109375" style="21" customWidth="1"/>
    <col min="5" max="5" width="13.85546875" style="21" customWidth="1"/>
    <col min="6" max="6" width="2.5703125" style="21" customWidth="1"/>
    <col min="7" max="7" width="18.7109375" style="21" customWidth="1"/>
    <col min="8" max="8" width="2.5703125" style="21" customWidth="1"/>
    <col min="9" max="9" width="18.7109375" style="21" customWidth="1"/>
    <col min="10" max="10" width="2.5703125" style="21" customWidth="1"/>
    <col min="11" max="11" width="18.7109375" style="21" customWidth="1"/>
    <col min="12" max="12" width="2.5703125" style="21" customWidth="1"/>
    <col min="13" max="13" width="18.7109375" style="21" customWidth="1"/>
    <col min="14" max="14" width="2.28515625" style="21" customWidth="1"/>
    <col min="15" max="15" width="33.140625" style="21" customWidth="1"/>
    <col min="16" max="16384" width="9.140625" style="21"/>
  </cols>
  <sheetData>
    <row r="1" spans="1:15" x14ac:dyDescent="0.25">
      <c r="A1" s="115"/>
      <c r="B1" s="115"/>
      <c r="C1" s="115"/>
      <c r="D1" s="115"/>
      <c r="E1" s="115"/>
      <c r="F1" s="115"/>
      <c r="G1" s="115"/>
      <c r="H1" s="115"/>
      <c r="I1" s="115"/>
      <c r="J1" s="115"/>
      <c r="K1" s="115"/>
      <c r="L1" s="115"/>
      <c r="M1" s="115"/>
      <c r="N1" s="116"/>
      <c r="O1" s="110" t="s">
        <v>20</v>
      </c>
    </row>
    <row r="2" spans="1:15" x14ac:dyDescent="0.25">
      <c r="A2" s="115"/>
      <c r="B2" s="115"/>
      <c r="C2" s="115"/>
      <c r="D2" s="115"/>
      <c r="E2" s="115"/>
      <c r="F2" s="115"/>
      <c r="G2" s="115"/>
      <c r="H2" s="115"/>
      <c r="I2" s="115"/>
      <c r="J2" s="115"/>
      <c r="K2" s="115"/>
      <c r="L2" s="115"/>
      <c r="M2" s="115"/>
      <c r="N2" s="116"/>
      <c r="O2" s="110" t="str">
        <f>+'ADIT 1 Electric'!$G$2</f>
        <v>d/b/a RHODE ISLAND ENERGY</v>
      </c>
    </row>
    <row r="3" spans="1:15" x14ac:dyDescent="0.25">
      <c r="A3" s="115"/>
      <c r="B3" s="115"/>
      <c r="C3" s="115"/>
      <c r="D3" s="115"/>
      <c r="E3" s="115"/>
      <c r="F3" s="115"/>
      <c r="G3" s="115"/>
      <c r="H3" s="115"/>
      <c r="I3" s="115"/>
      <c r="J3" s="115"/>
      <c r="K3" s="115"/>
      <c r="L3" s="115"/>
      <c r="M3" s="115"/>
      <c r="N3" s="116"/>
      <c r="O3" s="110" t="str">
        <f>+'ADIT 1 Electric'!$G$3</f>
        <v>RIPUC Docket No. 25-45-GE</v>
      </c>
    </row>
    <row r="4" spans="1:15" hidden="1" x14ac:dyDescent="0.25">
      <c r="A4" s="115"/>
      <c r="B4" s="115"/>
      <c r="C4" s="115"/>
      <c r="D4" s="115"/>
      <c r="E4" s="115"/>
      <c r="F4" s="115"/>
      <c r="G4" s="115"/>
      <c r="H4" s="115"/>
      <c r="I4" s="115"/>
      <c r="J4" s="115"/>
      <c r="K4" s="115"/>
      <c r="L4" s="115"/>
      <c r="M4" s="115"/>
      <c r="N4" s="116"/>
      <c r="O4" s="110" t="str">
        <f>+'ADIT 1 Electric'!$G$4</f>
        <v>Compliance Attachment 2</v>
      </c>
    </row>
    <row r="5" spans="1:15" x14ac:dyDescent="0.25">
      <c r="A5" s="115"/>
      <c r="B5" s="115"/>
      <c r="C5" s="115"/>
      <c r="D5" s="115"/>
      <c r="E5" s="115"/>
      <c r="F5" s="115"/>
      <c r="G5" s="115"/>
      <c r="H5" s="115"/>
      <c r="I5" s="115"/>
      <c r="J5" s="115"/>
      <c r="K5" s="115"/>
      <c r="L5" s="115"/>
      <c r="M5" s="115"/>
      <c r="N5" s="116"/>
      <c r="O5" s="110" t="str">
        <f>+'ADIT 1 Electric'!$G$5</f>
        <v>Schedule NH-3-ELEC</v>
      </c>
    </row>
    <row r="6" spans="1:15" x14ac:dyDescent="0.25">
      <c r="A6" s="115"/>
      <c r="B6" s="115"/>
      <c r="C6" s="115"/>
      <c r="D6" s="115"/>
      <c r="E6" s="115"/>
      <c r="F6" s="115"/>
      <c r="G6" s="115"/>
      <c r="H6" s="115"/>
      <c r="I6" s="115"/>
      <c r="J6" s="115"/>
      <c r="K6" s="115"/>
      <c r="L6" s="115"/>
      <c r="M6" s="115"/>
      <c r="N6" s="116"/>
      <c r="O6" s="110" t="s">
        <v>131</v>
      </c>
    </row>
    <row r="7" spans="1:15" x14ac:dyDescent="0.25">
      <c r="A7" s="59"/>
      <c r="B7" s="59"/>
      <c r="C7" s="59"/>
      <c r="D7" s="59"/>
      <c r="E7" s="59"/>
      <c r="F7" s="59"/>
      <c r="G7" s="59"/>
      <c r="H7" s="59"/>
      <c r="I7" s="59"/>
      <c r="J7" s="59"/>
      <c r="K7" s="59"/>
      <c r="L7" s="59"/>
      <c r="M7" s="59"/>
    </row>
    <row r="8" spans="1:15" ht="15.75" customHeight="1" x14ac:dyDescent="0.25">
      <c r="A8" s="353" t="str">
        <f>+'ADIT 1 Electric'!$A$10</f>
        <v>The Narragansett Electric Company d/b/a Rhode Island Energy</v>
      </c>
      <c r="B8" s="353"/>
      <c r="C8" s="353"/>
      <c r="D8" s="353"/>
      <c r="E8" s="353"/>
      <c r="F8" s="353"/>
      <c r="G8" s="353"/>
      <c r="H8" s="353"/>
      <c r="I8" s="353"/>
      <c r="J8" s="353"/>
      <c r="K8" s="353"/>
      <c r="L8" s="353"/>
      <c r="M8" s="353"/>
      <c r="N8" s="353"/>
      <c r="O8" s="353"/>
    </row>
    <row r="9" spans="1:15" ht="15.75" customHeight="1" x14ac:dyDescent="0.25">
      <c r="A9" s="353" t="s">
        <v>132</v>
      </c>
      <c r="B9" s="353"/>
      <c r="C9" s="353"/>
      <c r="D9" s="353"/>
      <c r="E9" s="353"/>
      <c r="F9" s="353"/>
      <c r="G9" s="353"/>
      <c r="H9" s="353"/>
      <c r="I9" s="353"/>
      <c r="J9" s="353"/>
      <c r="K9" s="353"/>
      <c r="L9" s="353"/>
      <c r="M9" s="353"/>
      <c r="N9" s="353"/>
      <c r="O9" s="353"/>
    </row>
    <row r="10" spans="1:15" ht="15.75" customHeight="1" x14ac:dyDescent="0.25">
      <c r="A10" s="353" t="s">
        <v>133</v>
      </c>
      <c r="B10" s="353"/>
      <c r="C10" s="353"/>
      <c r="D10" s="353"/>
      <c r="E10" s="353"/>
      <c r="F10" s="353"/>
      <c r="G10" s="353"/>
      <c r="H10" s="353"/>
      <c r="I10" s="353"/>
      <c r="J10" s="353"/>
      <c r="K10" s="353"/>
      <c r="L10" s="353"/>
      <c r="M10" s="353"/>
      <c r="N10" s="353"/>
      <c r="O10" s="353"/>
    </row>
    <row r="11" spans="1:15" x14ac:dyDescent="0.25">
      <c r="A11" s="60"/>
      <c r="B11" s="60"/>
      <c r="C11" s="5"/>
      <c r="D11" s="5"/>
      <c r="E11" s="5"/>
      <c r="F11" s="5"/>
      <c r="G11" s="5"/>
      <c r="H11" s="5"/>
      <c r="I11" s="5"/>
      <c r="J11" s="5"/>
      <c r="K11" s="5"/>
      <c r="L11" s="5"/>
      <c r="M11" s="5"/>
    </row>
    <row r="12" spans="1:15" x14ac:dyDescent="0.25">
      <c r="A12" s="24" t="s">
        <v>1</v>
      </c>
      <c r="B12" s="60"/>
      <c r="C12" s="61"/>
      <c r="D12" s="61"/>
      <c r="E12" s="61"/>
      <c r="G12" s="24" t="s">
        <v>134</v>
      </c>
      <c r="I12" s="62" t="s">
        <v>135</v>
      </c>
      <c r="K12" s="62" t="s">
        <v>136</v>
      </c>
      <c r="M12" s="62" t="s">
        <v>137</v>
      </c>
    </row>
    <row r="13" spans="1:15" ht="15" customHeight="1" x14ac:dyDescent="0.25">
      <c r="A13" s="25" t="s">
        <v>530</v>
      </c>
      <c r="B13" s="60"/>
      <c r="C13" s="25" t="s">
        <v>49</v>
      </c>
      <c r="G13" s="63">
        <v>46234</v>
      </c>
      <c r="I13" s="63">
        <f>EDATE(G13,12)</f>
        <v>46599</v>
      </c>
      <c r="K13" s="63">
        <f>EDATE(I13,12)</f>
        <v>46965</v>
      </c>
      <c r="M13" s="63">
        <f>EDATE(K13,12)</f>
        <v>47330</v>
      </c>
      <c r="O13" s="25" t="s">
        <v>51</v>
      </c>
    </row>
    <row r="14" spans="1:15" x14ac:dyDescent="0.25">
      <c r="A14" s="64"/>
      <c r="B14" s="60"/>
      <c r="C14" s="65"/>
      <c r="D14" s="65"/>
      <c r="E14" s="65"/>
      <c r="G14" s="66" t="s">
        <v>8</v>
      </c>
      <c r="I14" s="66" t="s">
        <v>9</v>
      </c>
      <c r="K14" s="66" t="s">
        <v>10</v>
      </c>
      <c r="M14" s="66" t="s">
        <v>25</v>
      </c>
    </row>
    <row r="15" spans="1:15" ht="31.5" x14ac:dyDescent="0.25">
      <c r="A15" s="15">
        <v>1</v>
      </c>
      <c r="B15" s="15"/>
      <c r="C15" s="67" t="s">
        <v>138</v>
      </c>
      <c r="D15" s="65"/>
      <c r="E15" s="65"/>
      <c r="G15" s="68">
        <f>-G55</f>
        <v>0</v>
      </c>
      <c r="I15" s="68">
        <f>-I55</f>
        <v>-7628994.0613478441</v>
      </c>
      <c r="K15" s="68">
        <f>-K55</f>
        <v>-3874699.8941653194</v>
      </c>
      <c r="M15" s="68">
        <f>-M55</f>
        <v>-3391239.9485295136</v>
      </c>
      <c r="O15" s="21" t="str">
        <f>" - "&amp;"Line "&amp;A55</f>
        <v xml:space="preserve"> - Line 41</v>
      </c>
    </row>
    <row r="16" spans="1:15" x14ac:dyDescent="0.25">
      <c r="A16" s="15">
        <f t="shared" ref="A16:A17" si="0">+A15+1</f>
        <v>2</v>
      </c>
      <c r="B16" s="15"/>
      <c r="C16" s="69"/>
      <c r="D16" s="65"/>
      <c r="E16" s="65"/>
      <c r="G16" s="70"/>
      <c r="I16" s="70"/>
      <c r="K16" s="70"/>
      <c r="M16" s="70"/>
    </row>
    <row r="17" spans="1:15" ht="16.5" thickBot="1" x14ac:dyDescent="0.3">
      <c r="A17" s="15">
        <f t="shared" si="0"/>
        <v>3</v>
      </c>
      <c r="B17" s="15"/>
      <c r="C17" s="71" t="s">
        <v>139</v>
      </c>
      <c r="D17" s="72"/>
      <c r="E17" s="72"/>
      <c r="G17" s="73">
        <f>SUM(G15:G16)</f>
        <v>0</v>
      </c>
      <c r="I17" s="73">
        <f>SUM(I15:I16)</f>
        <v>-7628994.0613478441</v>
      </c>
      <c r="K17" s="73">
        <f>SUM(K15:K16)</f>
        <v>-3874699.8941653194</v>
      </c>
      <c r="M17" s="73">
        <f>SUM(M15:M16)</f>
        <v>-3391239.9485295136</v>
      </c>
      <c r="O17" s="21" t="str">
        <f>"Line "&amp;A15&amp;" + Line "&amp;A16</f>
        <v>Line 1 + Line 2</v>
      </c>
    </row>
    <row r="18" spans="1:15" ht="16.5" thickTop="1" x14ac:dyDescent="0.25">
      <c r="A18" s="15">
        <f>A17+1</f>
        <v>4</v>
      </c>
      <c r="B18" s="15"/>
      <c r="C18" s="69"/>
      <c r="D18" s="65"/>
      <c r="E18" s="65"/>
      <c r="F18" s="62"/>
      <c r="G18" s="62"/>
      <c r="H18" s="62"/>
      <c r="I18" s="62"/>
      <c r="J18" s="62"/>
      <c r="K18" s="62"/>
      <c r="L18" s="62"/>
      <c r="M18" s="62"/>
    </row>
    <row r="19" spans="1:15" x14ac:dyDescent="0.25">
      <c r="A19" s="15">
        <f>A18+1</f>
        <v>5</v>
      </c>
      <c r="B19" s="15"/>
      <c r="C19" s="74" t="s">
        <v>140</v>
      </c>
    </row>
    <row r="20" spans="1:15" x14ac:dyDescent="0.25">
      <c r="A20" s="15">
        <f t="shared" ref="A20:A55" si="1">A19+1</f>
        <v>6</v>
      </c>
      <c r="B20" s="15"/>
      <c r="C20" s="74"/>
    </row>
    <row r="21" spans="1:15" x14ac:dyDescent="0.25">
      <c r="A21" s="15">
        <f t="shared" si="1"/>
        <v>7</v>
      </c>
      <c r="B21" s="15"/>
      <c r="C21" s="75" t="s">
        <v>141</v>
      </c>
      <c r="D21" s="76"/>
      <c r="E21" s="76"/>
    </row>
    <row r="22" spans="1:15" ht="30.75" customHeight="1" x14ac:dyDescent="0.25">
      <c r="A22" s="15">
        <f t="shared" si="1"/>
        <v>8</v>
      </c>
      <c r="B22" s="15"/>
      <c r="C22" s="31" t="s">
        <v>142</v>
      </c>
      <c r="D22" s="31"/>
      <c r="E22" s="31"/>
      <c r="G22" s="27">
        <f>'ADIT 1 Electric'!E50</f>
        <v>61766979.595709927</v>
      </c>
      <c r="I22" s="346">
        <f>'ADIT 1 Electric'!E60</f>
        <v>68765357</v>
      </c>
      <c r="K22" s="346">
        <f>'ADIT 2 Electric'!E43</f>
        <v>76099619.432001293</v>
      </c>
      <c r="M22" s="27">
        <f>'ADIT 2 Electric'!E52</f>
        <v>81450494.481111079</v>
      </c>
      <c r="O22" s="77" t="str">
        <f>"Cols "&amp;G14&amp;"-"&amp;M14&amp;": "&amp;+'ADIT 1 Electric'!$G$6&amp;", "&amp;"Lines "&amp;'ADIT 1 Electric'!A50&amp;", "&amp;'ADIT 1 Electric'!A60&amp;" and "&amp;+'ADIT 2 Electric'!$G$6&amp;", Lines "&amp;'ADIT 2 Electric'!A43&amp;" "&amp;"and "&amp;'ADIT 2 Electric'!A52</f>
        <v>Cols (a)-(d): Page 1 of 17, Lines 32, 42 and Page 2 of 17, Lines 25 and 34</v>
      </c>
    </row>
    <row r="23" spans="1:15" x14ac:dyDescent="0.25">
      <c r="A23" s="15">
        <f t="shared" si="1"/>
        <v>9</v>
      </c>
      <c r="B23" s="15"/>
      <c r="C23" s="78" t="s">
        <v>143</v>
      </c>
      <c r="D23" s="79"/>
      <c r="E23" s="79"/>
      <c r="G23" s="27">
        <f>-'Elect Tax Depr Summary'!G29</f>
        <v>-139909976.54663986</v>
      </c>
      <c r="I23" s="27">
        <f>-'Elect Tax Depr Summary'!I29</f>
        <v>-153605015.65815794</v>
      </c>
      <c r="K23" s="27">
        <f>-'Elect Tax Depr Summary'!K29</f>
        <v>-127738590.92063339</v>
      </c>
      <c r="M23" s="27">
        <f>-'Elect Tax Depr Summary'!M29</f>
        <v>-128616450.84050593</v>
      </c>
      <c r="O23" s="21" t="str">
        <f>" - "&amp;+'Elect Tax Depr Summary'!$M$6&amp;", Lines "&amp;'Elect Tax Depr Summary'!A29&amp;'Elect Tax Depr Summary'!G$18&amp;" thru "&amp;'Elect Tax Depr Summary'!M18</f>
        <v xml:space="preserve"> - Page 5 of 17, Lines 9(b) thru (e)</v>
      </c>
    </row>
    <row r="24" spans="1:15" x14ac:dyDescent="0.25">
      <c r="A24" s="15">
        <f t="shared" si="1"/>
        <v>10</v>
      </c>
      <c r="B24" s="15"/>
      <c r="C24" s="31" t="s">
        <v>144</v>
      </c>
      <c r="D24" s="31"/>
      <c r="E24" s="31"/>
      <c r="G24" s="32">
        <f>SUM(G22:G23)</f>
        <v>-78142996.95092994</v>
      </c>
      <c r="I24" s="32">
        <f>SUM(I22:I23)</f>
        <v>-84839658.658157945</v>
      </c>
      <c r="K24" s="32">
        <f>SUM(K22:K23)</f>
        <v>-51638971.488632098</v>
      </c>
      <c r="M24" s="32">
        <f>SUM(M22:M23)</f>
        <v>-47165956.359394848</v>
      </c>
      <c r="O24" s="21" t="str">
        <f>"Line "&amp;A22&amp;" + Line "&amp;A23</f>
        <v>Line 8 + Line 9</v>
      </c>
    </row>
    <row r="25" spans="1:15" x14ac:dyDescent="0.25">
      <c r="A25" s="15">
        <f t="shared" si="1"/>
        <v>11</v>
      </c>
      <c r="B25" s="15"/>
      <c r="C25" s="31" t="s">
        <v>145</v>
      </c>
      <c r="D25" s="31"/>
      <c r="E25" s="31"/>
      <c r="G25" s="80">
        <v>0.21</v>
      </c>
      <c r="I25" s="80">
        <v>0.21</v>
      </c>
      <c r="K25" s="80">
        <v>0.21</v>
      </c>
      <c r="M25" s="80">
        <v>0.21</v>
      </c>
      <c r="O25" s="21" t="s">
        <v>68</v>
      </c>
    </row>
    <row r="26" spans="1:15" x14ac:dyDescent="0.25">
      <c r="A26" s="15">
        <f t="shared" si="1"/>
        <v>12</v>
      </c>
      <c r="B26" s="15"/>
      <c r="C26" s="31" t="s">
        <v>146</v>
      </c>
      <c r="D26" s="31"/>
      <c r="E26" s="31"/>
      <c r="G26" s="32">
        <f>G24*G25</f>
        <v>-16410029.359695287</v>
      </c>
      <c r="I26" s="32">
        <f>I24*I25</f>
        <v>-17816328.318213169</v>
      </c>
      <c r="K26" s="32">
        <f>K24*K25</f>
        <v>-10844184.01261274</v>
      </c>
      <c r="M26" s="32">
        <f>M24*M25</f>
        <v>-9904850.8354729172</v>
      </c>
      <c r="O26" s="21" t="str">
        <f>"Line "&amp;A24&amp;" x "&amp;" Line "&amp;A25</f>
        <v>Line 10 x  Line 11</v>
      </c>
    </row>
    <row r="27" spans="1:15" x14ac:dyDescent="0.25">
      <c r="A27" s="15">
        <f t="shared" si="1"/>
        <v>13</v>
      </c>
      <c r="B27" s="15"/>
      <c r="C27" s="31"/>
      <c r="D27" s="81"/>
      <c r="E27" s="81"/>
    </row>
    <row r="28" spans="1:15" x14ac:dyDescent="0.25">
      <c r="A28" s="15">
        <f t="shared" si="1"/>
        <v>14</v>
      </c>
      <c r="B28" s="15"/>
      <c r="C28" s="75" t="s">
        <v>70</v>
      </c>
      <c r="D28" s="76"/>
      <c r="E28" s="76"/>
    </row>
    <row r="29" spans="1:15" x14ac:dyDescent="0.25">
      <c r="A29" s="15">
        <f t="shared" si="1"/>
        <v>15</v>
      </c>
      <c r="B29" s="15"/>
      <c r="C29" s="31"/>
      <c r="D29" s="81"/>
      <c r="E29" s="81"/>
    </row>
    <row r="30" spans="1:15" x14ac:dyDescent="0.25">
      <c r="A30" s="15">
        <f t="shared" si="1"/>
        <v>16</v>
      </c>
      <c r="B30" s="15"/>
      <c r="C30" s="31" t="s">
        <v>70</v>
      </c>
      <c r="D30" s="81"/>
      <c r="E30" s="81"/>
      <c r="G30" s="27">
        <f>-'ADIT 1 Electric'!E54/'ADIT 1 Electric'!E52</f>
        <v>0</v>
      </c>
      <c r="I30" s="27">
        <f>-'ADIT 1 Electric'!E64/'ADIT 1 Electric'!E62</f>
        <v>0</v>
      </c>
      <c r="K30" s="27">
        <f>-'ADIT 2 Electric'!E47/'ADIT 2 Electric'!E45</f>
        <v>0</v>
      </c>
      <c r="M30" s="27">
        <f>-'ADIT 2 Electric'!E56/'ADIT 2 Electric'!E54</f>
        <v>0</v>
      </c>
      <c r="O30" s="21" t="s">
        <v>147</v>
      </c>
    </row>
    <row r="31" spans="1:15" x14ac:dyDescent="0.25">
      <c r="A31" s="15">
        <f t="shared" si="1"/>
        <v>17</v>
      </c>
      <c r="B31" s="15"/>
      <c r="C31" s="31" t="s">
        <v>145</v>
      </c>
      <c r="D31" s="31"/>
      <c r="E31" s="31"/>
      <c r="G31" s="80">
        <v>0.21</v>
      </c>
      <c r="I31" s="80">
        <v>0.21</v>
      </c>
      <c r="K31" s="80">
        <v>0.21</v>
      </c>
      <c r="M31" s="80">
        <v>0.21</v>
      </c>
      <c r="O31" s="21" t="s">
        <v>68</v>
      </c>
    </row>
    <row r="32" spans="1:15" x14ac:dyDescent="0.25">
      <c r="A32" s="15">
        <f t="shared" si="1"/>
        <v>18</v>
      </c>
      <c r="B32" s="15"/>
      <c r="C32" s="31" t="s">
        <v>146</v>
      </c>
      <c r="D32" s="31"/>
      <c r="E32" s="31"/>
      <c r="G32" s="32">
        <f>G30*G31</f>
        <v>0</v>
      </c>
      <c r="I32" s="32">
        <f>I30*I31</f>
        <v>0</v>
      </c>
      <c r="K32" s="32">
        <f>K30*K31</f>
        <v>0</v>
      </c>
      <c r="M32" s="32">
        <f>M30*M31</f>
        <v>0</v>
      </c>
      <c r="O32" s="21" t="str">
        <f>"Line "&amp;A30&amp;" x "&amp;"Line "&amp;A31</f>
        <v>Line 16 x Line 17</v>
      </c>
    </row>
    <row r="33" spans="1:15" x14ac:dyDescent="0.25">
      <c r="A33" s="15">
        <f t="shared" si="1"/>
        <v>19</v>
      </c>
      <c r="B33" s="15"/>
      <c r="C33" s="31"/>
      <c r="D33" s="31"/>
      <c r="E33" s="31"/>
    </row>
    <row r="34" spans="1:15" x14ac:dyDescent="0.25">
      <c r="A34" s="15">
        <f>+A33+1</f>
        <v>20</v>
      </c>
      <c r="B34" s="15"/>
      <c r="C34" s="75" t="s">
        <v>58</v>
      </c>
      <c r="D34" s="31"/>
      <c r="E34" s="31"/>
      <c r="G34" s="27">
        <f>-'ADIT 1 Electric'!E55</f>
        <v>1806770.4166666667</v>
      </c>
      <c r="I34" s="27">
        <f>-'ADIT 1 Electric'!E39</f>
        <v>3740930.6818595231</v>
      </c>
      <c r="K34" s="27">
        <f>-'ADIT 2 Electric'!E23</f>
        <v>3695411.6720718388</v>
      </c>
      <c r="M34" s="27">
        <f>-'ADIT 2 Electric'!E32</f>
        <v>3648055.985195213</v>
      </c>
      <c r="O34" s="21" t="s">
        <v>147</v>
      </c>
    </row>
    <row r="35" spans="1:15" x14ac:dyDescent="0.25">
      <c r="A35" s="15">
        <f t="shared" ref="A35:A37" si="2">+A34+1</f>
        <v>21</v>
      </c>
      <c r="B35" s="15"/>
      <c r="C35" s="31"/>
      <c r="D35" s="31"/>
      <c r="E35" s="31"/>
    </row>
    <row r="36" spans="1:15" x14ac:dyDescent="0.25">
      <c r="A36" s="15">
        <f t="shared" si="2"/>
        <v>22</v>
      </c>
      <c r="B36" s="15"/>
      <c r="C36" s="31" t="s">
        <v>148</v>
      </c>
      <c r="D36" s="31"/>
      <c r="E36" s="31"/>
      <c r="G36" s="82"/>
      <c r="I36" s="32">
        <f>I32+I26+I34</f>
        <v>-14075397.636353645</v>
      </c>
      <c r="K36" s="32">
        <f>K32+K26+K34</f>
        <v>-7148772.3405409008</v>
      </c>
      <c r="M36" s="32">
        <f>M32+M26+M34</f>
        <v>-6256794.8502777042</v>
      </c>
      <c r="O36" s="357" t="str">
        <f>"Columns "&amp;I14&amp;","&amp;K14&amp;", and "&amp;M14&amp;", Line "&amp;A26&amp;" + "&amp;" Line "&amp;A32&amp;" + Line "&amp;A34</f>
        <v>Columns (b),(c), and (d), Line 12 +  Line 18 + Line 20</v>
      </c>
    </row>
    <row r="37" spans="1:15" x14ac:dyDescent="0.25">
      <c r="A37" s="15">
        <f t="shared" si="2"/>
        <v>23</v>
      </c>
      <c r="B37" s="15"/>
      <c r="C37" s="81"/>
      <c r="D37" s="81"/>
      <c r="E37" s="81"/>
      <c r="G37" s="24" t="s">
        <v>149</v>
      </c>
      <c r="O37" s="357"/>
    </row>
    <row r="38" spans="1:15" ht="31.5" x14ac:dyDescent="0.25">
      <c r="A38" s="15">
        <f t="shared" si="1"/>
        <v>24</v>
      </c>
      <c r="B38" s="15"/>
      <c r="C38" s="83" t="s">
        <v>150</v>
      </c>
      <c r="D38" s="84" t="s">
        <v>151</v>
      </c>
      <c r="E38" s="84" t="s">
        <v>152</v>
      </c>
    </row>
    <row r="39" spans="1:15" x14ac:dyDescent="0.25">
      <c r="A39" s="15">
        <f t="shared" si="1"/>
        <v>25</v>
      </c>
      <c r="B39" s="15"/>
      <c r="C39" s="81"/>
      <c r="D39" s="85" t="s">
        <v>11</v>
      </c>
      <c r="E39" s="85" t="s">
        <v>12</v>
      </c>
    </row>
    <row r="40" spans="1:15" x14ac:dyDescent="0.25">
      <c r="A40" s="15">
        <f t="shared" si="1"/>
        <v>26</v>
      </c>
      <c r="B40" s="15"/>
      <c r="C40" s="31" t="s">
        <v>153</v>
      </c>
      <c r="D40" s="86">
        <v>31</v>
      </c>
      <c r="E40" s="87">
        <f>(365-D40)/365</f>
        <v>0.91506849315068495</v>
      </c>
      <c r="G40" s="82"/>
      <c r="I40" s="27">
        <f>$I$36/12*E40</f>
        <v>-1073329.4087995703</v>
      </c>
      <c r="K40" s="27">
        <f>$K$36/12*E40</f>
        <v>-545134.69446133811</v>
      </c>
      <c r="M40" s="27">
        <f>$M$36/12*E40</f>
        <v>-477116.31963304867</v>
      </c>
      <c r="O40" s="21" t="str">
        <f>"Line "&amp;$A$36&amp;" x Percent in Col "&amp;$E$39</f>
        <v>Line 22 x Percent in Col (f)</v>
      </c>
    </row>
    <row r="41" spans="1:15" x14ac:dyDescent="0.25">
      <c r="A41" s="15">
        <f t="shared" si="1"/>
        <v>27</v>
      </c>
      <c r="B41" s="15"/>
      <c r="C41" s="31" t="s">
        <v>154</v>
      </c>
      <c r="D41" s="86">
        <v>30</v>
      </c>
      <c r="E41" s="87">
        <f>(365-SUM($D$40:D41))/365</f>
        <v>0.83287671232876714</v>
      </c>
      <c r="G41" s="82"/>
      <c r="I41" s="27">
        <f t="shared" ref="I41:I51" si="3">$I$36/12*E41</f>
        <v>-976922.57567386026</v>
      </c>
      <c r="K41" s="27">
        <f t="shared" ref="K41:K51" si="4">$K$36/12*E41</f>
        <v>-496170.50034804427</v>
      </c>
      <c r="M41" s="27">
        <f t="shared" ref="M41:M51" si="5">$M$36/12*E41</f>
        <v>-434261.56038457126</v>
      </c>
      <c r="O41" s="21" t="str">
        <f t="shared" ref="O41:O51" si="6">"Line "&amp;$A$36&amp;" x Percent in Col "&amp;$E$39</f>
        <v>Line 22 x Percent in Col (f)</v>
      </c>
    </row>
    <row r="42" spans="1:15" x14ac:dyDescent="0.25">
      <c r="A42" s="15">
        <f t="shared" si="1"/>
        <v>28</v>
      </c>
      <c r="B42" s="15"/>
      <c r="C42" s="31" t="s">
        <v>155</v>
      </c>
      <c r="D42" s="86">
        <v>31</v>
      </c>
      <c r="E42" s="87">
        <f>(365-SUM($D$40:D42))/365</f>
        <v>0.74794520547945209</v>
      </c>
      <c r="G42" s="82"/>
      <c r="I42" s="27">
        <f t="shared" si="3"/>
        <v>-877302.18144396006</v>
      </c>
      <c r="K42" s="27">
        <f t="shared" si="4"/>
        <v>-445574.16643097397</v>
      </c>
      <c r="M42" s="27">
        <f t="shared" si="5"/>
        <v>-389978.3091611446</v>
      </c>
      <c r="O42" s="21" t="str">
        <f t="shared" si="6"/>
        <v>Line 22 x Percent in Col (f)</v>
      </c>
    </row>
    <row r="43" spans="1:15" x14ac:dyDescent="0.25">
      <c r="A43" s="15">
        <f t="shared" si="1"/>
        <v>29</v>
      </c>
      <c r="B43" s="15"/>
      <c r="C43" s="31" t="s">
        <v>156</v>
      </c>
      <c r="D43" s="86">
        <v>30</v>
      </c>
      <c r="E43" s="87">
        <f>(365-SUM($D$40:D43))/365</f>
        <v>0.66575342465753429</v>
      </c>
      <c r="G43" s="82"/>
      <c r="I43" s="27">
        <f t="shared" si="3"/>
        <v>-780895.34831825015</v>
      </c>
      <c r="K43" s="27">
        <f t="shared" si="4"/>
        <v>-396609.97231768013</v>
      </c>
      <c r="M43" s="27">
        <f t="shared" si="5"/>
        <v>-347123.54991266713</v>
      </c>
      <c r="O43" s="21" t="str">
        <f t="shared" si="6"/>
        <v>Line 22 x Percent in Col (f)</v>
      </c>
    </row>
    <row r="44" spans="1:15" x14ac:dyDescent="0.25">
      <c r="A44" s="15">
        <f t="shared" si="1"/>
        <v>30</v>
      </c>
      <c r="B44" s="15"/>
      <c r="C44" s="31" t="s">
        <v>157</v>
      </c>
      <c r="D44" s="86">
        <v>31</v>
      </c>
      <c r="E44" s="87">
        <f>(365-SUM($D$40:D44))/365</f>
        <v>0.58082191780821912</v>
      </c>
      <c r="G44" s="82"/>
      <c r="I44" s="27">
        <f t="shared" si="3"/>
        <v>-681274.95408834983</v>
      </c>
      <c r="K44" s="27">
        <f t="shared" si="4"/>
        <v>-346013.63840060978</v>
      </c>
      <c r="M44" s="27">
        <f t="shared" si="5"/>
        <v>-302840.29868924042</v>
      </c>
      <c r="O44" s="21" t="str">
        <f t="shared" si="6"/>
        <v>Line 22 x Percent in Col (f)</v>
      </c>
    </row>
    <row r="45" spans="1:15" x14ac:dyDescent="0.25">
      <c r="A45" s="15">
        <f t="shared" si="1"/>
        <v>31</v>
      </c>
      <c r="B45" s="15"/>
      <c r="C45" s="31" t="s">
        <v>158</v>
      </c>
      <c r="D45" s="86">
        <v>31</v>
      </c>
      <c r="E45" s="87">
        <f>(365-SUM($D$40:D45))/365</f>
        <v>0.49589041095890413</v>
      </c>
      <c r="G45" s="82"/>
      <c r="I45" s="27">
        <f t="shared" si="3"/>
        <v>-581654.55985844973</v>
      </c>
      <c r="K45" s="27">
        <f t="shared" si="4"/>
        <v>-295417.30448353954</v>
      </c>
      <c r="M45" s="27">
        <f t="shared" si="5"/>
        <v>-258557.04746581381</v>
      </c>
      <c r="O45" s="21" t="str">
        <f t="shared" si="6"/>
        <v>Line 22 x Percent in Col (f)</v>
      </c>
    </row>
    <row r="46" spans="1:15" x14ac:dyDescent="0.25">
      <c r="A46" s="15">
        <f t="shared" si="1"/>
        <v>32</v>
      </c>
      <c r="B46" s="15"/>
      <c r="C46" s="31" t="s">
        <v>159</v>
      </c>
      <c r="D46" s="86">
        <v>28</v>
      </c>
      <c r="E46" s="87">
        <f>(365-SUM($D$40:D46))/365</f>
        <v>0.41917808219178082</v>
      </c>
      <c r="G46" s="82"/>
      <c r="I46" s="27">
        <f t="shared" si="3"/>
        <v>-491674.84894112044</v>
      </c>
      <c r="K46" s="27">
        <f t="shared" si="4"/>
        <v>-249717.38997779859</v>
      </c>
      <c r="M46" s="27">
        <f t="shared" si="5"/>
        <v>-218559.27216723486</v>
      </c>
      <c r="O46" s="21" t="str">
        <f t="shared" si="6"/>
        <v>Line 22 x Percent in Col (f)</v>
      </c>
    </row>
    <row r="47" spans="1:15" x14ac:dyDescent="0.25">
      <c r="A47" s="15">
        <f t="shared" si="1"/>
        <v>33</v>
      </c>
      <c r="B47" s="15"/>
      <c r="C47" s="31" t="s">
        <v>160</v>
      </c>
      <c r="D47" s="86">
        <v>31</v>
      </c>
      <c r="E47" s="87">
        <f>(365-SUM($D$40:D47))/365</f>
        <v>0.33424657534246577</v>
      </c>
      <c r="G47" s="82"/>
      <c r="I47" s="27">
        <f t="shared" si="3"/>
        <v>-392054.45471122023</v>
      </c>
      <c r="K47" s="27">
        <f t="shared" si="4"/>
        <v>-199121.0560607283</v>
      </c>
      <c r="M47" s="27">
        <f t="shared" si="5"/>
        <v>-174276.02094380819</v>
      </c>
      <c r="O47" s="21" t="str">
        <f t="shared" si="6"/>
        <v>Line 22 x Percent in Col (f)</v>
      </c>
    </row>
    <row r="48" spans="1:15" x14ac:dyDescent="0.25">
      <c r="A48" s="15">
        <f t="shared" si="1"/>
        <v>34</v>
      </c>
      <c r="B48" s="15"/>
      <c r="C48" s="31" t="s">
        <v>161</v>
      </c>
      <c r="D48" s="86">
        <v>30</v>
      </c>
      <c r="E48" s="87">
        <f>(365-SUM($D$40:D48))/365</f>
        <v>0.25205479452054796</v>
      </c>
      <c r="G48" s="82"/>
      <c r="I48" s="27">
        <f t="shared" si="3"/>
        <v>-295647.62158551038</v>
      </c>
      <c r="K48" s="27">
        <f t="shared" si="4"/>
        <v>-150156.86194743446</v>
      </c>
      <c r="M48" s="27">
        <f t="shared" si="5"/>
        <v>-131421.26169533079</v>
      </c>
      <c r="O48" s="21" t="str">
        <f t="shared" si="6"/>
        <v>Line 22 x Percent in Col (f)</v>
      </c>
    </row>
    <row r="49" spans="1:15" x14ac:dyDescent="0.25">
      <c r="A49" s="15">
        <f t="shared" si="1"/>
        <v>35</v>
      </c>
      <c r="B49" s="15"/>
      <c r="C49" s="31" t="s">
        <v>162</v>
      </c>
      <c r="D49" s="86">
        <v>31</v>
      </c>
      <c r="E49" s="87">
        <f>(365-SUM($D$40:D49))/365</f>
        <v>0.16712328767123288</v>
      </c>
      <c r="G49" s="82"/>
      <c r="I49" s="27">
        <f t="shared" si="3"/>
        <v>-196027.22735561011</v>
      </c>
      <c r="K49" s="27">
        <f t="shared" si="4"/>
        <v>-99560.528030364148</v>
      </c>
      <c r="M49" s="27">
        <f t="shared" si="5"/>
        <v>-87138.010471904097</v>
      </c>
      <c r="O49" s="21" t="str">
        <f t="shared" si="6"/>
        <v>Line 22 x Percent in Col (f)</v>
      </c>
    </row>
    <row r="50" spans="1:15" x14ac:dyDescent="0.25">
      <c r="A50" s="15">
        <f t="shared" si="1"/>
        <v>36</v>
      </c>
      <c r="B50" s="15"/>
      <c r="C50" s="31" t="s">
        <v>163</v>
      </c>
      <c r="D50" s="86">
        <v>30</v>
      </c>
      <c r="E50" s="87">
        <f>(365-SUM($D$40:D50))/365</f>
        <v>8.4931506849315067E-2</v>
      </c>
      <c r="G50" s="82"/>
      <c r="I50" s="27">
        <f t="shared" si="3"/>
        <v>-99620.394229900223</v>
      </c>
      <c r="K50" s="27">
        <f t="shared" si="4"/>
        <v>-50596.333917070304</v>
      </c>
      <c r="M50" s="27">
        <f t="shared" si="5"/>
        <v>-44283.251223426669</v>
      </c>
      <c r="O50" s="21" t="str">
        <f t="shared" si="6"/>
        <v>Line 22 x Percent in Col (f)</v>
      </c>
    </row>
    <row r="51" spans="1:15" x14ac:dyDescent="0.25">
      <c r="A51" s="15">
        <f t="shared" si="1"/>
        <v>37</v>
      </c>
      <c r="B51" s="15"/>
      <c r="C51" s="31" t="s">
        <v>164</v>
      </c>
      <c r="D51" s="86">
        <v>31</v>
      </c>
      <c r="E51" s="87">
        <f>(365-SUM($D$40:D51))/365</f>
        <v>0</v>
      </c>
      <c r="G51" s="82"/>
      <c r="I51" s="27">
        <f t="shared" si="3"/>
        <v>0</v>
      </c>
      <c r="K51" s="27">
        <f t="shared" si="4"/>
        <v>0</v>
      </c>
      <c r="M51" s="27">
        <f t="shared" si="5"/>
        <v>0</v>
      </c>
      <c r="O51" s="21" t="str">
        <f t="shared" si="6"/>
        <v>Line 22 x Percent in Col (f)</v>
      </c>
    </row>
    <row r="52" spans="1:15" x14ac:dyDescent="0.25">
      <c r="A52" s="15">
        <f t="shared" si="1"/>
        <v>38</v>
      </c>
      <c r="B52" s="15"/>
      <c r="C52" s="88" t="s">
        <v>165</v>
      </c>
      <c r="D52" s="89"/>
      <c r="E52" s="89"/>
      <c r="G52" s="82"/>
      <c r="I52" s="32">
        <f>SUM(I40:I51)</f>
        <v>-6446403.5750058014</v>
      </c>
      <c r="K52" s="32">
        <f>SUM(K40:K51)</f>
        <v>-3274072.4463755814</v>
      </c>
      <c r="M52" s="32">
        <f>SUM(M40:M51)</f>
        <v>-2865554.9017481906</v>
      </c>
      <c r="O52" s="21" t="str">
        <f>"Sum of Lines "&amp;A40&amp;"-"&amp;A51</f>
        <v>Sum of Lines 26-37</v>
      </c>
    </row>
    <row r="53" spans="1:15" x14ac:dyDescent="0.25">
      <c r="A53" s="15">
        <f t="shared" si="1"/>
        <v>39</v>
      </c>
      <c r="B53" s="15"/>
      <c r="C53" s="89"/>
      <c r="D53" s="89"/>
      <c r="E53" s="89"/>
      <c r="G53" s="90"/>
    </row>
    <row r="54" spans="1:15" x14ac:dyDescent="0.25">
      <c r="A54" s="15">
        <f t="shared" si="1"/>
        <v>40</v>
      </c>
      <c r="B54" s="15"/>
      <c r="C54" s="88" t="s">
        <v>166</v>
      </c>
      <c r="D54" s="89"/>
      <c r="E54" s="89"/>
      <c r="G54" s="82"/>
      <c r="I54" s="27">
        <f>I36</f>
        <v>-14075397.636353645</v>
      </c>
      <c r="K54" s="27">
        <f>K36</f>
        <v>-7148772.3405409008</v>
      </c>
      <c r="M54" s="27">
        <f>M36</f>
        <v>-6256794.8502777042</v>
      </c>
      <c r="O54" s="21" t="str">
        <f>"Line "&amp;A36</f>
        <v>Line 22</v>
      </c>
    </row>
    <row r="55" spans="1:15" ht="16.5" thickBot="1" x14ac:dyDescent="0.3">
      <c r="A55" s="15">
        <f t="shared" si="1"/>
        <v>41</v>
      </c>
      <c r="B55" s="15"/>
      <c r="C55" s="67" t="s">
        <v>167</v>
      </c>
      <c r="D55" s="89"/>
      <c r="E55" s="89"/>
      <c r="G55" s="82"/>
      <c r="I55" s="38">
        <f>I52-I54</f>
        <v>7628994.0613478441</v>
      </c>
      <c r="K55" s="38">
        <f>K52-K54</f>
        <v>3874699.8941653194</v>
      </c>
      <c r="M55" s="38">
        <f>M52-M54</f>
        <v>3391239.9485295136</v>
      </c>
      <c r="O55" s="21" t="str">
        <f>"Line "&amp;A52&amp;" - Line "&amp;A54</f>
        <v>Line 38 - Line 40</v>
      </c>
    </row>
    <row r="56" spans="1:15" ht="16.5" thickTop="1" x14ac:dyDescent="0.25"/>
    <row r="57" spans="1:15" x14ac:dyDescent="0.25">
      <c r="A57" s="91" t="s">
        <v>17</v>
      </c>
      <c r="B57" s="91"/>
    </row>
    <row r="58" spans="1:15" x14ac:dyDescent="0.25">
      <c r="A58" s="24" t="str">
        <f>A30&amp;G14</f>
        <v>16(a)</v>
      </c>
      <c r="B58" s="24"/>
      <c r="C58" s="21" t="str">
        <f>'ADIT 1 Electric'!G6&amp;", "&amp;"Line "&amp;'ADIT 1 Electric'!A54&amp;" divided by "&amp;'ADIT 1 Electric'!E52</f>
        <v>Page 1 of 17, Line 36 divided by 0.21</v>
      </c>
      <c r="D58" s="24" t="str">
        <f>A$34&amp;G$14</f>
        <v>20(a)</v>
      </c>
      <c r="E58" s="21" t="str">
        <f>" - "&amp;'ADIT 1 Electric'!G6&amp;", Line "&amp;'ADIT 1 Electric'!A55</f>
        <v xml:space="preserve"> - Page 1 of 17, Line 37</v>
      </c>
    </row>
    <row r="59" spans="1:15" x14ac:dyDescent="0.25">
      <c r="A59" s="24" t="str">
        <f>A30&amp;I14</f>
        <v>16(b)</v>
      </c>
      <c r="B59" s="24"/>
      <c r="C59" s="21" t="str">
        <f>'ADIT 1 Electric'!G6&amp;", "&amp;"Line "&amp;'ADIT 1 Electric'!A64&amp;" divided by "&amp;'ADIT 1 Electric'!E62</f>
        <v>Page 1 of 17, Line 46 divided by 0.21</v>
      </c>
      <c r="D59" s="24" t="str">
        <f>A$34&amp;I$14</f>
        <v>20(b)</v>
      </c>
      <c r="E59" s="21" t="str">
        <f>" - "&amp;'ADIT 1 Electric'!G6&amp;", Line "&amp;'ADIT 1 Electric'!A39</f>
        <v xml:space="preserve"> - Page 1 of 17, Line 21</v>
      </c>
    </row>
    <row r="60" spans="1:15" x14ac:dyDescent="0.25">
      <c r="A60" s="24" t="str">
        <f>A30&amp;K14</f>
        <v>16(c)</v>
      </c>
      <c r="B60" s="24"/>
      <c r="C60" s="21" t="str">
        <f>+'ADIT 2 Electric'!$G$6&amp;", Line "&amp;'ADIT 2 Electric'!A47&amp;" divided by "&amp;'ADIT 2 Electric'!E45</f>
        <v>Page 2 of 17, Line 29 divided by 0.21</v>
      </c>
      <c r="D60" s="24" t="str">
        <f>A$34&amp;K$14</f>
        <v>20(c)</v>
      </c>
      <c r="E60" s="21" t="str">
        <f>" - "&amp;'ADIT 2 Electric'!G6&amp;", Line "&amp;'ADIT 2 Electric'!A23</f>
        <v xml:space="preserve"> - Page 2 of 17, Line 5</v>
      </c>
    </row>
    <row r="61" spans="1:15" x14ac:dyDescent="0.25">
      <c r="A61" s="24" t="str">
        <f>A30&amp;M14</f>
        <v>16(d)</v>
      </c>
      <c r="B61" s="24"/>
      <c r="C61" s="21" t="str">
        <f>+'ADIT 2 Electric'!$G$6&amp;", Line "&amp;'ADIT 2 Electric'!A56&amp;" divided by "&amp;'ADIT 2 Electric'!E45</f>
        <v>Page 2 of 17, Line 38 divided by 0.21</v>
      </c>
      <c r="D61" s="24" t="str">
        <f>A$34&amp;M$14</f>
        <v>20(d)</v>
      </c>
      <c r="E61" s="21" t="str">
        <f>" - "&amp;'ADIT 2 Electric'!G6&amp;", Line "&amp;'ADIT 2 Electric'!A32</f>
        <v xml:space="preserve"> - Page 2 of 17, Line 14</v>
      </c>
    </row>
    <row r="66" spans="1:2" x14ac:dyDescent="0.25">
      <c r="A66" s="24"/>
      <c r="B66" s="24"/>
    </row>
    <row r="67" spans="1:2" x14ac:dyDescent="0.25">
      <c r="A67" s="24"/>
      <c r="B67" s="24"/>
    </row>
    <row r="68" spans="1:2" x14ac:dyDescent="0.25">
      <c r="A68" s="24"/>
      <c r="B68" s="24"/>
    </row>
    <row r="69" spans="1:2" x14ac:dyDescent="0.25">
      <c r="A69" s="24"/>
      <c r="B69" s="24"/>
    </row>
    <row r="70" spans="1:2" x14ac:dyDescent="0.25">
      <c r="A70" s="24"/>
      <c r="B70" s="24"/>
    </row>
    <row r="71" spans="1:2" x14ac:dyDescent="0.25">
      <c r="A71" s="24"/>
      <c r="B71" s="24"/>
    </row>
    <row r="72" spans="1:2" x14ac:dyDescent="0.25">
      <c r="A72" s="24"/>
      <c r="B72" s="24"/>
    </row>
    <row r="73" spans="1:2" x14ac:dyDescent="0.25">
      <c r="A73" s="24"/>
      <c r="B73" s="24"/>
    </row>
    <row r="74" spans="1:2" x14ac:dyDescent="0.25">
      <c r="A74" s="24"/>
      <c r="B74" s="24"/>
    </row>
    <row r="75" spans="1:2" x14ac:dyDescent="0.25">
      <c r="A75" s="24"/>
      <c r="B75" s="24"/>
    </row>
    <row r="76" spans="1:2" x14ac:dyDescent="0.25">
      <c r="A76" s="24"/>
      <c r="B76" s="24"/>
    </row>
    <row r="77" spans="1:2" x14ac:dyDescent="0.25">
      <c r="A77" s="24"/>
      <c r="B77" s="24"/>
    </row>
    <row r="78" spans="1:2" x14ac:dyDescent="0.25">
      <c r="A78" s="24"/>
      <c r="B78" s="24"/>
    </row>
    <row r="79" spans="1:2" x14ac:dyDescent="0.25">
      <c r="A79" s="24"/>
      <c r="B79" s="24"/>
    </row>
    <row r="80" spans="1:2" x14ac:dyDescent="0.25">
      <c r="A80" s="24"/>
      <c r="B80" s="24"/>
    </row>
    <row r="81" spans="1:2" x14ac:dyDescent="0.25">
      <c r="A81" s="24"/>
      <c r="B81" s="24"/>
    </row>
    <row r="82" spans="1:2" x14ac:dyDescent="0.25">
      <c r="A82" s="24"/>
      <c r="B82" s="24"/>
    </row>
    <row r="83" spans="1:2" x14ac:dyDescent="0.25">
      <c r="A83" s="24"/>
      <c r="B83" s="24"/>
    </row>
    <row r="84" spans="1:2" x14ac:dyDescent="0.25">
      <c r="A84" s="24"/>
      <c r="B84" s="24"/>
    </row>
    <row r="85" spans="1:2" x14ac:dyDescent="0.25">
      <c r="A85" s="24"/>
      <c r="B85" s="24"/>
    </row>
    <row r="86" spans="1:2" x14ac:dyDescent="0.25">
      <c r="A86" s="24"/>
      <c r="B86" s="24"/>
    </row>
    <row r="87" spans="1:2" x14ac:dyDescent="0.25">
      <c r="A87" s="24"/>
      <c r="B87" s="24"/>
    </row>
    <row r="88" spans="1:2" x14ac:dyDescent="0.25">
      <c r="A88" s="24"/>
      <c r="B88" s="24"/>
    </row>
    <row r="89" spans="1:2" x14ac:dyDescent="0.25">
      <c r="A89" s="24"/>
      <c r="B89" s="24"/>
    </row>
    <row r="90" spans="1:2" x14ac:dyDescent="0.25">
      <c r="A90" s="24"/>
      <c r="B90" s="24"/>
    </row>
    <row r="91" spans="1:2" x14ac:dyDescent="0.25">
      <c r="A91" s="24"/>
      <c r="B91" s="24"/>
    </row>
    <row r="92" spans="1:2" x14ac:dyDescent="0.25">
      <c r="A92" s="24"/>
      <c r="B92" s="24"/>
    </row>
  </sheetData>
  <mergeCells count="4">
    <mergeCell ref="A8:O8"/>
    <mergeCell ref="A9:O9"/>
    <mergeCell ref="A10:O10"/>
    <mergeCell ref="O36:O37"/>
  </mergeCells>
  <printOptions horizontalCentered="1"/>
  <pageMargins left="0.7" right="0.7" top="0.75" bottom="0.75" header="0.3" footer="0.3"/>
  <pageSetup scale="5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1F8D1-C9FF-44D5-8172-0CB128D5100D}">
  <sheetPr>
    <pageSetUpPr fitToPage="1"/>
  </sheetPr>
  <dimension ref="A1:O51"/>
  <sheetViews>
    <sheetView topLeftCell="A17" workbookViewId="0">
      <selection sqref="A1:M6"/>
    </sheetView>
  </sheetViews>
  <sheetFormatPr defaultColWidth="9.140625" defaultRowHeight="15.75" x14ac:dyDescent="0.25"/>
  <cols>
    <col min="1" max="1" width="9.28515625" style="21" customWidth="1"/>
    <col min="2" max="2" width="1.5703125" style="21" customWidth="1"/>
    <col min="3" max="3" width="61" style="21" customWidth="1"/>
    <col min="4" max="4" width="2.7109375" style="21" customWidth="1"/>
    <col min="5" max="5" width="18.7109375" style="21" customWidth="1"/>
    <col min="6" max="6" width="2.7109375" style="21" customWidth="1"/>
    <col min="7" max="7" width="17.85546875" style="21" customWidth="1"/>
    <col min="8" max="8" width="2.7109375" style="21" customWidth="1"/>
    <col min="9" max="9" width="20.7109375" style="21" customWidth="1"/>
    <col min="10" max="10" width="2.7109375" style="21" customWidth="1"/>
    <col min="11" max="11" width="21.28515625" style="21" customWidth="1"/>
    <col min="12" max="12" width="2.7109375" style="21" customWidth="1"/>
    <col min="13" max="13" width="21.28515625" style="21" customWidth="1"/>
    <col min="14" max="14" width="9.140625" style="21"/>
    <col min="15" max="15" width="19.7109375" style="21" bestFit="1" customWidth="1"/>
    <col min="16" max="16384" width="9.140625" style="21"/>
  </cols>
  <sheetData>
    <row r="1" spans="1:13" x14ac:dyDescent="0.25">
      <c r="A1" s="115"/>
      <c r="B1" s="115"/>
      <c r="C1" s="115"/>
      <c r="D1" s="115"/>
      <c r="E1" s="115"/>
      <c r="F1" s="115"/>
      <c r="G1" s="115"/>
      <c r="H1" s="115"/>
      <c r="I1" s="115"/>
      <c r="J1" s="115"/>
      <c r="K1" s="115"/>
      <c r="L1" s="115"/>
      <c r="M1" s="110" t="s">
        <v>20</v>
      </c>
    </row>
    <row r="2" spans="1:13" x14ac:dyDescent="0.25">
      <c r="A2" s="115"/>
      <c r="B2" s="115"/>
      <c r="C2" s="115"/>
      <c r="D2" s="115"/>
      <c r="E2" s="115"/>
      <c r="F2" s="115"/>
      <c r="G2" s="115"/>
      <c r="H2" s="115"/>
      <c r="I2" s="115"/>
      <c r="J2" s="115"/>
      <c r="K2" s="115"/>
      <c r="L2" s="115"/>
      <c r="M2" s="110" t="str">
        <f>+'ADIT 1 Electric'!$G$2</f>
        <v>d/b/a RHODE ISLAND ENERGY</v>
      </c>
    </row>
    <row r="3" spans="1:13" x14ac:dyDescent="0.25">
      <c r="A3" s="115"/>
      <c r="B3" s="115"/>
      <c r="C3" s="115"/>
      <c r="D3" s="115"/>
      <c r="E3" s="115"/>
      <c r="F3" s="115"/>
      <c r="G3" s="115"/>
      <c r="H3" s="115"/>
      <c r="I3" s="115"/>
      <c r="J3" s="115"/>
      <c r="K3" s="115"/>
      <c r="L3" s="115"/>
      <c r="M3" s="110" t="str">
        <f>+'ADIT 1 Electric'!$G$3</f>
        <v>RIPUC Docket No. 25-45-GE</v>
      </c>
    </row>
    <row r="4" spans="1:13" hidden="1" x14ac:dyDescent="0.25">
      <c r="A4" s="115"/>
      <c r="B4" s="115"/>
      <c r="C4" s="115"/>
      <c r="D4" s="115"/>
      <c r="E4" s="115"/>
      <c r="F4" s="115"/>
      <c r="G4" s="115"/>
      <c r="H4" s="115"/>
      <c r="I4" s="115"/>
      <c r="J4" s="115"/>
      <c r="K4" s="115"/>
      <c r="L4" s="115"/>
      <c r="M4" s="110" t="str">
        <f>+'ADIT 1 Electric'!$G$4</f>
        <v>Compliance Attachment 2</v>
      </c>
    </row>
    <row r="5" spans="1:13" x14ac:dyDescent="0.25">
      <c r="A5" s="115"/>
      <c r="B5" s="115"/>
      <c r="C5" s="115"/>
      <c r="D5" s="115"/>
      <c r="E5" s="115"/>
      <c r="F5" s="115"/>
      <c r="G5" s="115"/>
      <c r="H5" s="115"/>
      <c r="I5" s="115"/>
      <c r="J5" s="115"/>
      <c r="K5" s="115"/>
      <c r="L5" s="115"/>
      <c r="M5" s="110" t="str">
        <f>+'ADIT 1 Electric'!$G$5</f>
        <v>Schedule NH-3-ELEC</v>
      </c>
    </row>
    <row r="6" spans="1:13" x14ac:dyDescent="0.25">
      <c r="A6" s="115"/>
      <c r="B6" s="115"/>
      <c r="C6" s="115"/>
      <c r="D6" s="115"/>
      <c r="E6" s="115"/>
      <c r="F6" s="115"/>
      <c r="G6" s="115"/>
      <c r="H6" s="115"/>
      <c r="I6" s="115"/>
      <c r="J6" s="115"/>
      <c r="K6" s="115"/>
      <c r="L6" s="115"/>
      <c r="M6" s="110" t="s">
        <v>168</v>
      </c>
    </row>
    <row r="7" spans="1:13" x14ac:dyDescent="0.25">
      <c r="A7" s="59"/>
      <c r="B7" s="59"/>
      <c r="C7" s="59"/>
      <c r="D7" s="59"/>
      <c r="E7" s="59"/>
      <c r="F7" s="59"/>
      <c r="G7" s="59"/>
      <c r="H7" s="59"/>
      <c r="I7" s="59"/>
      <c r="J7" s="59"/>
      <c r="K7" s="59"/>
      <c r="L7" s="59"/>
      <c r="M7" s="59"/>
    </row>
    <row r="8" spans="1:13" x14ac:dyDescent="0.25">
      <c r="A8" s="59"/>
      <c r="B8" s="59"/>
      <c r="C8" s="59"/>
      <c r="D8" s="59"/>
      <c r="E8" s="59"/>
      <c r="F8" s="59"/>
      <c r="G8" s="59"/>
      <c r="H8" s="59"/>
      <c r="I8" s="59"/>
      <c r="J8" s="59"/>
      <c r="K8" s="59"/>
      <c r="L8" s="59"/>
      <c r="M8" s="59"/>
    </row>
    <row r="9" spans="1:13" x14ac:dyDescent="0.25">
      <c r="A9" s="4"/>
      <c r="B9" s="4"/>
      <c r="C9" s="92"/>
      <c r="D9" s="92"/>
      <c r="E9" s="92"/>
      <c r="F9" s="92"/>
      <c r="G9" s="92"/>
      <c r="H9" s="92"/>
      <c r="I9" s="92"/>
      <c r="J9" s="92"/>
      <c r="K9" s="92"/>
      <c r="L9" s="92"/>
      <c r="M9" s="92"/>
    </row>
    <row r="10" spans="1:13" x14ac:dyDescent="0.25">
      <c r="A10" s="353" t="str">
        <f>+'ADIT 1 Electric'!$A$10</f>
        <v>The Narragansett Electric Company d/b/a Rhode Island Energy</v>
      </c>
      <c r="B10" s="353"/>
      <c r="C10" s="353"/>
      <c r="D10" s="353"/>
      <c r="E10" s="353"/>
      <c r="F10" s="353"/>
      <c r="G10" s="353"/>
      <c r="H10" s="353"/>
      <c r="I10" s="353"/>
      <c r="J10" s="353"/>
      <c r="K10" s="353"/>
      <c r="L10" s="353"/>
      <c r="M10" s="353"/>
    </row>
    <row r="11" spans="1:13" x14ac:dyDescent="0.25">
      <c r="A11" s="60" t="s">
        <v>169</v>
      </c>
      <c r="B11" s="60"/>
      <c r="C11" s="5"/>
      <c r="D11" s="5"/>
      <c r="E11" s="5"/>
      <c r="F11" s="5"/>
      <c r="G11" s="5"/>
      <c r="H11" s="5"/>
      <c r="I11" s="5"/>
      <c r="J11" s="5"/>
      <c r="K11" s="5"/>
      <c r="L11" s="5"/>
      <c r="M11" s="5"/>
    </row>
    <row r="12" spans="1:13" x14ac:dyDescent="0.25">
      <c r="A12" s="60" t="s">
        <v>170</v>
      </c>
      <c r="B12" s="60"/>
      <c r="C12" s="5"/>
      <c r="D12" s="5"/>
      <c r="E12" s="5"/>
      <c r="F12" s="5"/>
      <c r="G12" s="5"/>
      <c r="H12" s="5"/>
      <c r="I12" s="5"/>
      <c r="J12" s="5"/>
      <c r="K12" s="5"/>
      <c r="L12" s="5"/>
      <c r="M12" s="5"/>
    </row>
    <row r="13" spans="1:13" x14ac:dyDescent="0.25">
      <c r="A13" s="60" t="s">
        <v>171</v>
      </c>
      <c r="B13" s="60"/>
      <c r="C13" s="5"/>
      <c r="D13" s="5"/>
      <c r="E13" s="5"/>
      <c r="F13" s="5"/>
      <c r="G13" s="5"/>
      <c r="H13" s="5"/>
      <c r="I13" s="5"/>
      <c r="J13" s="5"/>
      <c r="K13" s="5"/>
      <c r="L13" s="5"/>
      <c r="M13" s="5"/>
    </row>
    <row r="14" spans="1:13" x14ac:dyDescent="0.25">
      <c r="A14" s="6"/>
      <c r="B14" s="6"/>
      <c r="C14" s="61"/>
      <c r="K14" s="72"/>
      <c r="M14" s="72"/>
    </row>
    <row r="15" spans="1:13" x14ac:dyDescent="0.25">
      <c r="A15" s="93"/>
      <c r="B15" s="93"/>
      <c r="C15" s="65"/>
      <c r="K15" s="62"/>
      <c r="M15" s="62"/>
    </row>
    <row r="16" spans="1:13" x14ac:dyDescent="0.25">
      <c r="A16" s="24" t="s">
        <v>1</v>
      </c>
      <c r="B16" s="24"/>
      <c r="C16" s="65"/>
      <c r="E16" s="24" t="s">
        <v>172</v>
      </c>
      <c r="G16" s="24" t="s">
        <v>134</v>
      </c>
      <c r="I16" s="62" t="s">
        <v>135</v>
      </c>
      <c r="K16" s="62" t="s">
        <v>136</v>
      </c>
      <c r="M16" s="62" t="s">
        <v>137</v>
      </c>
    </row>
    <row r="17" spans="1:15" x14ac:dyDescent="0.25">
      <c r="A17" s="25" t="s">
        <v>530</v>
      </c>
      <c r="B17" s="24"/>
      <c r="C17" s="25" t="s">
        <v>173</v>
      </c>
      <c r="E17" s="63">
        <v>45900</v>
      </c>
      <c r="G17" s="63">
        <v>46234</v>
      </c>
      <c r="I17" s="63">
        <f>EDATE(G17,12)</f>
        <v>46599</v>
      </c>
      <c r="K17" s="63">
        <f>EDATE(I17,12)</f>
        <v>46965</v>
      </c>
      <c r="M17" s="63">
        <f>EDATE(K17,12)</f>
        <v>47330</v>
      </c>
    </row>
    <row r="18" spans="1:15" x14ac:dyDescent="0.25">
      <c r="A18" s="64"/>
      <c r="B18" s="24"/>
      <c r="C18" s="65"/>
      <c r="E18" s="66" t="s">
        <v>8</v>
      </c>
      <c r="G18" s="66" t="s">
        <v>9</v>
      </c>
      <c r="I18" s="66" t="s">
        <v>10</v>
      </c>
      <c r="K18" s="66" t="s">
        <v>25</v>
      </c>
      <c r="M18" s="66" t="s">
        <v>11</v>
      </c>
    </row>
    <row r="19" spans="1:15" x14ac:dyDescent="0.25">
      <c r="A19" s="6"/>
      <c r="B19" s="6"/>
      <c r="C19" s="65"/>
      <c r="K19" s="72"/>
      <c r="M19" s="72"/>
    </row>
    <row r="20" spans="1:15" x14ac:dyDescent="0.25">
      <c r="A20" s="15">
        <v>1</v>
      </c>
      <c r="B20" s="15"/>
      <c r="C20" s="65" t="s">
        <v>174</v>
      </c>
      <c r="E20" s="68">
        <f>+'1 Tax Depr-Test Yr'!C12</f>
        <v>94900884.170000002</v>
      </c>
      <c r="G20" s="68">
        <f>+'Elect Tax Depr Details-Vintaged'!E24</f>
        <v>91577758.269999996</v>
      </c>
      <c r="I20" s="68">
        <f>+'Elect Tax Depr Details-Vintaged'!G24</f>
        <v>89599176.530833334</v>
      </c>
      <c r="K20" s="68">
        <f>+'Elect Tax Depr Details-Vintaged'!I24</f>
        <v>82103186.489166662</v>
      </c>
      <c r="M20" s="68">
        <f>+'Elect Tax Depr Details-Vintaged'!K24</f>
        <v>74738414.55250001</v>
      </c>
    </row>
    <row r="21" spans="1:15" x14ac:dyDescent="0.25">
      <c r="A21" s="15">
        <f>+A20+1</f>
        <v>2</v>
      </c>
      <c r="B21" s="15"/>
      <c r="C21" s="65" t="s">
        <v>175</v>
      </c>
      <c r="D21" s="21" t="s">
        <v>23</v>
      </c>
      <c r="E21" s="94"/>
      <c r="G21" s="68">
        <f>+'Elect Tax Depr Details-3YR'!I34</f>
        <v>4496683</v>
      </c>
      <c r="I21" s="68">
        <f>+'Elect Tax Depr Details-3YR'!K34</f>
        <v>15414537.1666667</v>
      </c>
      <c r="K21" s="68">
        <f>+'Elect Tax Depr Details-3YR'!M34</f>
        <v>34250159.333333299</v>
      </c>
      <c r="M21" s="68">
        <f>+'Elect Tax Depr Details-3YR'!O34</f>
        <v>44952095.333333299</v>
      </c>
    </row>
    <row r="22" spans="1:15" x14ac:dyDescent="0.25">
      <c r="A22" s="15">
        <f t="shared" ref="A22:A24" si="0">+A21+1</f>
        <v>3</v>
      </c>
      <c r="B22" s="15"/>
      <c r="C22" s="65" t="s">
        <v>176</v>
      </c>
      <c r="D22" s="21" t="s">
        <v>81</v>
      </c>
      <c r="E22" s="94"/>
      <c r="G22" s="68">
        <f>+'Elect Tax Depr Details-20YR'!I34</f>
        <v>1678872</v>
      </c>
      <c r="I22" s="68">
        <f>+'Elect Tax Depr Details-20YR'!K34</f>
        <v>5063438.165</v>
      </c>
      <c r="K22" s="68">
        <f>+'Elect Tax Depr Details-20YR'!M34</f>
        <v>6515042.1424359996</v>
      </c>
      <c r="M22" s="68">
        <f>+'Elect Tax Depr Details-20YR'!O34</f>
        <v>6026480.7521879999</v>
      </c>
      <c r="O22" s="23"/>
    </row>
    <row r="23" spans="1:15" x14ac:dyDescent="0.25">
      <c r="A23" s="15">
        <f t="shared" si="0"/>
        <v>4</v>
      </c>
      <c r="B23" s="15"/>
      <c r="C23" s="65" t="s">
        <v>177</v>
      </c>
      <c r="D23" s="21" t="s">
        <v>178</v>
      </c>
      <c r="E23" s="94"/>
      <c r="G23" s="68">
        <f>+'2026-07-31 Tax Depr 39YR'!M38</f>
        <v>264416.20265001128</v>
      </c>
      <c r="I23" s="68">
        <f>+'2026-07-31 Tax Depr 39YR'!Q38</f>
        <v>484998.68721790175</v>
      </c>
      <c r="K23" s="68">
        <f>+'2026-07-31 Tax Depr 39YR'!U38</f>
        <v>1176585.1623477058</v>
      </c>
      <c r="M23" s="68">
        <f>+'2026-07-31 Tax Depr 39YR'!Y38</f>
        <v>1526067.9593100278</v>
      </c>
    </row>
    <row r="24" spans="1:15" x14ac:dyDescent="0.25">
      <c r="A24" s="15">
        <f t="shared" si="0"/>
        <v>5</v>
      </c>
      <c r="B24" s="15"/>
      <c r="C24" s="65" t="s">
        <v>179</v>
      </c>
      <c r="E24" s="95">
        <f>SUM(E20:E23)</f>
        <v>94900884.170000002</v>
      </c>
      <c r="G24" s="95">
        <f>SUM(G20:G23)</f>
        <v>98017729.472650006</v>
      </c>
      <c r="I24" s="95">
        <f>SUM(I20:I23)</f>
        <v>110562150.54971795</v>
      </c>
      <c r="K24" s="95">
        <f>SUM(K20:K23)</f>
        <v>124044973.12728366</v>
      </c>
      <c r="M24" s="95">
        <f>SUM(M20:M23)</f>
        <v>127243058.59733133</v>
      </c>
    </row>
    <row r="25" spans="1:15" x14ac:dyDescent="0.25">
      <c r="A25" s="15"/>
      <c r="B25" s="15"/>
      <c r="C25" s="65"/>
      <c r="E25" s="65"/>
      <c r="G25" s="68"/>
      <c r="I25" s="68"/>
      <c r="K25" s="68"/>
      <c r="M25" s="68"/>
    </row>
    <row r="26" spans="1:15" x14ac:dyDescent="0.25">
      <c r="A26" s="15">
        <f>+A24+1</f>
        <v>6</v>
      </c>
      <c r="B26" s="15"/>
      <c r="C26" s="65" t="s">
        <v>180</v>
      </c>
      <c r="E26" s="94"/>
      <c r="G26" s="68">
        <f>+'Elect Tax Depr Details-20YR'!I35</f>
        <v>29996152.499600001</v>
      </c>
      <c r="I26" s="68">
        <f>+'Elect Tax Depr Details-20YR'!K35</f>
        <v>32723075.600000001</v>
      </c>
      <c r="K26" s="68">
        <f>+'Elect Tax Depr Details-20YR'!M35</f>
        <v>0</v>
      </c>
      <c r="M26" s="68">
        <f>+'Elect Tax Depr Details-20YR'!O35</f>
        <v>0</v>
      </c>
    </row>
    <row r="27" spans="1:15" x14ac:dyDescent="0.25">
      <c r="A27" s="15">
        <f t="shared" ref="A27" si="1">+A26+1</f>
        <v>7</v>
      </c>
      <c r="B27" s="15"/>
      <c r="C27" s="54" t="s">
        <v>181</v>
      </c>
      <c r="E27" s="96"/>
      <c r="G27" s="68">
        <f>+'Elect Tax Depr Details-20YR'!I36</f>
        <v>9338283.7666999996</v>
      </c>
      <c r="I27" s="68">
        <f>+'Elect Tax Depr Details-20YR'!K36</f>
        <v>10187218.699999999</v>
      </c>
      <c r="K27" s="68">
        <f>+'Elect Tax Depr Details-20YR'!M36</f>
        <v>0</v>
      </c>
      <c r="M27" s="68">
        <f>+'Elect Tax Depr Details-20YR'!O36</f>
        <v>0</v>
      </c>
    </row>
    <row r="28" spans="1:15" x14ac:dyDescent="0.25">
      <c r="A28" s="97">
        <f>+A27+1</f>
        <v>8</v>
      </c>
      <c r="B28" s="98" t="s">
        <v>26</v>
      </c>
      <c r="C28" s="54" t="s">
        <v>182</v>
      </c>
      <c r="D28" s="99" t="s">
        <v>26</v>
      </c>
      <c r="E28" s="54" t="s">
        <v>26</v>
      </c>
      <c r="F28" s="99" t="s">
        <v>26</v>
      </c>
      <c r="G28" s="100">
        <f>+'2026-07-31 Tax Depr 39YR'!M40</f>
        <v>2557810.8076898698</v>
      </c>
      <c r="H28" s="99" t="s">
        <v>26</v>
      </c>
      <c r="I28" s="100">
        <f>+'2026-07-31 Tax Depr 39YR'!Q40</f>
        <v>132570.80844000002</v>
      </c>
      <c r="J28" s="99" t="s">
        <v>26</v>
      </c>
      <c r="K28" s="100">
        <f>+'2026-07-31 Tax Depr 39YR'!U40</f>
        <v>3693617.7933497219</v>
      </c>
      <c r="L28" s="99" t="s">
        <v>26</v>
      </c>
      <c r="M28" s="100">
        <f>+'2026-07-31 Tax Depr 39YR'!Y40</f>
        <v>1373392.2431745988</v>
      </c>
      <c r="O28" s="23"/>
    </row>
    <row r="29" spans="1:15" ht="16.5" thickBot="1" x14ac:dyDescent="0.3">
      <c r="A29" s="15">
        <f>+A28+1</f>
        <v>9</v>
      </c>
      <c r="B29" s="15"/>
      <c r="C29" s="72" t="s">
        <v>183</v>
      </c>
      <c r="E29" s="73">
        <f>+E24+SUM(E26:E28)</f>
        <v>94900884.170000002</v>
      </c>
      <c r="G29" s="73">
        <f>+G24+SUM(G26:G28)</f>
        <v>139909976.54663986</v>
      </c>
      <c r="I29" s="73">
        <f>+I24+SUM(I26:I28)</f>
        <v>153605015.65815794</v>
      </c>
      <c r="K29" s="73">
        <f>+K24+SUM(K26:K28)</f>
        <v>127738590.92063339</v>
      </c>
      <c r="M29" s="73">
        <f>+M24+SUM(M26:M28)</f>
        <v>128616450.84050593</v>
      </c>
    </row>
    <row r="30" spans="1:15" ht="16.5" thickTop="1" x14ac:dyDescent="0.25">
      <c r="A30" s="6"/>
      <c r="B30" s="6"/>
      <c r="C30" s="65"/>
      <c r="D30" s="62"/>
      <c r="E30" s="62"/>
      <c r="F30" s="62"/>
      <c r="G30" s="62"/>
      <c r="H30" s="62"/>
      <c r="I30" s="62"/>
      <c r="J30" s="62"/>
      <c r="K30" s="62"/>
      <c r="L30" s="62"/>
      <c r="M30" s="62"/>
    </row>
    <row r="31" spans="1:15" x14ac:dyDescent="0.25">
      <c r="A31" s="6"/>
      <c r="B31" s="6"/>
      <c r="C31" s="65"/>
      <c r="D31" s="62"/>
      <c r="E31" s="62"/>
      <c r="F31" s="62"/>
      <c r="G31" s="62"/>
      <c r="H31" s="62"/>
      <c r="I31" s="62"/>
      <c r="J31" s="62"/>
      <c r="K31" s="62"/>
      <c r="L31" s="62"/>
      <c r="M31" s="62"/>
    </row>
    <row r="32" spans="1:15" x14ac:dyDescent="0.25">
      <c r="A32" s="6"/>
      <c r="B32" s="6"/>
      <c r="C32" s="101" t="s">
        <v>184</v>
      </c>
      <c r="D32" s="62"/>
      <c r="E32" s="62" t="s">
        <v>185</v>
      </c>
      <c r="F32" s="62"/>
      <c r="G32" s="62" t="s">
        <v>186</v>
      </c>
      <c r="H32" s="62"/>
      <c r="I32" s="62" t="s">
        <v>187</v>
      </c>
      <c r="J32" s="62"/>
      <c r="K32" s="62" t="s">
        <v>188</v>
      </c>
      <c r="L32" s="62"/>
      <c r="M32" s="62"/>
    </row>
    <row r="33" spans="1:13" x14ac:dyDescent="0.25">
      <c r="A33" s="15" t="s">
        <v>23</v>
      </c>
      <c r="B33" s="15"/>
      <c r="C33" s="65" t="s">
        <v>189</v>
      </c>
      <c r="D33" s="62"/>
      <c r="E33" s="102">
        <f>1/3/2</f>
        <v>0.16666666666666666</v>
      </c>
      <c r="F33" s="24"/>
      <c r="G33" s="102">
        <f>1/3</f>
        <v>0.33333333333333331</v>
      </c>
      <c r="H33" s="62"/>
      <c r="I33" s="102">
        <f>1/3</f>
        <v>0.33333333333333331</v>
      </c>
      <c r="J33" s="62"/>
      <c r="K33" s="102">
        <f>1/3/2</f>
        <v>0.16666666666666666</v>
      </c>
      <c r="L33" s="62"/>
      <c r="M33" s="62"/>
    </row>
    <row r="34" spans="1:13" x14ac:dyDescent="0.25">
      <c r="A34" s="15" t="s">
        <v>81</v>
      </c>
      <c r="B34" s="15"/>
      <c r="C34" s="65" t="s">
        <v>190</v>
      </c>
      <c r="D34" s="62"/>
      <c r="E34" s="102">
        <v>3.7499999999999999E-2</v>
      </c>
      <c r="F34" s="24"/>
      <c r="G34" s="102">
        <v>7.2190000000000004E-2</v>
      </c>
      <c r="H34" s="62"/>
      <c r="I34" s="102">
        <v>6.6769999999999996E-2</v>
      </c>
      <c r="J34" s="62"/>
      <c r="K34" s="102">
        <v>6.1769999999999999E-2</v>
      </c>
      <c r="L34" s="62"/>
      <c r="M34" s="62"/>
    </row>
    <row r="35" spans="1:13" x14ac:dyDescent="0.25">
      <c r="A35" s="15" t="s">
        <v>178</v>
      </c>
      <c r="B35" s="15"/>
      <c r="C35" s="65" t="s">
        <v>191</v>
      </c>
      <c r="D35" s="62"/>
      <c r="E35" s="62" t="s">
        <v>192</v>
      </c>
      <c r="F35" s="62"/>
      <c r="G35" s="103">
        <f>1/39</f>
        <v>2.564102564102564E-2</v>
      </c>
      <c r="H35" s="62"/>
      <c r="I35" s="103">
        <f>1/39</f>
        <v>2.564102564102564E-2</v>
      </c>
      <c r="J35" s="62"/>
      <c r="K35" s="103">
        <f>1/39</f>
        <v>2.564102564102564E-2</v>
      </c>
      <c r="L35" s="62"/>
      <c r="M35" s="62"/>
    </row>
    <row r="36" spans="1:13" x14ac:dyDescent="0.25">
      <c r="A36" s="6"/>
      <c r="B36" s="6"/>
      <c r="C36" s="65"/>
      <c r="D36" s="62"/>
      <c r="E36" s="62"/>
      <c r="F36" s="62"/>
      <c r="G36" s="62"/>
      <c r="H36" s="62"/>
      <c r="I36" s="62"/>
      <c r="J36" s="62"/>
      <c r="K36" s="62"/>
      <c r="L36" s="62"/>
      <c r="M36" s="62"/>
    </row>
    <row r="37" spans="1:13" x14ac:dyDescent="0.25">
      <c r="A37" s="104" t="s">
        <v>17</v>
      </c>
      <c r="B37" s="104"/>
      <c r="C37" s="72"/>
      <c r="D37" s="62"/>
      <c r="E37" s="62"/>
      <c r="F37" s="62"/>
      <c r="G37" s="62"/>
      <c r="H37" s="62"/>
      <c r="I37" s="62"/>
      <c r="J37" s="62"/>
      <c r="K37" s="62"/>
      <c r="L37" s="62"/>
      <c r="M37" s="62"/>
    </row>
    <row r="38" spans="1:13" x14ac:dyDescent="0.25">
      <c r="A38" s="105" t="s">
        <v>193</v>
      </c>
      <c r="B38" s="105"/>
      <c r="C38" s="106" t="s">
        <v>68</v>
      </c>
      <c r="D38" s="106"/>
      <c r="E38" s="106"/>
      <c r="F38" s="106"/>
      <c r="G38" s="106"/>
      <c r="H38" s="106"/>
      <c r="I38" s="106"/>
      <c r="J38" s="106"/>
      <c r="K38" s="107"/>
      <c r="L38" s="107"/>
      <c r="M38" s="107"/>
    </row>
    <row r="39" spans="1:13" x14ac:dyDescent="0.25">
      <c r="A39" s="24" t="str">
        <f>A20&amp;G$18&amp;"-"&amp;M18</f>
        <v>1(b)-(e)</v>
      </c>
      <c r="B39" s="24"/>
      <c r="C39" s="21" t="str">
        <f>'Elect Tax Depr Details-Vintaged'!K$6&amp;", Line "&amp;'Elect Tax Depr Details-Vintaged'!A24&amp;", Columns "&amp;'Elect Tax Depr Details-Vintaged'!E$18&amp;" through "&amp;'Elect Tax Depr Details-Vintaged'!K$18</f>
        <v>Page 6 of 17, Line 6, Columns (a) through (d)</v>
      </c>
      <c r="D39" s="72"/>
      <c r="E39" s="72"/>
      <c r="F39" s="72"/>
      <c r="G39" s="72"/>
      <c r="H39" s="72"/>
      <c r="I39" s="72"/>
      <c r="J39" s="72"/>
      <c r="K39" s="72"/>
      <c r="L39" s="72"/>
      <c r="M39" s="72"/>
    </row>
    <row r="40" spans="1:13" x14ac:dyDescent="0.25">
      <c r="A40" s="24" t="str">
        <f>A21&amp;G$18&amp;"-"&amp;M$18</f>
        <v>2(b)-(e)</v>
      </c>
      <c r="B40" s="24"/>
      <c r="C40" s="21" t="str">
        <f>'Elect Tax Depr Details-3YR'!O6&amp;", Line "&amp;'Elect Tax Depr Details-3YR'!A34&amp;", Columns "&amp;'Elect Tax Depr Details-3YR'!I18&amp;" through "&amp;'Elect Tax Depr Details-3YR'!O18</f>
        <v>Page 7 of  17, Line 14, Columns (c) through (f)</v>
      </c>
      <c r="D40" s="72"/>
      <c r="E40" s="72"/>
      <c r="F40" s="72"/>
      <c r="G40" s="72"/>
      <c r="H40" s="72"/>
      <c r="I40" s="72"/>
      <c r="J40" s="72"/>
      <c r="K40" s="72"/>
      <c r="L40" s="72"/>
      <c r="M40" s="72"/>
    </row>
    <row r="41" spans="1:13" x14ac:dyDescent="0.25">
      <c r="A41" s="24" t="str">
        <f>A22&amp;G$18&amp;"-"&amp;M$18</f>
        <v>3(b)-(e)</v>
      </c>
      <c r="B41" s="24"/>
      <c r="C41" s="21" t="str">
        <f>'Elect Tax Depr Details-20YR'!O$6&amp;", Line "&amp;'Elect Tax Depr Details-20YR'!A34&amp;", Columns "&amp;'Elect Tax Depr Details-20YR'!I$18&amp;" through "&amp;'Elect Tax Depr Details-20YR'!O$18</f>
        <v>Page 12 of  17, Line 14, Columns (c) through (f)</v>
      </c>
      <c r="D41" s="72"/>
      <c r="E41" s="72"/>
      <c r="F41" s="72"/>
      <c r="G41" s="72"/>
      <c r="H41" s="72"/>
      <c r="I41" s="72"/>
      <c r="J41" s="72"/>
      <c r="K41" s="72"/>
      <c r="L41" s="72"/>
      <c r="M41" s="72"/>
    </row>
    <row r="42" spans="1:13" x14ac:dyDescent="0.25">
      <c r="A42" s="24" t="str">
        <f>A23&amp;G$18&amp;"-"&amp;M$18</f>
        <v>4(b)-(e)</v>
      </c>
      <c r="B42" s="24"/>
      <c r="C42" s="21" t="str">
        <f>'2026-07-31 Tax Depr 39YR'!Y6&amp;", Line "&amp;'2026-07-31 Tax Depr 39YR'!A38&amp;", Columns "&amp;'2026-07-31 Tax Depr 39YR'!M18&amp;", "&amp;'2026-07-31 Tax Depr 39YR'!Q18&amp;", "&amp;'2026-07-31 Tax Depr 39YR'!U18&amp;", "&amp;'2026-07-31 Tax Depr 39YR'!Y18</f>
        <v>Page 17 of  17, Line 19, Columns (i), (l), (o), (r)</v>
      </c>
      <c r="D42" s="72"/>
      <c r="E42" s="72"/>
      <c r="F42" s="72"/>
      <c r="G42" s="72"/>
      <c r="H42" s="72"/>
      <c r="I42" s="72"/>
      <c r="J42" s="72"/>
      <c r="K42" s="72"/>
      <c r="L42" s="72"/>
      <c r="M42" s="72"/>
    </row>
    <row r="43" spans="1:13" x14ac:dyDescent="0.25">
      <c r="A43" s="24">
        <f>+A24</f>
        <v>5</v>
      </c>
      <c r="B43" s="24"/>
      <c r="C43" s="21" t="str">
        <f>"Sum of Lines "&amp;A20&amp;"-"&amp;A23</f>
        <v>Sum of Lines 1-4</v>
      </c>
      <c r="D43" s="72"/>
      <c r="E43" s="72"/>
      <c r="F43" s="72"/>
      <c r="G43" s="72"/>
      <c r="H43" s="72"/>
      <c r="I43" s="72"/>
      <c r="J43" s="72"/>
      <c r="K43" s="72"/>
      <c r="L43" s="72"/>
      <c r="M43" s="72"/>
    </row>
    <row r="44" spans="1:13" x14ac:dyDescent="0.25">
      <c r="A44" s="24" t="str">
        <f>A26&amp;G$18&amp;"-"&amp;M$18</f>
        <v>6(b)-(e)</v>
      </c>
      <c r="B44" s="24"/>
      <c r="C44" s="21" t="str">
        <f>'Elect Tax Depr Details-20YR'!O$6&amp;" Line "&amp;'Elect Tax Depr Details-20YR'!A35&amp;", Columns "&amp;'Elect Tax Depr Details-20YR'!I$18&amp;" through "&amp;'Elect Tax Depr Details-20YR'!O$18</f>
        <v>Page 12 of  17 Line 15, Columns (c) through (f)</v>
      </c>
      <c r="D44" s="108"/>
      <c r="E44" s="108"/>
      <c r="F44" s="108"/>
      <c r="G44" s="108"/>
      <c r="H44" s="108"/>
      <c r="I44" s="108"/>
      <c r="J44" s="108"/>
      <c r="K44" s="109"/>
      <c r="L44" s="108"/>
      <c r="M44" s="108"/>
    </row>
    <row r="45" spans="1:13" x14ac:dyDescent="0.25">
      <c r="A45" s="24" t="str">
        <f>A27&amp;G$18&amp;"-"&amp;$M$18</f>
        <v>7(b)-(e)</v>
      </c>
      <c r="B45" s="24"/>
      <c r="C45" s="21" t="str">
        <f>'Elect Tax Depr Details-20YR'!O$6&amp;" Line "&amp;'Elect Tax Depr Details-20YR'!A36&amp;", Columns "&amp;'Elect Tax Depr Details-20YR'!I$18&amp;" through "&amp;'Elect Tax Depr Details-20YR'!O$18</f>
        <v>Page 12 of  17 Line 16, Columns (c) through (f)</v>
      </c>
      <c r="D45" s="72"/>
      <c r="E45" s="72"/>
      <c r="F45" s="72"/>
      <c r="G45" s="72"/>
      <c r="H45" s="72"/>
      <c r="I45" s="72"/>
      <c r="J45" s="72"/>
      <c r="K45" s="72"/>
      <c r="L45" s="72"/>
      <c r="M45" s="72"/>
    </row>
    <row r="46" spans="1:13" x14ac:dyDescent="0.25">
      <c r="A46" s="24" t="str">
        <f>A28&amp;G$18&amp;"-"&amp;$M$18</f>
        <v>8(b)-(e)</v>
      </c>
      <c r="B46" s="24"/>
      <c r="C46" s="21" t="str">
        <f>+'2026-07-31 Tax Depr 39YR'!Y6&amp;", Line "&amp;'2026-07-31 Tax Depr 39YR'!A40&amp;", Columns "&amp;'2026-07-31 Tax Depr 39YR'!M18&amp;", "&amp;'2026-07-31 Tax Depr 39YR'!Q18&amp;", "&amp;'2026-07-31 Tax Depr 39YR'!U18&amp;", "&amp;'2026-07-31 Tax Depr 39YR'!Y18</f>
        <v>Page 17 of  17, Line 20, Columns (i), (l), (o), (r)</v>
      </c>
      <c r="D46" s="72"/>
      <c r="E46" s="72"/>
      <c r="F46" s="72"/>
      <c r="G46" s="72"/>
      <c r="H46" s="72"/>
      <c r="I46" s="72"/>
      <c r="J46" s="72"/>
      <c r="K46" s="72"/>
      <c r="L46" s="72"/>
      <c r="M46" s="72"/>
    </row>
    <row r="47" spans="1:13" x14ac:dyDescent="0.25">
      <c r="A47" s="24">
        <f>+A29</f>
        <v>9</v>
      </c>
      <c r="B47" s="24"/>
      <c r="C47" s="21" t="str">
        <f>"Sum of Lines "&amp;A24&amp;" thru "&amp;A28</f>
        <v>Sum of Lines 5 thru 8</v>
      </c>
      <c r="D47" s="72"/>
      <c r="E47" s="72"/>
      <c r="F47" s="72"/>
      <c r="G47" s="72"/>
      <c r="H47" s="72"/>
      <c r="I47" s="72"/>
      <c r="J47" s="72"/>
      <c r="K47" s="72"/>
      <c r="L47" s="72"/>
      <c r="M47" s="72"/>
    </row>
    <row r="48" spans="1:13" x14ac:dyDescent="0.25">
      <c r="A48" s="15"/>
      <c r="B48" s="15"/>
      <c r="C48" s="65"/>
      <c r="D48" s="108"/>
      <c r="E48" s="108"/>
      <c r="F48" s="108"/>
      <c r="G48" s="108"/>
      <c r="H48" s="108"/>
      <c r="I48" s="108"/>
      <c r="J48" s="108"/>
      <c r="K48" s="109"/>
      <c r="L48" s="108"/>
      <c r="M48" s="108"/>
    </row>
    <row r="49" spans="1:13" x14ac:dyDescent="0.25">
      <c r="A49" s="15"/>
      <c r="B49" s="15"/>
      <c r="C49" s="65"/>
      <c r="D49" s="72"/>
      <c r="E49" s="72"/>
      <c r="F49" s="72"/>
      <c r="G49" s="72"/>
      <c r="H49" s="72"/>
      <c r="I49" s="72"/>
      <c r="J49" s="72"/>
      <c r="K49" s="72"/>
      <c r="L49" s="72"/>
      <c r="M49" s="72"/>
    </row>
    <row r="50" spans="1:13" x14ac:dyDescent="0.25">
      <c r="A50" s="15"/>
      <c r="B50" s="15"/>
      <c r="C50" s="65"/>
      <c r="D50" s="72"/>
      <c r="E50" s="72"/>
      <c r="F50" s="72"/>
      <c r="G50" s="72"/>
      <c r="H50" s="72"/>
      <c r="I50" s="72"/>
      <c r="J50" s="72"/>
      <c r="K50" s="72"/>
      <c r="L50" s="72"/>
      <c r="M50" s="72"/>
    </row>
    <row r="51" spans="1:13" x14ac:dyDescent="0.25">
      <c r="A51" s="15"/>
      <c r="B51" s="15"/>
      <c r="C51" s="65"/>
      <c r="D51" s="72"/>
      <c r="E51" s="72"/>
      <c r="F51" s="72"/>
      <c r="G51" s="72"/>
      <c r="H51" s="72"/>
      <c r="I51" s="72"/>
      <c r="J51" s="72"/>
      <c r="K51" s="72"/>
      <c r="L51" s="72"/>
      <c r="M51" s="72"/>
    </row>
  </sheetData>
  <mergeCells count="1">
    <mergeCell ref="A10:M10"/>
  </mergeCells>
  <pageMargins left="0.7" right="0.7" top="0.75" bottom="0.75" header="0.3" footer="0.3"/>
  <pageSetup scale="61"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0DAC-CF5A-4483-A0B4-551957518435}">
  <sheetPr>
    <pageSetUpPr fitToPage="1"/>
  </sheetPr>
  <dimension ref="A1:M36"/>
  <sheetViews>
    <sheetView zoomScaleNormal="100" workbookViewId="0">
      <selection sqref="A1:K7"/>
    </sheetView>
  </sheetViews>
  <sheetFormatPr defaultColWidth="9.140625" defaultRowHeight="15.75" x14ac:dyDescent="0.25"/>
  <cols>
    <col min="1" max="1" width="11.85546875" style="30" customWidth="1"/>
    <col min="2" max="2" width="3.85546875" style="30" customWidth="1"/>
    <col min="3" max="3" width="37.7109375" style="30" customWidth="1"/>
    <col min="4" max="4" width="5.5703125" style="30" customWidth="1"/>
    <col min="5" max="5" width="18.140625" style="30" customWidth="1"/>
    <col min="6" max="6" width="3" style="30" customWidth="1"/>
    <col min="7" max="7" width="16.7109375" style="30" customWidth="1"/>
    <col min="8" max="8" width="3" style="30" customWidth="1"/>
    <col min="9" max="9" width="19.5703125" style="30" customWidth="1"/>
    <col min="10" max="10" width="2.7109375" style="30" customWidth="1"/>
    <col min="11" max="11" width="19.5703125" style="30" customWidth="1"/>
    <col min="12" max="12" width="2.7109375" style="30" customWidth="1"/>
    <col min="13" max="13" width="92.7109375" style="30" customWidth="1"/>
    <col min="14" max="16384" width="9.140625" style="30"/>
  </cols>
  <sheetData>
    <row r="1" spans="1:13" x14ac:dyDescent="0.25">
      <c r="A1" s="115"/>
      <c r="B1" s="115"/>
      <c r="C1" s="115"/>
      <c r="D1" s="115"/>
      <c r="E1" s="115"/>
      <c r="F1" s="115"/>
      <c r="G1" s="115"/>
      <c r="H1" s="115"/>
      <c r="I1" s="115"/>
      <c r="J1" s="115"/>
      <c r="K1" s="110" t="s">
        <v>20</v>
      </c>
      <c r="L1" s="59"/>
    </row>
    <row r="2" spans="1:13" x14ac:dyDescent="0.25">
      <c r="A2" s="115"/>
      <c r="B2" s="115"/>
      <c r="C2" s="115"/>
      <c r="D2" s="115"/>
      <c r="E2" s="115"/>
      <c r="F2" s="115"/>
      <c r="G2" s="115"/>
      <c r="H2" s="115"/>
      <c r="I2" s="115"/>
      <c r="J2" s="115"/>
      <c r="K2" s="110" t="str">
        <f>+'ADIT 1 Electric'!$G$2</f>
        <v>d/b/a RHODE ISLAND ENERGY</v>
      </c>
      <c r="L2" s="59"/>
    </row>
    <row r="3" spans="1:13" x14ac:dyDescent="0.25">
      <c r="A3" s="115"/>
      <c r="B3" s="115"/>
      <c r="C3" s="115"/>
      <c r="D3" s="115"/>
      <c r="E3" s="115"/>
      <c r="F3" s="115"/>
      <c r="G3" s="115"/>
      <c r="H3" s="115"/>
      <c r="I3" s="115"/>
      <c r="J3" s="115"/>
      <c r="K3" s="110" t="str">
        <f>+'ADIT 1 Electric'!$G$3</f>
        <v>RIPUC Docket No. 25-45-GE</v>
      </c>
      <c r="L3" s="59"/>
    </row>
    <row r="4" spans="1:13" hidden="1" x14ac:dyDescent="0.25">
      <c r="A4" s="115"/>
      <c r="B4" s="115"/>
      <c r="C4" s="115"/>
      <c r="D4" s="115"/>
      <c r="E4" s="115"/>
      <c r="F4" s="115"/>
      <c r="G4" s="115"/>
      <c r="H4" s="115"/>
      <c r="I4" s="115"/>
      <c r="J4" s="115"/>
      <c r="K4" s="110" t="str">
        <f>+'ADIT 1 Electric'!$G$4</f>
        <v>Compliance Attachment 2</v>
      </c>
      <c r="L4" s="59"/>
    </row>
    <row r="5" spans="1:13" x14ac:dyDescent="0.25">
      <c r="A5" s="115"/>
      <c r="B5" s="115"/>
      <c r="C5" s="115"/>
      <c r="D5" s="115"/>
      <c r="E5" s="115"/>
      <c r="F5" s="115"/>
      <c r="G5" s="115"/>
      <c r="H5" s="115"/>
      <c r="I5" s="115"/>
      <c r="J5" s="115"/>
      <c r="K5" s="110" t="str">
        <f>+'ADIT 1 Electric'!$G$5</f>
        <v>Schedule NH-3-ELEC</v>
      </c>
      <c r="L5" s="59"/>
    </row>
    <row r="6" spans="1:13" x14ac:dyDescent="0.25">
      <c r="A6" s="115"/>
      <c r="B6" s="115"/>
      <c r="C6" s="115"/>
      <c r="D6" s="115"/>
      <c r="E6" s="115"/>
      <c r="F6" s="115"/>
      <c r="G6" s="115"/>
      <c r="H6" s="115"/>
      <c r="I6" s="115"/>
      <c r="J6" s="115"/>
      <c r="K6" s="110" t="s">
        <v>194</v>
      </c>
      <c r="L6" s="59"/>
    </row>
    <row r="7" spans="1:13" x14ac:dyDescent="0.25">
      <c r="A7" s="115"/>
      <c r="B7" s="115"/>
      <c r="C7" s="115"/>
      <c r="D7" s="115"/>
      <c r="E7" s="115"/>
      <c r="F7" s="115"/>
      <c r="G7" s="115"/>
      <c r="H7" s="115"/>
      <c r="I7" s="115"/>
      <c r="J7" s="115"/>
      <c r="K7" s="115"/>
      <c r="L7" s="59"/>
    </row>
    <row r="8" spans="1:13" x14ac:dyDescent="0.25">
      <c r="A8" s="117"/>
      <c r="B8" s="117"/>
      <c r="C8" s="117"/>
      <c r="D8" s="117"/>
      <c r="E8" s="117"/>
      <c r="F8" s="117"/>
      <c r="G8" s="117"/>
      <c r="H8" s="117"/>
      <c r="I8" s="117"/>
      <c r="J8" s="117"/>
      <c r="K8" s="117"/>
      <c r="L8" s="117"/>
    </row>
    <row r="9" spans="1:13" x14ac:dyDescent="0.25">
      <c r="A9" s="117"/>
      <c r="B9" s="117"/>
      <c r="C9" s="117"/>
      <c r="D9" s="117"/>
      <c r="E9" s="117"/>
      <c r="F9" s="117"/>
      <c r="G9" s="117"/>
      <c r="H9" s="117"/>
      <c r="I9" s="117"/>
      <c r="J9" s="117"/>
      <c r="K9" s="117"/>
      <c r="L9" s="117"/>
    </row>
    <row r="10" spans="1:13" x14ac:dyDescent="0.25">
      <c r="A10" s="351" t="str">
        <f>+'ADIT 1 Electric'!$A$10</f>
        <v>The Narragansett Electric Company d/b/a Rhode Island Energy</v>
      </c>
      <c r="B10" s="351"/>
      <c r="C10" s="351"/>
      <c r="D10" s="351"/>
      <c r="E10" s="351"/>
      <c r="F10" s="351"/>
      <c r="G10" s="351"/>
      <c r="H10" s="351"/>
      <c r="I10" s="351"/>
      <c r="J10" s="351"/>
      <c r="K10" s="351"/>
    </row>
    <row r="11" spans="1:13" x14ac:dyDescent="0.25">
      <c r="A11" s="118" t="s">
        <v>195</v>
      </c>
      <c r="B11" s="119"/>
      <c r="C11" s="119"/>
      <c r="D11" s="119"/>
      <c r="E11" s="119"/>
      <c r="F11" s="119"/>
      <c r="G11" s="119"/>
      <c r="H11" s="119"/>
      <c r="I11" s="119"/>
      <c r="J11" s="119"/>
      <c r="K11" s="119"/>
      <c r="L11" s="119"/>
    </row>
    <row r="12" spans="1:13" x14ac:dyDescent="0.25">
      <c r="A12" s="118" t="s">
        <v>196</v>
      </c>
      <c r="B12" s="119"/>
      <c r="C12" s="119"/>
      <c r="D12" s="119"/>
      <c r="E12" s="119"/>
      <c r="F12" s="119"/>
      <c r="G12" s="119"/>
      <c r="H12" s="119"/>
      <c r="I12" s="119"/>
      <c r="J12" s="119"/>
      <c r="K12" s="119"/>
      <c r="L12" s="119"/>
    </row>
    <row r="13" spans="1:13" x14ac:dyDescent="0.25">
      <c r="A13" s="117"/>
      <c r="B13" s="117"/>
      <c r="C13" s="117"/>
      <c r="D13" s="117"/>
      <c r="E13" s="120"/>
      <c r="F13" s="120"/>
      <c r="G13" s="120"/>
      <c r="H13" s="120"/>
      <c r="I13" s="120"/>
      <c r="J13" s="120"/>
      <c r="K13" s="120"/>
      <c r="L13" s="120"/>
    </row>
    <row r="14" spans="1:13" x14ac:dyDescent="0.25">
      <c r="A14" s="117"/>
      <c r="B14" s="117"/>
      <c r="C14" s="117"/>
      <c r="D14" s="117"/>
      <c r="E14" s="120"/>
      <c r="F14" s="120"/>
      <c r="G14" s="120"/>
      <c r="H14" s="120"/>
      <c r="I14" s="120"/>
      <c r="J14" s="120"/>
      <c r="K14" s="120"/>
      <c r="L14" s="120"/>
    </row>
    <row r="15" spans="1:13" x14ac:dyDescent="0.25">
      <c r="A15" s="117"/>
      <c r="B15" s="117"/>
      <c r="C15" s="117"/>
      <c r="D15" s="117"/>
      <c r="E15" s="120"/>
      <c r="F15" s="120"/>
      <c r="G15" s="120"/>
      <c r="H15" s="120"/>
      <c r="I15" s="120"/>
      <c r="J15" s="120"/>
      <c r="K15" s="120"/>
      <c r="L15" s="120"/>
    </row>
    <row r="16" spans="1:13" x14ac:dyDescent="0.25">
      <c r="A16" s="45" t="s">
        <v>1</v>
      </c>
      <c r="B16" s="61"/>
      <c r="C16" s="64"/>
      <c r="D16" s="64"/>
      <c r="E16" s="15" t="s">
        <v>198</v>
      </c>
      <c r="F16" s="121"/>
      <c r="G16" s="45" t="s">
        <v>135</v>
      </c>
      <c r="H16" s="121"/>
      <c r="I16" s="45" t="s">
        <v>136</v>
      </c>
      <c r="J16" s="45"/>
      <c r="K16" s="62" t="s">
        <v>137</v>
      </c>
      <c r="L16" s="45"/>
      <c r="M16" s="122"/>
    </row>
    <row r="17" spans="1:13" x14ac:dyDescent="0.25">
      <c r="A17" s="123" t="s">
        <v>530</v>
      </c>
      <c r="B17" s="15"/>
      <c r="C17" s="123" t="s">
        <v>199</v>
      </c>
      <c r="D17" s="64"/>
      <c r="E17" s="124">
        <v>46234</v>
      </c>
      <c r="G17" s="124">
        <f>EDATE(E17,12)</f>
        <v>46599</v>
      </c>
      <c r="H17" s="125"/>
      <c r="I17" s="124">
        <f>EDATE(G17,12)</f>
        <v>46965</v>
      </c>
      <c r="K17" s="124">
        <f>EDATE(I17,12)</f>
        <v>47330</v>
      </c>
      <c r="M17" s="122" t="s">
        <v>880</v>
      </c>
    </row>
    <row r="18" spans="1:13" x14ac:dyDescent="0.25">
      <c r="A18" s="117"/>
      <c r="B18" s="117"/>
      <c r="C18" s="117"/>
      <c r="D18" s="117"/>
      <c r="E18" s="15" t="s">
        <v>8</v>
      </c>
      <c r="G18" s="15" t="s">
        <v>9</v>
      </c>
      <c r="I18" s="15" t="s">
        <v>10</v>
      </c>
      <c r="K18" s="15" t="s">
        <v>25</v>
      </c>
      <c r="M18" s="122"/>
    </row>
    <row r="19" spans="1:13" x14ac:dyDescent="0.25">
      <c r="A19" s="126">
        <v>1</v>
      </c>
      <c r="B19" s="117"/>
      <c r="C19" s="127" t="s">
        <v>200</v>
      </c>
      <c r="D19" s="117"/>
      <c r="E19" s="127">
        <f>+'2 Forecasted Tx Depr-Vint Assts'!D13</f>
        <v>36574769.390000001</v>
      </c>
      <c r="F19" s="127"/>
      <c r="G19" s="127"/>
      <c r="H19" s="127"/>
      <c r="I19" s="127"/>
      <c r="K19" s="127"/>
      <c r="M19" s="122" t="s">
        <v>870</v>
      </c>
    </row>
    <row r="20" spans="1:13" x14ac:dyDescent="0.25">
      <c r="A20" s="126">
        <f>+A19+1</f>
        <v>2</v>
      </c>
      <c r="B20" s="117"/>
      <c r="C20" s="127" t="s">
        <v>201</v>
      </c>
      <c r="D20" s="117"/>
      <c r="E20" s="127">
        <f>+'2 Forecasted Tx Depr-Vint Assts'!E13</f>
        <v>55002988.879999995</v>
      </c>
      <c r="F20" s="127"/>
      <c r="G20" s="127">
        <f>+'2 Forecasted Tx Depr-Vint Assts'!E14</f>
        <v>39287849.200000003</v>
      </c>
      <c r="H20" s="127"/>
      <c r="I20" s="127"/>
      <c r="K20" s="127"/>
      <c r="M20" s="122" t="s">
        <v>202</v>
      </c>
    </row>
    <row r="21" spans="1:13" x14ac:dyDescent="0.25">
      <c r="A21" s="126">
        <f t="shared" ref="A21:A23" si="0">+A20+1</f>
        <v>3</v>
      </c>
      <c r="B21" s="117"/>
      <c r="C21" s="127" t="s">
        <v>203</v>
      </c>
      <c r="D21" s="117"/>
      <c r="E21" s="127"/>
      <c r="F21" s="127"/>
      <c r="G21" s="127">
        <f>+'2 Forecasted Tx Depr-Vint Assts'!F14</f>
        <v>50311327.330833331</v>
      </c>
      <c r="H21" s="127"/>
      <c r="I21" s="127">
        <f>+'2 Forecasted Tx Depr-Vint Assts'!F15</f>
        <v>35936662.379166663</v>
      </c>
      <c r="K21" s="127"/>
      <c r="M21" s="122"/>
    </row>
    <row r="22" spans="1:13" x14ac:dyDescent="0.25">
      <c r="A22" s="126">
        <f t="shared" si="0"/>
        <v>4</v>
      </c>
      <c r="B22" s="117"/>
      <c r="C22" s="127" t="s">
        <v>204</v>
      </c>
      <c r="D22" s="117"/>
      <c r="E22" s="127"/>
      <c r="F22" s="127"/>
      <c r="G22" s="127"/>
      <c r="H22" s="127"/>
      <c r="I22" s="127">
        <f>+'2 Forecasted Tx Depr-Vint Assts'!G15</f>
        <v>46166524.109999999</v>
      </c>
      <c r="K22" s="127">
        <f>+'2 Forecasted Tx Depr-Vint Assts'!G16</f>
        <v>32976088.650000002</v>
      </c>
      <c r="M22" s="122"/>
    </row>
    <row r="23" spans="1:13" x14ac:dyDescent="0.25">
      <c r="A23" s="126">
        <f t="shared" si="0"/>
        <v>5</v>
      </c>
      <c r="B23" s="117"/>
      <c r="C23" s="127" t="s">
        <v>205</v>
      </c>
      <c r="D23" s="117"/>
      <c r="E23" s="127"/>
      <c r="F23" s="127"/>
      <c r="G23" s="127"/>
      <c r="H23" s="127"/>
      <c r="I23" s="127"/>
      <c r="K23" s="127">
        <f>+'2 Forecasted Tx Depr-Vint Assts'!H16</f>
        <v>41762325.902500004</v>
      </c>
      <c r="M23" s="122"/>
    </row>
    <row r="24" spans="1:13" ht="16.5" thickBot="1" x14ac:dyDescent="0.3">
      <c r="A24" s="126">
        <f>+A23+1</f>
        <v>6</v>
      </c>
      <c r="B24" s="117"/>
      <c r="C24" s="64" t="s">
        <v>139</v>
      </c>
      <c r="D24" s="117"/>
      <c r="E24" s="128">
        <f>SUM(E19:E23)</f>
        <v>91577758.269999996</v>
      </c>
      <c r="F24" s="129"/>
      <c r="G24" s="128">
        <f>SUM(G19:G23)</f>
        <v>89599176.530833334</v>
      </c>
      <c r="H24" s="129"/>
      <c r="I24" s="128">
        <f>SUM(I19:I23)</f>
        <v>82103186.489166662</v>
      </c>
      <c r="K24" s="128">
        <f>SUM(K19:K23)</f>
        <v>74738414.55250001</v>
      </c>
    </row>
    <row r="25" spans="1:13" ht="16.5" thickTop="1" x14ac:dyDescent="0.25">
      <c r="A25" s="117"/>
      <c r="B25" s="117"/>
      <c r="C25" s="117"/>
      <c r="D25" s="117"/>
      <c r="E25" s="120"/>
      <c r="F25" s="120"/>
      <c r="G25" s="120"/>
      <c r="H25" s="120"/>
      <c r="I25" s="120"/>
      <c r="K25" s="120"/>
    </row>
    <row r="26" spans="1:13" x14ac:dyDescent="0.25">
      <c r="A26" s="117"/>
      <c r="B26" s="117"/>
      <c r="C26" s="117"/>
      <c r="D26" s="117"/>
      <c r="E26" s="120"/>
      <c r="F26" s="120"/>
      <c r="G26" s="120"/>
      <c r="H26" s="120"/>
      <c r="I26" s="120"/>
      <c r="J26" s="120"/>
      <c r="K26" s="120"/>
    </row>
    <row r="27" spans="1:13" x14ac:dyDescent="0.25">
      <c r="A27" s="130" t="s">
        <v>206</v>
      </c>
      <c r="B27" s="15"/>
      <c r="C27" s="69"/>
      <c r="D27" s="69"/>
      <c r="E27" s="131"/>
      <c r="F27" s="131"/>
      <c r="G27" s="131"/>
      <c r="H27" s="131"/>
      <c r="I27" s="72"/>
      <c r="J27" s="72"/>
      <c r="K27" s="72"/>
    </row>
    <row r="28" spans="1:13" x14ac:dyDescent="0.25">
      <c r="A28" s="15" t="s">
        <v>207</v>
      </c>
      <c r="B28" s="69" t="s">
        <v>68</v>
      </c>
      <c r="D28" s="64"/>
      <c r="E28" s="131"/>
      <c r="F28" s="117"/>
      <c r="G28" s="117"/>
      <c r="H28" s="117"/>
      <c r="I28" s="117"/>
      <c r="J28" s="131"/>
      <c r="K28" s="72"/>
      <c r="L28" s="72"/>
    </row>
    <row r="29" spans="1:13" x14ac:dyDescent="0.25">
      <c r="D29" s="64"/>
      <c r="E29" s="131"/>
      <c r="F29" s="117"/>
      <c r="G29" s="117"/>
      <c r="H29" s="117"/>
      <c r="I29" s="117"/>
      <c r="J29" s="131"/>
      <c r="K29" s="72"/>
      <c r="L29" s="72"/>
    </row>
    <row r="30" spans="1:13" x14ac:dyDescent="0.25">
      <c r="D30" s="117"/>
      <c r="E30" s="120"/>
      <c r="F30" s="117"/>
      <c r="G30" s="117"/>
      <c r="H30" s="117"/>
      <c r="I30" s="117"/>
      <c r="J30" s="120"/>
      <c r="K30" s="120"/>
      <c r="L30" s="120"/>
    </row>
    <row r="31" spans="1:13" x14ac:dyDescent="0.25">
      <c r="D31" s="117"/>
      <c r="E31" s="120"/>
      <c r="F31" s="117"/>
      <c r="G31" s="117"/>
      <c r="H31" s="117"/>
      <c r="I31" s="117"/>
      <c r="J31" s="120"/>
      <c r="K31" s="120"/>
      <c r="L31" s="120"/>
    </row>
    <row r="32" spans="1:13" x14ac:dyDescent="0.25">
      <c r="A32" s="126"/>
      <c r="B32" s="69"/>
      <c r="C32" s="69"/>
      <c r="D32" s="117"/>
      <c r="E32" s="120"/>
      <c r="J32" s="120"/>
      <c r="K32" s="120"/>
      <c r="L32" s="120"/>
    </row>
    <row r="33" spans="1:12" x14ac:dyDescent="0.25">
      <c r="A33" s="15"/>
      <c r="B33" s="69"/>
      <c r="C33" s="69"/>
      <c r="D33" s="117"/>
      <c r="E33" s="117"/>
      <c r="J33" s="117"/>
      <c r="K33" s="117"/>
      <c r="L33" s="117"/>
    </row>
    <row r="34" spans="1:12" x14ac:dyDescent="0.25">
      <c r="A34" s="126"/>
      <c r="B34" s="69"/>
      <c r="C34" s="69"/>
      <c r="D34" s="117"/>
      <c r="E34" s="117"/>
      <c r="J34" s="117"/>
      <c r="K34" s="117"/>
      <c r="L34" s="117"/>
    </row>
    <row r="35" spans="1:12" x14ac:dyDescent="0.25">
      <c r="A35" s="126"/>
      <c r="B35" s="69"/>
      <c r="C35" s="69"/>
      <c r="D35" s="117"/>
      <c r="E35" s="117"/>
      <c r="J35" s="117"/>
      <c r="K35" s="117"/>
      <c r="L35" s="117"/>
    </row>
    <row r="36" spans="1:12" x14ac:dyDescent="0.25">
      <c r="A36" s="126"/>
      <c r="B36" s="117"/>
      <c r="C36" s="117"/>
      <c r="D36" s="117"/>
      <c r="E36" s="117"/>
      <c r="J36" s="117"/>
      <c r="K36" s="117"/>
      <c r="L36" s="117"/>
    </row>
  </sheetData>
  <mergeCells count="1">
    <mergeCell ref="A10:K10"/>
  </mergeCells>
  <pageMargins left="0.7" right="0.7" top="0.75" bottom="0.75" header="0.3" footer="0.3"/>
  <pageSetup scale="79"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B36DC-D328-4075-BBAB-E4496190B968}">
  <sheetPr>
    <pageSetUpPr fitToPage="1"/>
  </sheetPr>
  <dimension ref="A1:Q61"/>
  <sheetViews>
    <sheetView workbookViewId="0">
      <selection activeCell="O3" sqref="O3"/>
    </sheetView>
  </sheetViews>
  <sheetFormatPr defaultColWidth="9.140625" defaultRowHeight="15" x14ac:dyDescent="0.25"/>
  <cols>
    <col min="1" max="1" width="11.85546875" style="1" customWidth="1"/>
    <col min="2" max="2" width="3.85546875" style="1" customWidth="1"/>
    <col min="3" max="3" width="54.85546875" style="1" customWidth="1"/>
    <col min="4" max="4" width="5.5703125" style="1" customWidth="1"/>
    <col min="5" max="5" width="16" style="1" customWidth="1"/>
    <col min="6" max="6" width="3" style="1" customWidth="1"/>
    <col min="7" max="7" width="17.5703125" style="1" customWidth="1"/>
    <col min="8" max="8" width="3.28515625" style="1" customWidth="1"/>
    <col min="9" max="9" width="18.140625" style="1" customWidth="1"/>
    <col min="10" max="10" width="3" style="1" customWidth="1"/>
    <col min="11" max="11" width="16.7109375" style="1" customWidth="1"/>
    <col min="12" max="12" width="3" style="1" customWidth="1"/>
    <col min="13" max="13" width="19.5703125" style="1" customWidth="1"/>
    <col min="14" max="14" width="2.7109375" style="1" customWidth="1"/>
    <col min="15" max="15" width="19.5703125" style="1" customWidth="1"/>
    <col min="16" max="16" width="2.7109375" style="1" customWidth="1"/>
    <col min="17" max="17" width="92.7109375" style="1" customWidth="1"/>
    <col min="18" max="16384" width="9.140625" style="1"/>
  </cols>
  <sheetData>
    <row r="1" spans="1:17" x14ac:dyDescent="0.25">
      <c r="A1" s="115"/>
      <c r="B1" s="115"/>
      <c r="C1" s="115"/>
      <c r="D1" s="115"/>
      <c r="E1" s="132"/>
      <c r="F1" s="115"/>
      <c r="G1" s="115"/>
      <c r="H1" s="115"/>
      <c r="I1" s="115"/>
      <c r="J1" s="115"/>
      <c r="K1" s="115"/>
      <c r="L1" s="115"/>
      <c r="M1" s="115"/>
      <c r="N1" s="115"/>
      <c r="O1" s="110" t="s">
        <v>20</v>
      </c>
      <c r="P1" s="3"/>
    </row>
    <row r="2" spans="1:17" x14ac:dyDescent="0.25">
      <c r="A2" s="115"/>
      <c r="B2" s="115"/>
      <c r="C2" s="115"/>
      <c r="D2" s="115"/>
      <c r="E2" s="132"/>
      <c r="F2" s="115"/>
      <c r="G2" s="115"/>
      <c r="H2" s="115"/>
      <c r="I2" s="115"/>
      <c r="J2" s="115"/>
      <c r="K2" s="115"/>
      <c r="L2" s="115"/>
      <c r="M2" s="115"/>
      <c r="N2" s="115"/>
      <c r="O2" s="110" t="str">
        <f>+'ADIT 1 Electric'!$G$2</f>
        <v>d/b/a RHODE ISLAND ENERGY</v>
      </c>
      <c r="P2" s="3"/>
    </row>
    <row r="3" spans="1:17" x14ac:dyDescent="0.25">
      <c r="A3" s="115"/>
      <c r="B3" s="115"/>
      <c r="C3" s="115"/>
      <c r="D3" s="115"/>
      <c r="E3" s="132"/>
      <c r="F3" s="115"/>
      <c r="G3" s="115"/>
      <c r="H3" s="115"/>
      <c r="I3" s="115"/>
      <c r="J3" s="115"/>
      <c r="K3" s="115"/>
      <c r="L3" s="115"/>
      <c r="M3" s="115"/>
      <c r="N3" s="115"/>
      <c r="O3" s="110" t="str">
        <f>+'ADIT 1 Electric'!$G$3</f>
        <v>RIPUC Docket No. 25-45-GE</v>
      </c>
      <c r="P3" s="3"/>
    </row>
    <row r="4" spans="1:17" hidden="1" x14ac:dyDescent="0.25">
      <c r="A4" s="115"/>
      <c r="B4" s="115"/>
      <c r="C4" s="115"/>
      <c r="D4" s="115"/>
      <c r="E4" s="132"/>
      <c r="F4" s="115"/>
      <c r="G4" s="115"/>
      <c r="H4" s="115"/>
      <c r="I4" s="115"/>
      <c r="J4" s="115"/>
      <c r="K4" s="115"/>
      <c r="L4" s="115"/>
      <c r="M4" s="115"/>
      <c r="N4" s="115"/>
      <c r="O4" s="110" t="str">
        <f>+'ADIT 1 Electric'!$G$4</f>
        <v>Compliance Attachment 2</v>
      </c>
      <c r="P4" s="3"/>
    </row>
    <row r="5" spans="1:17" x14ac:dyDescent="0.25">
      <c r="A5" s="115"/>
      <c r="B5" s="115"/>
      <c r="C5" s="115"/>
      <c r="D5" s="115"/>
      <c r="E5" s="132"/>
      <c r="F5" s="115"/>
      <c r="G5" s="115"/>
      <c r="H5" s="115"/>
      <c r="I5" s="115"/>
      <c r="J5" s="115"/>
      <c r="K5" s="115"/>
      <c r="L5" s="115"/>
      <c r="M5" s="115"/>
      <c r="N5" s="115"/>
      <c r="O5" s="110" t="str">
        <f>+'ADIT 1 Electric'!$G$5</f>
        <v>Schedule NH-3-ELEC</v>
      </c>
      <c r="P5" s="3"/>
    </row>
    <row r="6" spans="1:17" x14ac:dyDescent="0.25">
      <c r="A6" s="115"/>
      <c r="B6" s="115"/>
      <c r="C6" s="115"/>
      <c r="D6" s="115"/>
      <c r="E6" s="132"/>
      <c r="F6" s="115"/>
      <c r="G6" s="115"/>
      <c r="H6" s="115"/>
      <c r="I6" s="115"/>
      <c r="J6" s="115"/>
      <c r="K6" s="115"/>
      <c r="L6" s="115"/>
      <c r="M6" s="115"/>
      <c r="N6" s="115"/>
      <c r="O6" s="110" t="s">
        <v>208</v>
      </c>
      <c r="P6" s="3"/>
    </row>
    <row r="7" spans="1:17" ht="15.75" x14ac:dyDescent="0.25">
      <c r="A7" s="59"/>
      <c r="B7" s="59"/>
      <c r="C7" s="59"/>
      <c r="D7" s="59"/>
      <c r="E7" s="133"/>
      <c r="F7" s="59"/>
      <c r="G7" s="59"/>
      <c r="H7" s="59"/>
      <c r="I7" s="59"/>
      <c r="J7" s="59"/>
      <c r="K7" s="59"/>
      <c r="L7" s="59"/>
      <c r="M7" s="59"/>
      <c r="N7" s="59"/>
      <c r="O7" s="59"/>
      <c r="P7" s="59"/>
    </row>
    <row r="8" spans="1:17" ht="15.75" x14ac:dyDescent="0.25">
      <c r="A8" s="117"/>
      <c r="B8" s="117"/>
      <c r="C8" s="117"/>
      <c r="D8" s="117"/>
      <c r="E8" s="117"/>
      <c r="F8" s="117"/>
      <c r="G8" s="117"/>
      <c r="H8" s="117"/>
      <c r="I8" s="117"/>
      <c r="J8" s="117"/>
      <c r="K8" s="117"/>
      <c r="L8" s="117"/>
      <c r="M8" s="117"/>
      <c r="N8" s="117"/>
      <c r="O8" s="117"/>
      <c r="P8" s="117"/>
    </row>
    <row r="9" spans="1:17" ht="15.75" x14ac:dyDescent="0.25">
      <c r="A9" s="117"/>
      <c r="B9" s="117"/>
      <c r="C9" s="117"/>
      <c r="D9" s="117"/>
      <c r="E9" s="117"/>
      <c r="F9" s="117"/>
      <c r="G9" s="117"/>
      <c r="H9" s="117"/>
      <c r="I9" s="117"/>
      <c r="J9" s="117"/>
      <c r="K9" s="117"/>
      <c r="L9" s="117"/>
      <c r="M9" s="117"/>
      <c r="N9" s="117"/>
      <c r="O9" s="117"/>
      <c r="P9" s="117"/>
    </row>
    <row r="10" spans="1:17" ht="15.75" x14ac:dyDescent="0.25">
      <c r="A10" s="353" t="str">
        <f>+'ADIT 1 Electric'!$A$10</f>
        <v>The Narragansett Electric Company d/b/a Rhode Island Energy</v>
      </c>
      <c r="B10" s="353"/>
      <c r="C10" s="353"/>
      <c r="D10" s="353"/>
      <c r="E10" s="353"/>
      <c r="F10" s="353"/>
      <c r="G10" s="353"/>
      <c r="H10" s="353"/>
      <c r="I10" s="353"/>
      <c r="J10" s="353"/>
      <c r="K10" s="353"/>
      <c r="L10" s="353"/>
      <c r="M10" s="353"/>
      <c r="N10" s="353"/>
      <c r="O10" s="353"/>
      <c r="P10" s="119"/>
    </row>
    <row r="11" spans="1:17" ht="15.75" x14ac:dyDescent="0.25">
      <c r="A11" s="353" t="s">
        <v>209</v>
      </c>
      <c r="B11" s="353"/>
      <c r="C11" s="353"/>
      <c r="D11" s="353"/>
      <c r="E11" s="353"/>
      <c r="F11" s="353"/>
      <c r="G11" s="353"/>
      <c r="H11" s="353"/>
      <c r="I11" s="353"/>
      <c r="J11" s="353"/>
      <c r="K11" s="353"/>
      <c r="L11" s="353"/>
      <c r="M11" s="353"/>
      <c r="N11" s="353"/>
      <c r="O11" s="353"/>
      <c r="P11" s="119"/>
    </row>
    <row r="12" spans="1:17" ht="15.75" x14ac:dyDescent="0.25">
      <c r="A12" s="353" t="s">
        <v>196</v>
      </c>
      <c r="B12" s="353"/>
      <c r="C12" s="353"/>
      <c r="D12" s="353"/>
      <c r="E12" s="353"/>
      <c r="F12" s="353"/>
      <c r="G12" s="353"/>
      <c r="H12" s="353"/>
      <c r="I12" s="353"/>
      <c r="J12" s="353"/>
      <c r="K12" s="353"/>
      <c r="L12" s="353"/>
      <c r="M12" s="353"/>
      <c r="N12" s="353"/>
      <c r="O12" s="353"/>
      <c r="P12" s="119"/>
    </row>
    <row r="13" spans="1:17" ht="15.75" x14ac:dyDescent="0.25">
      <c r="A13" s="117"/>
      <c r="B13" s="117"/>
      <c r="C13" s="117"/>
      <c r="D13" s="117"/>
      <c r="E13" s="120"/>
      <c r="F13" s="120"/>
      <c r="G13" s="120"/>
      <c r="H13" s="120"/>
      <c r="I13" s="120"/>
      <c r="J13" s="120"/>
      <c r="K13" s="120"/>
      <c r="L13" s="120"/>
      <c r="M13" s="120"/>
      <c r="N13" s="120"/>
      <c r="O13" s="120"/>
      <c r="P13" s="120"/>
    </row>
    <row r="14" spans="1:17" ht="15.75" x14ac:dyDescent="0.25">
      <c r="A14" s="117"/>
      <c r="B14" s="117"/>
      <c r="C14" s="117"/>
      <c r="D14" s="117"/>
      <c r="E14" s="120"/>
      <c r="F14" s="120"/>
      <c r="G14" s="120"/>
      <c r="H14" s="120"/>
      <c r="I14" s="120"/>
      <c r="J14" s="120"/>
      <c r="K14" s="120"/>
      <c r="L14" s="120"/>
      <c r="M14" s="120"/>
      <c r="N14" s="120"/>
      <c r="O14" s="120"/>
      <c r="P14" s="120"/>
    </row>
    <row r="15" spans="1:17" ht="15.75" x14ac:dyDescent="0.25">
      <c r="A15" s="117"/>
      <c r="B15" s="117"/>
      <c r="C15" s="117"/>
      <c r="D15" s="117"/>
      <c r="E15" s="120"/>
      <c r="F15" s="120"/>
      <c r="G15" s="120"/>
      <c r="H15" s="120"/>
      <c r="I15" s="358" t="s">
        <v>197</v>
      </c>
      <c r="J15" s="359"/>
      <c r="K15" s="359"/>
      <c r="L15" s="359"/>
      <c r="M15" s="359"/>
      <c r="N15" s="359"/>
      <c r="O15" s="360"/>
      <c r="P15" s="120"/>
      <c r="Q15" s="11"/>
    </row>
    <row r="16" spans="1:17" ht="15.75" x14ac:dyDescent="0.25">
      <c r="A16" s="24" t="s">
        <v>1</v>
      </c>
      <c r="B16" s="61"/>
      <c r="C16" s="64" t="s">
        <v>210</v>
      </c>
      <c r="D16" s="64"/>
      <c r="E16" s="62" t="s">
        <v>211</v>
      </c>
      <c r="F16" s="72"/>
      <c r="G16" s="62" t="s">
        <v>180</v>
      </c>
      <c r="H16" s="72"/>
      <c r="I16" s="15" t="s">
        <v>198</v>
      </c>
      <c r="J16" s="121"/>
      <c r="K16" s="24" t="s">
        <v>135</v>
      </c>
      <c r="L16" s="121"/>
      <c r="M16" s="24" t="s">
        <v>136</v>
      </c>
      <c r="N16" s="24"/>
      <c r="O16" s="62" t="s">
        <v>137</v>
      </c>
      <c r="P16" s="24"/>
      <c r="Q16" s="11"/>
    </row>
    <row r="17" spans="1:17" ht="15.75" x14ac:dyDescent="0.25">
      <c r="A17" s="25" t="s">
        <v>530</v>
      </c>
      <c r="B17" s="15"/>
      <c r="C17" s="25" t="s">
        <v>212</v>
      </c>
      <c r="D17" s="64"/>
      <c r="E17" s="63" t="s">
        <v>213</v>
      </c>
      <c r="F17" s="62"/>
      <c r="G17" s="63" t="s">
        <v>214</v>
      </c>
      <c r="H17" s="134"/>
      <c r="I17" s="63">
        <v>46234</v>
      </c>
      <c r="J17" s="21"/>
      <c r="K17" s="63">
        <f>EDATE(I17,12)</f>
        <v>46599</v>
      </c>
      <c r="L17" s="125"/>
      <c r="M17" s="63">
        <f>EDATE(K17,12)</f>
        <v>46965</v>
      </c>
      <c r="N17" s="21"/>
      <c r="O17" s="63">
        <f>EDATE(M17,12)</f>
        <v>47330</v>
      </c>
      <c r="P17" s="21"/>
      <c r="Q17" s="11" t="s">
        <v>51</v>
      </c>
    </row>
    <row r="18" spans="1:17" ht="15.75" x14ac:dyDescent="0.25">
      <c r="A18" s="117"/>
      <c r="B18" s="117"/>
      <c r="C18" s="117"/>
      <c r="D18" s="117"/>
      <c r="E18" s="135" t="s">
        <v>8</v>
      </c>
      <c r="F18" s="135"/>
      <c r="G18" s="15" t="s">
        <v>9</v>
      </c>
      <c r="H18" s="15"/>
      <c r="I18" s="15" t="s">
        <v>10</v>
      </c>
      <c r="J18" s="21"/>
      <c r="K18" s="15" t="s">
        <v>25</v>
      </c>
      <c r="L18" s="21"/>
      <c r="M18" s="15" t="s">
        <v>11</v>
      </c>
      <c r="N18" s="21"/>
      <c r="O18" s="15" t="s">
        <v>12</v>
      </c>
      <c r="P18" s="21"/>
      <c r="Q18" s="11"/>
    </row>
    <row r="19" spans="1:17" ht="15.75" x14ac:dyDescent="0.25">
      <c r="A19" s="126">
        <v>1</v>
      </c>
      <c r="B19" s="117"/>
      <c r="C19" s="136" t="s">
        <v>215</v>
      </c>
      <c r="D19" s="137"/>
      <c r="E19" s="127">
        <f>'2026-07-31 Tax Depr-3YR'!F20</f>
        <v>26980100</v>
      </c>
      <c r="F19" s="129"/>
      <c r="G19" s="127">
        <f>'2026-07-31 Tax Depr-3YR'!F24</f>
        <v>0</v>
      </c>
      <c r="H19" s="127"/>
      <c r="I19" s="127">
        <f>SUM(G19:H19)</f>
        <v>0</v>
      </c>
      <c r="J19" s="127"/>
      <c r="K19" s="127"/>
      <c r="L19" s="127"/>
      <c r="M19" s="127"/>
      <c r="N19" s="21"/>
      <c r="O19" s="138"/>
      <c r="P19" s="21"/>
    </row>
    <row r="20" spans="1:17" ht="15.75" x14ac:dyDescent="0.25">
      <c r="A20" s="126">
        <f t="shared" ref="A20:A31" si="0">+A19+1</f>
        <v>2</v>
      </c>
      <c r="B20" s="117"/>
      <c r="C20" s="136" t="s">
        <v>216</v>
      </c>
      <c r="D20" s="137"/>
      <c r="E20" s="127"/>
      <c r="F20" s="129"/>
      <c r="G20" s="127"/>
      <c r="H20" s="127"/>
      <c r="I20" s="127">
        <f>'2026-07-31 Tax Depr-3YR'!F31</f>
        <v>4496683</v>
      </c>
      <c r="J20" s="127"/>
      <c r="K20" s="127">
        <f>'2026-07-31 Tax Depr-3YR'!H31</f>
        <v>8993367</v>
      </c>
      <c r="L20" s="127"/>
      <c r="M20" s="127">
        <f>'2026-07-31 Tax Depr-3YR'!J31</f>
        <v>8993367</v>
      </c>
      <c r="N20" s="21"/>
      <c r="O20" s="127">
        <f>'2026-07-31 Tax Depr-3YR'!L31</f>
        <v>4496683</v>
      </c>
      <c r="P20" s="21"/>
    </row>
    <row r="21" spans="1:17" ht="15.75" x14ac:dyDescent="0.25">
      <c r="A21" s="126">
        <f t="shared" si="0"/>
        <v>3</v>
      </c>
      <c r="B21" s="117"/>
      <c r="C21" s="136" t="s">
        <v>217</v>
      </c>
      <c r="D21" s="137"/>
      <c r="E21" s="127"/>
      <c r="F21" s="129"/>
      <c r="G21" s="127"/>
      <c r="H21" s="127"/>
      <c r="I21" s="127">
        <f>'2026-07-31 Tax Depr-3YR'!F33</f>
        <v>0</v>
      </c>
      <c r="J21" s="127"/>
      <c r="K21" s="127"/>
      <c r="L21" s="127"/>
      <c r="M21" s="127"/>
      <c r="N21" s="21"/>
      <c r="O21" s="127"/>
      <c r="P21" s="21"/>
    </row>
    <row r="22" spans="1:17" ht="15.75" x14ac:dyDescent="0.25">
      <c r="A22" s="126">
        <f t="shared" si="0"/>
        <v>4</v>
      </c>
      <c r="B22" s="117"/>
      <c r="C22" s="98" t="s">
        <v>218</v>
      </c>
      <c r="D22" s="137"/>
      <c r="E22" s="127">
        <f>'2027-07-31 Tax Depr-3YR'!F20</f>
        <v>38527021</v>
      </c>
      <c r="F22" s="129"/>
      <c r="G22" s="129">
        <f>'2027-07-31 Tax Depr-3YR'!F24</f>
        <v>0</v>
      </c>
      <c r="H22" s="127"/>
      <c r="I22" s="127"/>
      <c r="J22" s="127"/>
      <c r="K22" s="127">
        <f>SUM(G22:H22)</f>
        <v>0</v>
      </c>
      <c r="L22" s="127"/>
      <c r="M22" s="127"/>
      <c r="N22" s="21"/>
      <c r="O22" s="127"/>
      <c r="P22" s="21"/>
    </row>
    <row r="23" spans="1:17" ht="15.75" x14ac:dyDescent="0.25">
      <c r="A23" s="126">
        <f t="shared" si="0"/>
        <v>5</v>
      </c>
      <c r="B23" s="117"/>
      <c r="C23" s="98" t="s">
        <v>219</v>
      </c>
      <c r="D23" s="137"/>
      <c r="E23" s="127"/>
      <c r="F23" s="129"/>
      <c r="G23" s="129"/>
      <c r="H23" s="127"/>
      <c r="I23" s="127"/>
      <c r="J23" s="127"/>
      <c r="K23" s="127">
        <f>'2027-07-31 Tax Depr-3YR'!F31</f>
        <v>6421170.1666666996</v>
      </c>
      <c r="L23" s="127"/>
      <c r="M23" s="127">
        <f>'2027-07-31 Tax Depr-3YR'!H31</f>
        <v>12842340.3333333</v>
      </c>
      <c r="N23" s="21"/>
      <c r="O23" s="127">
        <f>'2027-07-31 Tax Depr-3YR'!J31</f>
        <v>12842340.3333333</v>
      </c>
      <c r="P23" s="21"/>
    </row>
    <row r="24" spans="1:17" ht="15.75" x14ac:dyDescent="0.25">
      <c r="A24" s="126">
        <f t="shared" si="0"/>
        <v>6</v>
      </c>
      <c r="B24" s="117"/>
      <c r="C24" s="98" t="s">
        <v>220</v>
      </c>
      <c r="D24" s="137"/>
      <c r="E24" s="127"/>
      <c r="F24" s="129"/>
      <c r="G24" s="129"/>
      <c r="H24" s="127"/>
      <c r="I24" s="127"/>
      <c r="J24" s="127"/>
      <c r="K24" s="127">
        <f>'2027-07-31 Tax Depr-3YR'!F33</f>
        <v>0</v>
      </c>
      <c r="L24" s="127"/>
      <c r="M24" s="127"/>
      <c r="N24" s="21"/>
      <c r="O24" s="127"/>
      <c r="P24" s="21"/>
    </row>
    <row r="25" spans="1:17" ht="15.75" x14ac:dyDescent="0.25">
      <c r="A25" s="126">
        <f t="shared" si="0"/>
        <v>7</v>
      </c>
      <c r="B25" s="117"/>
      <c r="C25" s="98" t="s">
        <v>221</v>
      </c>
      <c r="D25" s="137"/>
      <c r="E25" s="127">
        <f>'2028-07-31 Tax Depr-3YR'!F20</f>
        <v>74486709</v>
      </c>
      <c r="F25" s="129"/>
      <c r="G25" s="129">
        <f>'2028-07-31 Tax Depr-3YR'!F24</f>
        <v>0</v>
      </c>
      <c r="H25" s="127"/>
      <c r="I25" s="127"/>
      <c r="J25" s="127"/>
      <c r="K25" s="127"/>
      <c r="L25" s="127"/>
      <c r="M25" s="127">
        <f>SUM(G25:H25)</f>
        <v>0</v>
      </c>
      <c r="N25" s="21"/>
      <c r="O25" s="127"/>
      <c r="P25" s="21"/>
    </row>
    <row r="26" spans="1:17" ht="15.75" x14ac:dyDescent="0.25">
      <c r="A26" s="126">
        <f t="shared" si="0"/>
        <v>8</v>
      </c>
      <c r="B26" s="117"/>
      <c r="C26" s="98" t="s">
        <v>222</v>
      </c>
      <c r="D26" s="137"/>
      <c r="E26" s="127"/>
      <c r="F26" s="129"/>
      <c r="G26" s="129"/>
      <c r="H26" s="127"/>
      <c r="I26" s="127"/>
      <c r="J26" s="127"/>
      <c r="K26" s="127"/>
      <c r="L26" s="127"/>
      <c r="M26" s="127">
        <f>'2028-07-31 Tax Depr-3YR'!F31</f>
        <v>12414452</v>
      </c>
      <c r="N26" s="21"/>
      <c r="O26" s="127">
        <f>'2028-07-31 Tax Depr-3YR'!$H$31</f>
        <v>24828903</v>
      </c>
      <c r="P26" s="21"/>
    </row>
    <row r="27" spans="1:17" ht="15.75" x14ac:dyDescent="0.25">
      <c r="A27" s="126">
        <f t="shared" si="0"/>
        <v>9</v>
      </c>
      <c r="B27" s="117"/>
      <c r="C27" s="98" t="s">
        <v>223</v>
      </c>
      <c r="D27" s="137"/>
      <c r="E27" s="127"/>
      <c r="F27" s="129"/>
      <c r="G27" s="129"/>
      <c r="H27" s="127"/>
      <c r="I27" s="127"/>
      <c r="J27" s="127"/>
      <c r="K27" s="127"/>
      <c r="L27" s="127"/>
      <c r="M27" s="127">
        <f>'2028-07-31 Tax Depr-3YR'!F33</f>
        <v>0</v>
      </c>
      <c r="N27" s="21"/>
      <c r="O27" s="21"/>
      <c r="P27" s="21"/>
    </row>
    <row r="28" spans="1:17" ht="15.75" x14ac:dyDescent="0.25">
      <c r="A28" s="126">
        <f t="shared" si="0"/>
        <v>10</v>
      </c>
      <c r="B28" s="117"/>
      <c r="C28" s="98" t="s">
        <v>224</v>
      </c>
      <c r="D28" s="137"/>
      <c r="E28" s="127">
        <f>'2029-07-31 Tax Depr-3YR'!F20</f>
        <v>16705014</v>
      </c>
      <c r="F28" s="129"/>
      <c r="G28" s="129">
        <f>'2029-07-31 Tax Depr-3YR'!F24</f>
        <v>0</v>
      </c>
      <c r="H28" s="127"/>
      <c r="I28" s="127"/>
      <c r="J28" s="127"/>
      <c r="K28" s="127"/>
      <c r="L28" s="127"/>
      <c r="M28" s="127"/>
      <c r="N28" s="21"/>
      <c r="O28" s="127">
        <f>SUM(G28:H28)</f>
        <v>0</v>
      </c>
      <c r="P28" s="21"/>
    </row>
    <row r="29" spans="1:17" ht="15.75" x14ac:dyDescent="0.25">
      <c r="A29" s="126">
        <f t="shared" si="0"/>
        <v>11</v>
      </c>
      <c r="B29" s="117"/>
      <c r="C29" s="98" t="s">
        <v>225</v>
      </c>
      <c r="D29" s="137"/>
      <c r="E29" s="127"/>
      <c r="F29" s="129"/>
      <c r="G29" s="129"/>
      <c r="H29" s="127"/>
      <c r="I29" s="127"/>
      <c r="J29" s="127"/>
      <c r="K29" s="127"/>
      <c r="L29" s="127"/>
      <c r="M29" s="127"/>
      <c r="N29" s="21"/>
      <c r="O29" s="127">
        <f>'2029-07-31 Tax Depr-3YR'!F31</f>
        <v>2784169</v>
      </c>
      <c r="P29" s="21"/>
    </row>
    <row r="30" spans="1:17" ht="15.75" x14ac:dyDescent="0.25">
      <c r="A30" s="126">
        <f t="shared" si="0"/>
        <v>12</v>
      </c>
      <c r="B30" s="117"/>
      <c r="C30" s="98" t="s">
        <v>226</v>
      </c>
      <c r="D30" s="137"/>
      <c r="E30" s="127"/>
      <c r="F30" s="129"/>
      <c r="G30" s="129"/>
      <c r="H30" s="127"/>
      <c r="I30" s="127"/>
      <c r="J30" s="127"/>
      <c r="K30" s="127"/>
      <c r="L30" s="127"/>
      <c r="M30" s="127"/>
      <c r="N30" s="21"/>
      <c r="O30" s="127">
        <f>'2029-07-31 Tax Depr-3YR'!F33</f>
        <v>0</v>
      </c>
      <c r="P30" s="21"/>
    </row>
    <row r="31" spans="1:17" ht="16.5" thickBot="1" x14ac:dyDescent="0.3">
      <c r="A31" s="126">
        <f t="shared" si="0"/>
        <v>13</v>
      </c>
      <c r="B31" s="117"/>
      <c r="C31" s="64" t="s">
        <v>139</v>
      </c>
      <c r="D31" s="117"/>
      <c r="E31" s="128">
        <f>SUM(E19:E30)</f>
        <v>156698844</v>
      </c>
      <c r="F31" s="129"/>
      <c r="G31" s="128">
        <f>SUM(G19:G30)</f>
        <v>0</v>
      </c>
      <c r="H31" s="129"/>
      <c r="I31" s="128">
        <f>SUM(I19:I30)</f>
        <v>4496683</v>
      </c>
      <c r="J31" s="129"/>
      <c r="K31" s="128">
        <f>SUM(K19:K30)</f>
        <v>15414537.1666667</v>
      </c>
      <c r="L31" s="129"/>
      <c r="M31" s="128">
        <f>SUM(M19:M30)</f>
        <v>34250159.333333299</v>
      </c>
      <c r="N31" s="21"/>
      <c r="O31" s="128">
        <f>SUM(O19:O30)</f>
        <v>44952095.333333299</v>
      </c>
      <c r="P31" s="21"/>
    </row>
    <row r="32" spans="1:17" ht="16.5" thickTop="1" x14ac:dyDescent="0.25">
      <c r="A32" s="117"/>
      <c r="B32" s="117"/>
      <c r="C32" s="117"/>
      <c r="D32" s="117"/>
      <c r="E32" s="120"/>
      <c r="F32" s="120"/>
      <c r="G32" s="120"/>
      <c r="H32" s="120"/>
      <c r="I32" s="120"/>
      <c r="J32" s="120"/>
      <c r="K32" s="120"/>
      <c r="L32" s="120"/>
      <c r="M32" s="120"/>
      <c r="N32" s="21"/>
      <c r="O32" s="120"/>
      <c r="P32" s="21"/>
    </row>
    <row r="33" spans="1:16" ht="15.75" x14ac:dyDescent="0.25">
      <c r="A33" s="126"/>
      <c r="B33" s="117" t="s">
        <v>227</v>
      </c>
      <c r="C33" s="117"/>
      <c r="D33" s="117"/>
      <c r="E33" s="120"/>
      <c r="F33" s="120"/>
      <c r="G33" s="120"/>
      <c r="H33" s="120"/>
      <c r="I33" s="120"/>
      <c r="J33" s="120"/>
      <c r="K33" s="120"/>
      <c r="L33" s="120"/>
      <c r="M33" s="120"/>
      <c r="N33" s="21"/>
      <c r="O33" s="120"/>
      <c r="P33" s="21"/>
    </row>
    <row r="34" spans="1:16" ht="15.75" x14ac:dyDescent="0.25">
      <c r="A34" s="126">
        <f>+A31+1</f>
        <v>14</v>
      </c>
      <c r="B34" s="117"/>
      <c r="C34" s="117" t="s">
        <v>228</v>
      </c>
      <c r="D34" s="117"/>
      <c r="E34" s="120"/>
      <c r="F34" s="120"/>
      <c r="G34" s="120"/>
      <c r="H34" s="120"/>
      <c r="I34" s="120">
        <f>+I20+I23+I26+I29</f>
        <v>4496683</v>
      </c>
      <c r="J34" s="139"/>
      <c r="K34" s="120">
        <f>+K20+K23+K26+K29</f>
        <v>15414537.1666667</v>
      </c>
      <c r="L34" s="139"/>
      <c r="M34" s="120">
        <f>+M20+M23+M26+M29</f>
        <v>34250159.333333299</v>
      </c>
      <c r="N34" s="140"/>
      <c r="O34" s="120">
        <f>+O20+O23+O26+O29</f>
        <v>44952095.333333299</v>
      </c>
      <c r="P34" s="140"/>
    </row>
    <row r="35" spans="1:16" ht="15.75" x14ac:dyDescent="0.25">
      <c r="A35" s="126">
        <f>+A34+1</f>
        <v>15</v>
      </c>
      <c r="B35" s="117"/>
      <c r="C35" s="117" t="s">
        <v>229</v>
      </c>
      <c r="D35" s="117"/>
      <c r="E35" s="120"/>
      <c r="F35" s="120"/>
      <c r="G35" s="120"/>
      <c r="H35" s="120"/>
      <c r="I35" s="120">
        <f>+I19+I22+I25+I28</f>
        <v>0</v>
      </c>
      <c r="J35" s="139"/>
      <c r="K35" s="120">
        <f>+K19+K22+K25+K28</f>
        <v>0</v>
      </c>
      <c r="L35" s="139"/>
      <c r="M35" s="120">
        <f>+M19+M22+M25+M28</f>
        <v>0</v>
      </c>
      <c r="N35" s="140"/>
      <c r="O35" s="120">
        <f>+O19+O22+O25+O28</f>
        <v>0</v>
      </c>
      <c r="P35" s="140"/>
    </row>
    <row r="36" spans="1:16" ht="15.75" x14ac:dyDescent="0.25">
      <c r="A36" s="126">
        <f>+A35+1</f>
        <v>16</v>
      </c>
      <c r="B36" s="117"/>
      <c r="C36" s="117" t="s">
        <v>230</v>
      </c>
      <c r="D36" s="117"/>
      <c r="E36" s="120"/>
      <c r="F36" s="120"/>
      <c r="G36" s="120"/>
      <c r="H36" s="120"/>
      <c r="I36" s="120">
        <f>+I21+I24+I27+I30</f>
        <v>0</v>
      </c>
      <c r="J36" s="139"/>
      <c r="K36" s="120">
        <f>+K21+K24+K27+K30</f>
        <v>0</v>
      </c>
      <c r="L36" s="139"/>
      <c r="M36" s="120">
        <f>+M21+M24+M27+M30</f>
        <v>0</v>
      </c>
      <c r="N36" s="140"/>
      <c r="O36" s="120">
        <f>+O21+O24+O27+O30</f>
        <v>0</v>
      </c>
      <c r="P36" s="140"/>
    </row>
    <row r="37" spans="1:16" ht="16.5" thickBot="1" x14ac:dyDescent="0.3">
      <c r="A37" s="126">
        <f>+A36+1</f>
        <v>17</v>
      </c>
      <c r="B37" s="117"/>
      <c r="C37" s="126" t="s">
        <v>139</v>
      </c>
      <c r="D37" s="117"/>
      <c r="E37" s="120"/>
      <c r="F37" s="120"/>
      <c r="G37" s="120"/>
      <c r="H37" s="120"/>
      <c r="I37" s="141">
        <f>SUM(I34:I36)</f>
        <v>4496683</v>
      </c>
      <c r="J37" s="139"/>
      <c r="K37" s="141">
        <f>SUM(K34:K36)</f>
        <v>15414537.1666667</v>
      </c>
      <c r="L37" s="139"/>
      <c r="M37" s="141">
        <f>SUM(M34:M36)</f>
        <v>34250159.333333299</v>
      </c>
      <c r="N37" s="140"/>
      <c r="O37" s="141">
        <f>SUM(O34:O36)</f>
        <v>44952095.333333299</v>
      </c>
      <c r="P37" s="140"/>
    </row>
    <row r="38" spans="1:16" ht="16.5" thickTop="1" x14ac:dyDescent="0.25">
      <c r="A38" s="117"/>
      <c r="B38" s="117"/>
      <c r="C38" s="117"/>
      <c r="D38" s="117"/>
      <c r="E38" s="120"/>
      <c r="F38" s="120"/>
      <c r="G38" s="120"/>
      <c r="H38" s="120"/>
      <c r="I38" s="120"/>
      <c r="J38" s="120"/>
      <c r="K38" s="120"/>
      <c r="L38" s="120"/>
      <c r="M38" s="120"/>
      <c r="N38" s="120"/>
      <c r="O38" s="120"/>
      <c r="P38" s="21"/>
    </row>
    <row r="39" spans="1:16" ht="15.75" x14ac:dyDescent="0.25">
      <c r="A39" s="130" t="s">
        <v>206</v>
      </c>
      <c r="B39" s="15"/>
      <c r="C39" s="69"/>
      <c r="D39" s="69"/>
      <c r="E39" s="142"/>
      <c r="F39" s="142"/>
      <c r="G39" s="142"/>
      <c r="H39" s="134"/>
      <c r="I39" s="131"/>
      <c r="J39" s="131"/>
      <c r="K39" s="131"/>
      <c r="L39" s="131"/>
      <c r="M39" s="72"/>
      <c r="N39" s="72"/>
      <c r="O39" s="72"/>
      <c r="P39" s="21"/>
    </row>
    <row r="40" spans="1:16" ht="15.75" x14ac:dyDescent="0.25">
      <c r="A40" s="15"/>
      <c r="B40" s="15"/>
      <c r="C40" s="69"/>
      <c r="D40" s="143"/>
      <c r="E40" s="108"/>
      <c r="F40" s="108"/>
      <c r="G40" s="108"/>
      <c r="H40" s="108"/>
      <c r="I40" s="131"/>
      <c r="J40" s="131"/>
      <c r="K40" s="131"/>
      <c r="L40" s="131"/>
      <c r="M40" s="131"/>
      <c r="N40" s="131"/>
      <c r="O40" s="72"/>
      <c r="P40" s="21"/>
    </row>
    <row r="41" spans="1:16" ht="15.75" x14ac:dyDescent="0.25">
      <c r="A41" s="144" t="str">
        <f>A19&amp;$E$18</f>
        <v>1(a)</v>
      </c>
      <c r="B41" s="69" t="str">
        <f>'2026-07-31 Tax Depr-3YR'!L$6&amp;" Line "&amp;'2026-07-31 Tax Depr-3YR'!$A$20&amp;" Column "&amp;'2026-07-31 Tax Depr-3YR'!$F$17</f>
        <v>Page 8 of 17 Line 1 Column (a)</v>
      </c>
      <c r="C41" s="69"/>
      <c r="D41" s="144" t="str">
        <f>A25&amp;$E$18</f>
        <v>7(a)</v>
      </c>
      <c r="E41" s="69" t="str">
        <f>'2028-07-31 Tax Depr-3YR'!H$6&amp;" Line "&amp;'2028-07-31 Tax Depr-3YR'!$A$20&amp;" Column "&amp;'2028-07-31 Tax Depr-3YR'!$F$17</f>
        <v>Page 10 of 17 Line 1 Column (a)</v>
      </c>
      <c r="F41" s="69"/>
      <c r="G41" s="108"/>
      <c r="H41" s="108"/>
      <c r="I41" s="131"/>
      <c r="J41" s="144">
        <f>+A31</f>
        <v>13</v>
      </c>
      <c r="K41" s="69" t="str">
        <f>"Sum of Lines "&amp;A19&amp;"-"&amp;A30</f>
        <v>Sum of Lines 1-12</v>
      </c>
      <c r="L41" s="131"/>
      <c r="M41" s="131"/>
      <c r="N41" s="131"/>
      <c r="O41" s="72"/>
      <c r="P41" s="21"/>
    </row>
    <row r="42" spans="1:16" ht="15.75" x14ac:dyDescent="0.25">
      <c r="A42" s="144" t="str">
        <f>A19&amp;$G$18</f>
        <v>1(b)</v>
      </c>
      <c r="B42" s="69" t="str">
        <f>'2026-07-31 Tax Depr-3YR'!L$6&amp;" Line "&amp;'2026-07-31 Tax Depr-3YR'!$A$24&amp;" Column "&amp;'2026-07-31 Tax Depr-3YR'!$F$17</f>
        <v>Page 8 of 17 Line 5 Column (a)</v>
      </c>
      <c r="C42" s="69"/>
      <c r="D42" s="144" t="str">
        <f>A25&amp;$G$18</f>
        <v>7(b)</v>
      </c>
      <c r="E42" s="69" t="str">
        <f>'2028-07-31 Tax Depr-3YR'!H$6&amp;" Line "&amp;'2028-07-31 Tax Depr-3YR'!$A$24&amp;" Column "&amp;'2028-07-31 Tax Depr-3YR'!$F$17</f>
        <v>Page 10 of 17 Line 5 Column (a)</v>
      </c>
      <c r="F42" s="69"/>
      <c r="G42" s="108"/>
      <c r="H42" s="108"/>
      <c r="I42" s="131"/>
      <c r="J42" s="144">
        <f>+A34</f>
        <v>14</v>
      </c>
      <c r="K42" s="69" t="str">
        <f>"Sum of Lines "&amp;A20&amp;", "&amp;A23&amp;", "&amp;A26&amp;", "&amp;A29&amp;""</f>
        <v>Sum of Lines 2, 5, 8, 11</v>
      </c>
      <c r="L42" s="131"/>
      <c r="M42" s="131"/>
      <c r="N42" s="131"/>
      <c r="O42" s="72"/>
      <c r="P42" s="21"/>
    </row>
    <row r="43" spans="1:16" ht="15.75" x14ac:dyDescent="0.25">
      <c r="A43" s="144" t="str">
        <f>A19&amp;I$18</f>
        <v>1(c)</v>
      </c>
      <c r="B43" s="69" t="str">
        <f>"Line "&amp;A19&amp;$G$18</f>
        <v>Line 1(b)</v>
      </c>
      <c r="C43" s="69"/>
      <c r="D43" s="144" t="str">
        <f>A25&amp;$M$18</f>
        <v>7(e)</v>
      </c>
      <c r="E43" s="69" t="str">
        <f>"Line "&amp;A25&amp;$G$18</f>
        <v>Line 7(b)</v>
      </c>
      <c r="F43" s="69"/>
      <c r="G43" s="108"/>
      <c r="H43" s="108"/>
      <c r="I43" s="131"/>
      <c r="J43" s="144">
        <f t="shared" ref="J43:J45" si="1">+A35</f>
        <v>15</v>
      </c>
      <c r="K43" s="69" t="str">
        <f>"Sum of Lines "&amp;A19&amp;", "&amp;A22&amp;", "&amp;A25&amp;", "&amp;A28</f>
        <v>Sum of Lines 1, 4, 7, 10</v>
      </c>
      <c r="L43" s="131"/>
      <c r="M43" s="131"/>
      <c r="N43" s="131"/>
      <c r="O43" s="72"/>
      <c r="P43" s="21"/>
    </row>
    <row r="44" spans="1:16" ht="15.75" x14ac:dyDescent="0.25">
      <c r="A44" s="144" t="str">
        <f>A20&amp;I$18&amp;" - "&amp;A20&amp;O18</f>
        <v>2(c) - 2(f)</v>
      </c>
      <c r="B44" s="69" t="str">
        <f>'2026-07-31 Tax Depr-3YR'!L6&amp;" Line "&amp;'2026-07-31 Tax Depr-3YR'!A31&amp;" Columns "&amp;'2026-07-31 Tax Depr-3YR'!F17&amp; " through "&amp;'2026-07-31 Tax Depr-3YR'!L17</f>
        <v>Page 8 of 17 Line 12 Columns (a) through (d)</v>
      </c>
      <c r="C44" s="69"/>
      <c r="D44" s="144" t="str">
        <f>A26&amp;M$18&amp;" - "&amp;A26&amp;O18</f>
        <v>8(e) - 8(f)</v>
      </c>
      <c r="E44" s="69" t="str">
        <f>'2028-07-31 Tax Depr-3YR'!J$6&amp;" Line "&amp;'2028-07-31 Tax Depr-3YR'!$A$31&amp;" Column "&amp;'2028-07-31 Tax Depr-3YR'!$F$17&amp; " through "&amp;'2028-07-31 Tax Depr-3YR'!H17</f>
        <v xml:space="preserve"> Line 12 Column (a) through (b)</v>
      </c>
      <c r="F44" s="69"/>
      <c r="G44" s="108"/>
      <c r="H44" s="108"/>
      <c r="I44" s="131"/>
      <c r="J44" s="144">
        <f t="shared" si="1"/>
        <v>16</v>
      </c>
      <c r="K44" s="69" t="str">
        <f>"Sum of Lines "&amp;A21&amp;", "&amp;A24&amp;", "&amp;A27&amp;", "&amp;A30</f>
        <v>Sum of Lines 3, 6, 9, 12</v>
      </c>
      <c r="L44" s="131"/>
      <c r="M44" s="131"/>
      <c r="N44" s="131"/>
      <c r="O44" s="72"/>
      <c r="P44" s="21"/>
    </row>
    <row r="45" spans="1:16" ht="15.75" x14ac:dyDescent="0.25">
      <c r="A45" s="144" t="str">
        <f>A21&amp;$I$18</f>
        <v>3(c)</v>
      </c>
      <c r="B45" s="69" t="str">
        <f>'2026-07-31 Tax Depr-3YR'!L$6&amp;" Line "&amp;'2026-07-31 Tax Depr-3YR'!$A$33&amp;" Column "&amp;'2026-07-31 Tax Depr-3YR'!$F$17</f>
        <v>Page 8 of 17 Line 14 Column (a)</v>
      </c>
      <c r="C45" s="69"/>
      <c r="D45" s="144" t="str">
        <f>A27&amp;$M$18</f>
        <v>9(e)</v>
      </c>
      <c r="E45" s="69" t="str">
        <f>'2028-07-31 Tax Depr-3YR'!H$6&amp;" Line "&amp;'2028-07-31 Tax Depr-3YR'!$A$33&amp;" Column "&amp;'2028-07-31 Tax Depr-3YR'!$F$17</f>
        <v>Page 10 of 17 Line 14 Column (a)</v>
      </c>
      <c r="F45" s="69"/>
      <c r="G45" s="108"/>
      <c r="H45" s="108"/>
      <c r="I45" s="131"/>
      <c r="J45" s="144">
        <f t="shared" si="1"/>
        <v>17</v>
      </c>
      <c r="K45" s="69" t="str">
        <f>"Sum of Lines "&amp;A34&amp;" thru "&amp;A36</f>
        <v>Sum of Lines 14 thru 16</v>
      </c>
      <c r="L45" s="131"/>
      <c r="M45" s="131"/>
      <c r="N45" s="131"/>
      <c r="O45" s="72"/>
      <c r="P45" s="21"/>
    </row>
    <row r="46" spans="1:16" ht="15.75" x14ac:dyDescent="0.25">
      <c r="A46" s="144" t="str">
        <f>A22&amp;$E$18</f>
        <v>4(a)</v>
      </c>
      <c r="B46" s="69" t="str">
        <f>'2027-07-31 Tax Depr-3YR'!J$6&amp;" Line "&amp;'2027-07-31 Tax Depr-3YR'!$A$20&amp;" Column "&amp;'2027-07-31 Tax Depr-3YR'!$F$17</f>
        <v>Page 9 of 17 Line 1 Column (a)</v>
      </c>
      <c r="C46" s="69"/>
      <c r="D46" s="144" t="str">
        <f>A28&amp;$E$18</f>
        <v>10(a)</v>
      </c>
      <c r="E46" s="69" t="str">
        <f>'2029-07-31 Tax Depr-3YR'!F$6&amp;" Line "&amp;'2029-07-31 Tax Depr-3YR'!$A$20&amp;" Column "&amp;'2029-07-31 Tax Depr-3YR'!$F$17</f>
        <v>Page 11 of 17 Line 1 Column (a)</v>
      </c>
      <c r="F46" s="108"/>
      <c r="G46" s="108"/>
      <c r="H46" s="108"/>
      <c r="I46" s="131"/>
      <c r="J46" s="131"/>
      <c r="K46" s="131"/>
      <c r="L46" s="131"/>
      <c r="M46" s="131"/>
      <c r="N46" s="131"/>
      <c r="O46" s="72"/>
      <c r="P46" s="21"/>
    </row>
    <row r="47" spans="1:16" ht="15.75" x14ac:dyDescent="0.25">
      <c r="A47" s="144" t="str">
        <f>A22&amp;$G$18</f>
        <v>4(b)</v>
      </c>
      <c r="B47" s="69" t="str">
        <f>'2027-07-31 Tax Depr-3YR'!J$6&amp;" Line "&amp;'2027-07-31 Tax Depr-3YR'!$A$24&amp;" Column "&amp;'2027-07-31 Tax Depr-3YR'!$F$17</f>
        <v>Page 9 of 17 Line 5 Column (a)</v>
      </c>
      <c r="C47" s="69"/>
      <c r="D47" s="144" t="str">
        <f>A28&amp;$G$18</f>
        <v>10(b)</v>
      </c>
      <c r="E47" s="69" t="str">
        <f>'2029-07-31 Tax Depr-3YR'!F$6&amp;" Line "&amp;'2029-07-31 Tax Depr-3YR'!$A$24&amp;" Column "&amp;'2029-07-31 Tax Depr-3YR'!$F$17</f>
        <v>Page 11 of 17 Line 5 Column (a)</v>
      </c>
      <c r="F47" s="108"/>
      <c r="G47" s="108"/>
      <c r="H47" s="108"/>
      <c r="I47" s="131"/>
      <c r="J47" s="131"/>
      <c r="K47" s="131"/>
      <c r="L47" s="131"/>
      <c r="M47" s="131"/>
      <c r="N47" s="131"/>
      <c r="O47" s="72"/>
      <c r="P47" s="72"/>
    </row>
    <row r="48" spans="1:16" ht="15.75" x14ac:dyDescent="0.25">
      <c r="A48" s="144" t="str">
        <f>A22&amp;$K$18</f>
        <v>4(d)</v>
      </c>
      <c r="B48" s="69" t="str">
        <f>"Line "&amp;A22&amp;$G$18</f>
        <v>Line 4(b)</v>
      </c>
      <c r="C48" s="69"/>
      <c r="D48" s="144" t="str">
        <f>A28&amp;$O$18</f>
        <v>10(f)</v>
      </c>
      <c r="E48" s="69" t="str">
        <f>"Line "&amp;A28&amp;$G$18</f>
        <v>Line 10(b)</v>
      </c>
      <c r="F48" s="108"/>
      <c r="G48" s="108"/>
      <c r="H48" s="108"/>
      <c r="I48" s="131"/>
      <c r="J48" s="131"/>
      <c r="K48" s="131"/>
      <c r="L48" s="131"/>
      <c r="M48" s="131"/>
      <c r="N48" s="131"/>
      <c r="O48" s="72"/>
      <c r="P48" s="72"/>
    </row>
    <row r="49" spans="1:16" ht="15.75" x14ac:dyDescent="0.25">
      <c r="A49" s="144" t="str">
        <f>A23&amp;K$18&amp;" - "&amp;A23&amp;O18</f>
        <v>5(d) - 5(f)</v>
      </c>
      <c r="B49" s="69" t="str">
        <f>'2027-07-31 Tax Depr-3YR'!J$6&amp;" Line "&amp;'2027-07-31 Tax Depr-3YR'!$A$31&amp;" Column "&amp;'2027-07-31 Tax Depr-3YR'!$F$17&amp; " through "&amp;'2027-07-31 Tax Depr-3YR'!J17</f>
        <v>Page 9 of 17 Line 12 Column (a) through (c)</v>
      </c>
      <c r="C49" s="69"/>
      <c r="D49" s="144" t="str">
        <f>A29&amp;O$18</f>
        <v>11(f)</v>
      </c>
      <c r="E49" s="69" t="str">
        <f>'2029-07-31 Tax Depr-3YR'!F$6&amp;" Line "&amp;'2029-07-31 Tax Depr-3YR'!$A$31&amp;" Column "&amp;'2029-07-31 Tax Depr-3YR'!$F$17</f>
        <v>Page 11 of 17 Line 12 Column (a)</v>
      </c>
      <c r="F49" s="108"/>
      <c r="G49" s="108"/>
      <c r="H49" s="108"/>
      <c r="I49" s="131"/>
      <c r="J49" s="131"/>
      <c r="K49" s="131"/>
      <c r="L49" s="131"/>
      <c r="M49" s="131"/>
      <c r="N49" s="131"/>
      <c r="O49" s="72"/>
      <c r="P49" s="72"/>
    </row>
    <row r="50" spans="1:16" ht="15.75" x14ac:dyDescent="0.25">
      <c r="A50" s="144" t="str">
        <f>A24&amp;$K$18</f>
        <v>6(d)</v>
      </c>
      <c r="B50" s="69" t="str">
        <f>'2027-07-31 Tax Depr-3YR'!J$6&amp;" Line "&amp;'2027-07-31 Tax Depr-3YR'!$A$33&amp;" Column "&amp;'2027-07-31 Tax Depr-3YR'!$F$17</f>
        <v>Page 9 of 17 Line 14 Column (a)</v>
      </c>
      <c r="C50" s="69"/>
      <c r="D50" s="144" t="str">
        <f>A30&amp;$O$18</f>
        <v>12(f)</v>
      </c>
      <c r="E50" s="69" t="str">
        <f>'2029-07-31 Tax Depr-3YR'!F$6&amp;" Line "&amp;'2029-07-31 Tax Depr-3YR'!$A$33&amp;" Column "&amp;'2029-07-31 Tax Depr-3YR'!$F$17</f>
        <v>Page 11 of 17 Line 14 Column (a)</v>
      </c>
      <c r="F50" s="108"/>
      <c r="G50" s="108"/>
      <c r="H50" s="108"/>
      <c r="I50" s="131"/>
      <c r="J50" s="120"/>
      <c r="K50" s="120"/>
      <c r="L50" s="120"/>
      <c r="M50" s="120"/>
      <c r="N50" s="131"/>
      <c r="O50" s="72"/>
      <c r="P50" s="72"/>
    </row>
    <row r="51" spans="1:16" ht="15.75" x14ac:dyDescent="0.25">
      <c r="A51" s="21"/>
      <c r="B51" s="21"/>
      <c r="C51" s="21"/>
      <c r="D51" s="64"/>
      <c r="E51" s="131"/>
      <c r="F51" s="108"/>
      <c r="G51" s="108"/>
      <c r="H51" s="108"/>
      <c r="I51" s="131"/>
      <c r="J51" s="120"/>
      <c r="K51" s="120"/>
      <c r="L51" s="120"/>
      <c r="M51" s="120"/>
      <c r="N51" s="131"/>
      <c r="O51" s="72"/>
      <c r="P51" s="72"/>
    </row>
    <row r="52" spans="1:16" x14ac:dyDescent="0.25">
      <c r="D52" s="8"/>
      <c r="E52" s="17"/>
      <c r="F52" s="12"/>
      <c r="G52" s="12"/>
      <c r="H52" s="12"/>
      <c r="I52" s="17"/>
      <c r="J52" s="14"/>
      <c r="K52" s="14"/>
      <c r="L52" s="14"/>
      <c r="M52" s="14"/>
      <c r="N52" s="17"/>
      <c r="O52" s="7"/>
      <c r="P52" s="7"/>
    </row>
    <row r="53" spans="1:16" x14ac:dyDescent="0.25">
      <c r="D53" s="8"/>
      <c r="E53" s="17"/>
      <c r="F53" s="12"/>
      <c r="G53" s="12"/>
      <c r="H53" s="12"/>
      <c r="I53" s="17"/>
      <c r="J53" s="13"/>
      <c r="K53" s="13"/>
      <c r="L53" s="13"/>
      <c r="M53" s="13"/>
      <c r="N53" s="17"/>
      <c r="O53" s="7"/>
      <c r="P53" s="7"/>
    </row>
    <row r="54" spans="1:16" x14ac:dyDescent="0.25">
      <c r="D54" s="8"/>
      <c r="E54" s="17"/>
      <c r="F54" s="12"/>
      <c r="G54" s="12"/>
      <c r="H54" s="12"/>
      <c r="I54" s="17"/>
      <c r="J54" s="13"/>
      <c r="K54" s="13"/>
      <c r="L54" s="13"/>
      <c r="M54" s="13"/>
      <c r="N54" s="17"/>
      <c r="O54" s="7"/>
      <c r="P54" s="7"/>
    </row>
    <row r="55" spans="1:16" x14ac:dyDescent="0.25">
      <c r="D55" s="13"/>
      <c r="E55" s="17"/>
      <c r="F55" s="14"/>
      <c r="G55" s="14"/>
      <c r="H55" s="14"/>
      <c r="I55" s="14"/>
      <c r="J55" s="13"/>
      <c r="K55" s="13"/>
      <c r="L55" s="13"/>
      <c r="M55" s="13"/>
      <c r="N55" s="14"/>
      <c r="O55" s="14"/>
      <c r="P55" s="14"/>
    </row>
    <row r="56" spans="1:16" x14ac:dyDescent="0.25">
      <c r="D56" s="13"/>
      <c r="E56" s="17"/>
      <c r="F56" s="14"/>
      <c r="G56" s="14"/>
      <c r="H56" s="14"/>
      <c r="I56" s="14"/>
      <c r="J56" s="13"/>
      <c r="K56" s="13"/>
      <c r="L56" s="13"/>
      <c r="M56" s="13"/>
      <c r="N56" s="14"/>
      <c r="O56" s="14"/>
      <c r="P56" s="14"/>
    </row>
    <row r="57" spans="1:16" x14ac:dyDescent="0.25">
      <c r="A57" s="16"/>
      <c r="B57" s="9"/>
      <c r="C57" s="9"/>
      <c r="D57" s="13"/>
      <c r="E57" s="17"/>
      <c r="F57" s="14"/>
      <c r="G57" s="14"/>
      <c r="H57" s="14"/>
      <c r="I57" s="14"/>
      <c r="N57" s="14"/>
      <c r="O57" s="14"/>
      <c r="P57" s="14"/>
    </row>
    <row r="58" spans="1:16" x14ac:dyDescent="0.25">
      <c r="A58" s="10"/>
      <c r="B58" s="9"/>
      <c r="C58" s="9"/>
      <c r="D58" s="13"/>
      <c r="E58" s="17"/>
      <c r="F58" s="13"/>
      <c r="G58" s="13"/>
      <c r="H58" s="13"/>
      <c r="I58" s="13"/>
      <c r="N58" s="13"/>
      <c r="O58" s="13"/>
      <c r="P58" s="13"/>
    </row>
    <row r="59" spans="1:16" x14ac:dyDescent="0.25">
      <c r="A59" s="16"/>
      <c r="B59" s="9"/>
      <c r="C59" s="9"/>
      <c r="D59" s="13"/>
      <c r="E59" s="17"/>
      <c r="F59" s="13"/>
      <c r="G59" s="13"/>
      <c r="H59" s="13"/>
      <c r="I59" s="13"/>
      <c r="N59" s="13"/>
      <c r="O59" s="13"/>
      <c r="P59" s="13"/>
    </row>
    <row r="60" spans="1:16" x14ac:dyDescent="0.25">
      <c r="A60" s="16"/>
      <c r="B60" s="9"/>
      <c r="C60" s="9"/>
      <c r="D60" s="13"/>
      <c r="E60" s="13"/>
      <c r="F60" s="13"/>
      <c r="G60" s="13"/>
      <c r="H60" s="13"/>
      <c r="I60" s="13"/>
      <c r="N60" s="13"/>
      <c r="O60" s="13"/>
      <c r="P60" s="13"/>
    </row>
    <row r="61" spans="1:16" x14ac:dyDescent="0.25">
      <c r="A61" s="16"/>
      <c r="B61" s="13"/>
      <c r="C61" s="13"/>
      <c r="D61" s="13"/>
      <c r="E61" s="13"/>
      <c r="F61" s="13"/>
      <c r="G61" s="13"/>
      <c r="H61" s="13"/>
      <c r="I61" s="13"/>
      <c r="N61" s="13"/>
      <c r="O61" s="13"/>
      <c r="P61" s="13"/>
    </row>
  </sheetData>
  <mergeCells count="4">
    <mergeCell ref="I15:O15"/>
    <mergeCell ref="A10:O10"/>
    <mergeCell ref="A11:O11"/>
    <mergeCell ref="A12:O12"/>
  </mergeCells>
  <pageMargins left="0.95" right="0.7" top="0.75" bottom="0.75" header="0.3" footer="0.3"/>
  <pageSetup scale="5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46F27-20AD-45D6-BEE0-914AF967C1C1}">
  <sheetPr>
    <pageSetUpPr fitToPage="1"/>
  </sheetPr>
  <dimension ref="A1:L39"/>
  <sheetViews>
    <sheetView topLeftCell="C1" workbookViewId="0">
      <selection activeCell="C1" sqref="C1:L6"/>
    </sheetView>
  </sheetViews>
  <sheetFormatPr defaultColWidth="9.140625" defaultRowHeight="15.75" x14ac:dyDescent="0.25"/>
  <cols>
    <col min="1" max="2" width="4.42578125" style="21" customWidth="1"/>
    <col min="3" max="3" width="56" style="21" customWidth="1"/>
    <col min="4" max="4" width="37" style="21" customWidth="1"/>
    <col min="5" max="5" width="3.7109375" style="21" customWidth="1"/>
    <col min="6" max="6" width="16.28515625" style="21" customWidth="1"/>
    <col min="7" max="7" width="3.7109375" style="21" customWidth="1"/>
    <col min="8" max="8" width="15.7109375" style="21" customWidth="1"/>
    <col min="9" max="9" width="3.7109375" style="21" customWidth="1"/>
    <col min="10" max="10" width="17.28515625" style="21" customWidth="1"/>
    <col min="11" max="11" width="2.7109375" style="21" customWidth="1"/>
    <col min="12" max="12" width="17" style="21" customWidth="1"/>
    <col min="13" max="16384" width="9.140625" style="21"/>
  </cols>
  <sheetData>
    <row r="1" spans="1:12" x14ac:dyDescent="0.25">
      <c r="A1" s="59"/>
      <c r="B1" s="59"/>
      <c r="C1" s="115"/>
      <c r="D1" s="115"/>
      <c r="E1" s="115"/>
      <c r="F1" s="115"/>
      <c r="G1" s="115"/>
      <c r="H1" s="115"/>
      <c r="I1" s="115"/>
      <c r="J1" s="132"/>
      <c r="K1" s="132"/>
      <c r="L1" s="110" t="s">
        <v>20</v>
      </c>
    </row>
    <row r="2" spans="1:12" x14ac:dyDescent="0.25">
      <c r="A2" s="59"/>
      <c r="B2" s="59"/>
      <c r="C2" s="115"/>
      <c r="D2" s="115"/>
      <c r="E2" s="115"/>
      <c r="F2" s="115"/>
      <c r="G2" s="115"/>
      <c r="H2" s="115"/>
      <c r="I2" s="115"/>
      <c r="J2" s="132"/>
      <c r="K2" s="132"/>
      <c r="L2" s="110" t="str">
        <f>+'ADIT 1 Electric'!$G$2</f>
        <v>d/b/a RHODE ISLAND ENERGY</v>
      </c>
    </row>
    <row r="3" spans="1:12" x14ac:dyDescent="0.25">
      <c r="A3" s="59"/>
      <c r="B3" s="59"/>
      <c r="C3" s="115"/>
      <c r="D3" s="115"/>
      <c r="E3" s="115"/>
      <c r="F3" s="115"/>
      <c r="G3" s="115"/>
      <c r="H3" s="115"/>
      <c r="I3" s="115"/>
      <c r="J3" s="132"/>
      <c r="K3" s="132"/>
      <c r="L3" s="110" t="str">
        <f>+'ADIT 1 Electric'!$G$3</f>
        <v>RIPUC Docket No. 25-45-GE</v>
      </c>
    </row>
    <row r="4" spans="1:12" hidden="1" x14ac:dyDescent="0.25">
      <c r="A4" s="59"/>
      <c r="B4" s="59"/>
      <c r="C4" s="115"/>
      <c r="D4" s="115"/>
      <c r="E4" s="115"/>
      <c r="F4" s="115"/>
      <c r="G4" s="115"/>
      <c r="H4" s="115"/>
      <c r="I4" s="115"/>
      <c r="J4" s="132"/>
      <c r="K4" s="132"/>
      <c r="L4" s="110" t="str">
        <f>+'ADIT 1 Electric'!$G$4</f>
        <v>Compliance Attachment 2</v>
      </c>
    </row>
    <row r="5" spans="1:12" x14ac:dyDescent="0.25">
      <c r="A5" s="59"/>
      <c r="B5" s="59"/>
      <c r="C5" s="115"/>
      <c r="D5" s="115"/>
      <c r="E5" s="115"/>
      <c r="F5" s="115"/>
      <c r="G5" s="115"/>
      <c r="H5" s="115"/>
      <c r="I5" s="115"/>
      <c r="J5" s="132"/>
      <c r="K5" s="132"/>
      <c r="L5" s="110" t="str">
        <f>+'ADIT 1 Electric'!$G$5</f>
        <v>Schedule NH-3-ELEC</v>
      </c>
    </row>
    <row r="6" spans="1:12" x14ac:dyDescent="0.25">
      <c r="A6" s="59"/>
      <c r="B6" s="59"/>
      <c r="C6" s="115"/>
      <c r="D6" s="115"/>
      <c r="E6" s="115"/>
      <c r="F6" s="115"/>
      <c r="G6" s="115"/>
      <c r="H6" s="115"/>
      <c r="I6" s="115"/>
      <c r="J6" s="132"/>
      <c r="K6" s="132"/>
      <c r="L6" s="110" t="s">
        <v>231</v>
      </c>
    </row>
    <row r="7" spans="1:12" x14ac:dyDescent="0.25">
      <c r="A7" s="59"/>
      <c r="B7" s="59"/>
      <c r="C7" s="59"/>
      <c r="D7" s="59"/>
      <c r="E7" s="59"/>
      <c r="F7" s="59"/>
      <c r="G7" s="59"/>
      <c r="H7" s="59"/>
      <c r="I7" s="59"/>
      <c r="J7" s="133"/>
      <c r="K7" s="133"/>
      <c r="L7" s="59"/>
    </row>
    <row r="8" spans="1:12" x14ac:dyDescent="0.25">
      <c r="A8" s="117"/>
      <c r="B8" s="117"/>
      <c r="C8" s="117"/>
      <c r="D8" s="117"/>
      <c r="E8" s="117"/>
      <c r="F8" s="117"/>
      <c r="G8" s="117"/>
      <c r="H8" s="117"/>
      <c r="I8" s="117"/>
      <c r="J8" s="117"/>
      <c r="K8" s="117"/>
      <c r="L8" s="117"/>
    </row>
    <row r="9" spans="1:12" x14ac:dyDescent="0.25">
      <c r="A9" s="145"/>
      <c r="B9" s="145"/>
      <c r="C9" s="146"/>
      <c r="D9" s="146"/>
      <c r="E9" s="146"/>
      <c r="F9" s="146"/>
      <c r="G9" s="146"/>
      <c r="H9" s="146"/>
      <c r="I9" s="146"/>
      <c r="J9" s="146"/>
      <c r="K9" s="146"/>
      <c r="L9" s="146"/>
    </row>
    <row r="10" spans="1:12" x14ac:dyDescent="0.25">
      <c r="A10" s="353" t="str">
        <f>+'ADIT 1 Electric'!$A$10</f>
        <v>The Narragansett Electric Company d/b/a Rhode Island Energy</v>
      </c>
      <c r="B10" s="353"/>
      <c r="C10" s="353"/>
      <c r="D10" s="353"/>
      <c r="E10" s="353"/>
      <c r="F10" s="353"/>
      <c r="G10" s="353"/>
      <c r="H10" s="353"/>
      <c r="I10" s="353"/>
      <c r="J10" s="353"/>
      <c r="K10" s="353"/>
      <c r="L10" s="353"/>
    </row>
    <row r="11" spans="1:12" x14ac:dyDescent="0.25">
      <c r="A11" s="146" t="s">
        <v>232</v>
      </c>
      <c r="B11" s="146"/>
      <c r="C11" s="146"/>
      <c r="D11" s="146"/>
      <c r="E11" s="146"/>
      <c r="F11" s="146"/>
      <c r="G11" s="146"/>
      <c r="H11" s="146"/>
      <c r="I11" s="146"/>
      <c r="J11" s="146"/>
      <c r="K11" s="146"/>
      <c r="L11" s="146"/>
    </row>
    <row r="12" spans="1:12" x14ac:dyDescent="0.25">
      <c r="A12" s="146" t="s">
        <v>233</v>
      </c>
      <c r="B12" s="146"/>
      <c r="C12" s="146"/>
      <c r="D12" s="146"/>
      <c r="E12" s="146"/>
      <c r="F12" s="146"/>
      <c r="G12" s="146"/>
      <c r="H12" s="146"/>
      <c r="I12" s="146"/>
      <c r="J12" s="146"/>
      <c r="K12" s="146"/>
      <c r="L12" s="146"/>
    </row>
    <row r="13" spans="1:12" x14ac:dyDescent="0.25">
      <c r="A13" s="121"/>
      <c r="B13" s="121"/>
      <c r="C13" s="121"/>
      <c r="D13" s="121"/>
      <c r="E13" s="121"/>
      <c r="F13" s="121"/>
      <c r="G13" s="121"/>
      <c r="H13" s="121"/>
      <c r="I13" s="121"/>
      <c r="J13" s="146"/>
      <c r="K13" s="146"/>
      <c r="L13" s="146"/>
    </row>
    <row r="14" spans="1:12" x14ac:dyDescent="0.25">
      <c r="A14" s="121"/>
      <c r="B14" s="121"/>
      <c r="C14" s="121"/>
      <c r="D14" s="121"/>
      <c r="E14" s="121"/>
      <c r="F14" s="121"/>
      <c r="G14" s="121"/>
      <c r="H14" s="121"/>
      <c r="I14" s="121"/>
      <c r="J14" s="146"/>
      <c r="K14" s="146"/>
      <c r="L14" s="146"/>
    </row>
    <row r="15" spans="1:12" x14ac:dyDescent="0.25">
      <c r="A15" s="24" t="s">
        <v>1</v>
      </c>
      <c r="B15" s="121"/>
      <c r="C15" s="121"/>
      <c r="D15" s="121"/>
      <c r="E15" s="121"/>
      <c r="F15" s="15" t="s">
        <v>198</v>
      </c>
      <c r="G15" s="121"/>
      <c r="H15" s="24" t="s">
        <v>135</v>
      </c>
      <c r="I15" s="121"/>
      <c r="J15" s="24" t="s">
        <v>136</v>
      </c>
      <c r="K15" s="24"/>
      <c r="L15" s="62" t="s">
        <v>137</v>
      </c>
    </row>
    <row r="16" spans="1:12" x14ac:dyDescent="0.25">
      <c r="A16" s="25" t="s">
        <v>530</v>
      </c>
      <c r="B16" s="121"/>
      <c r="C16" s="121"/>
      <c r="D16" s="25" t="s">
        <v>86</v>
      </c>
      <c r="E16" s="121"/>
      <c r="F16" s="63">
        <v>46234</v>
      </c>
      <c r="H16" s="63">
        <f>EDATE(F16,12)</f>
        <v>46599</v>
      </c>
      <c r="I16" s="121"/>
      <c r="J16" s="63">
        <f>EDATE(H16,12)</f>
        <v>46965</v>
      </c>
      <c r="L16" s="63">
        <f>EDATE(J16,12)</f>
        <v>47330</v>
      </c>
    </row>
    <row r="17" spans="1:12" x14ac:dyDescent="0.25">
      <c r="A17" s="147"/>
      <c r="B17" s="147"/>
      <c r="C17" s="121"/>
      <c r="E17" s="121"/>
      <c r="F17" s="148" t="s">
        <v>8</v>
      </c>
      <c r="G17" s="148"/>
      <c r="H17" s="148" t="s">
        <v>9</v>
      </c>
      <c r="I17" s="121"/>
      <c r="J17" s="148" t="s">
        <v>10</v>
      </c>
      <c r="K17" s="121"/>
      <c r="L17" s="148" t="s">
        <v>25</v>
      </c>
    </row>
    <row r="18" spans="1:12" x14ac:dyDescent="0.25">
      <c r="A18" s="148"/>
      <c r="B18" s="148"/>
      <c r="C18" s="149"/>
      <c r="D18" s="150"/>
      <c r="E18" s="150"/>
      <c r="F18" s="150"/>
      <c r="G18" s="150"/>
      <c r="H18" s="150"/>
      <c r="I18" s="150"/>
      <c r="J18" s="151"/>
      <c r="K18" s="151"/>
      <c r="L18" s="151"/>
    </row>
    <row r="19" spans="1:12" x14ac:dyDescent="0.25">
      <c r="A19" s="148"/>
      <c r="B19" s="148"/>
      <c r="C19" s="150" t="s">
        <v>234</v>
      </c>
      <c r="D19" s="150"/>
      <c r="E19" s="150"/>
      <c r="F19" s="150"/>
      <c r="G19" s="150"/>
    </row>
    <row r="20" spans="1:12" x14ac:dyDescent="0.25">
      <c r="A20" s="148">
        <f t="shared" ref="A20:A35" si="0">+A19+1</f>
        <v>1</v>
      </c>
      <c r="B20" s="148"/>
      <c r="C20" s="121" t="s">
        <v>235</v>
      </c>
      <c r="D20" s="148" t="s">
        <v>236</v>
      </c>
      <c r="E20" s="148"/>
      <c r="F20" s="152">
        <v>26980100</v>
      </c>
      <c r="G20" s="148"/>
    </row>
    <row r="21" spans="1:12" x14ac:dyDescent="0.25">
      <c r="A21" s="148">
        <f t="shared" si="0"/>
        <v>2</v>
      </c>
      <c r="B21" s="148"/>
      <c r="C21" s="121" t="s">
        <v>237</v>
      </c>
      <c r="D21" s="148"/>
      <c r="E21" s="148"/>
      <c r="F21" s="153">
        <v>0</v>
      </c>
      <c r="G21" s="148"/>
    </row>
    <row r="22" spans="1:12" x14ac:dyDescent="0.25">
      <c r="A22" s="148">
        <f t="shared" si="0"/>
        <v>3</v>
      </c>
      <c r="B22" s="148"/>
      <c r="C22" s="121" t="s">
        <v>238</v>
      </c>
      <c r="D22" s="148" t="s">
        <v>239</v>
      </c>
      <c r="E22" s="148"/>
      <c r="F22" s="152">
        <f>SUM(F20:F21)</f>
        <v>26980100</v>
      </c>
      <c r="G22" s="148"/>
    </row>
    <row r="23" spans="1:12" x14ac:dyDescent="0.25">
      <c r="A23" s="148">
        <f t="shared" si="0"/>
        <v>4</v>
      </c>
      <c r="B23" s="148"/>
      <c r="C23" s="121" t="s">
        <v>240</v>
      </c>
      <c r="D23" s="148" t="s">
        <v>241</v>
      </c>
      <c r="E23" s="148"/>
      <c r="F23" s="154">
        <v>0</v>
      </c>
      <c r="G23" s="148"/>
    </row>
    <row r="24" spans="1:12" x14ac:dyDescent="0.25">
      <c r="A24" s="148">
        <f t="shared" si="0"/>
        <v>5</v>
      </c>
      <c r="B24" s="148"/>
      <c r="C24" s="121" t="s">
        <v>234</v>
      </c>
      <c r="D24" s="148" t="s">
        <v>242</v>
      </c>
      <c r="E24" s="148"/>
      <c r="F24" s="152">
        <f>+F22*F23</f>
        <v>0</v>
      </c>
      <c r="G24" s="148"/>
    </row>
    <row r="25" spans="1:12" x14ac:dyDescent="0.25">
      <c r="A25" s="148">
        <f t="shared" si="0"/>
        <v>6</v>
      </c>
      <c r="B25" s="148"/>
      <c r="C25" s="121"/>
      <c r="D25" s="148"/>
      <c r="E25" s="148"/>
      <c r="F25" s="121"/>
      <c r="G25" s="148"/>
    </row>
    <row r="26" spans="1:12" x14ac:dyDescent="0.25">
      <c r="A26" s="148">
        <f t="shared" si="0"/>
        <v>7</v>
      </c>
      <c r="B26" s="148"/>
      <c r="C26" s="150" t="s">
        <v>243</v>
      </c>
      <c r="D26" s="147"/>
      <c r="E26" s="147"/>
      <c r="F26" s="121"/>
      <c r="G26" s="147"/>
    </row>
    <row r="27" spans="1:12" x14ac:dyDescent="0.25">
      <c r="A27" s="148">
        <f t="shared" si="0"/>
        <v>8</v>
      </c>
      <c r="B27" s="148"/>
      <c r="C27" s="121" t="s">
        <v>244</v>
      </c>
      <c r="D27" s="148" t="s">
        <v>245</v>
      </c>
      <c r="E27" s="148"/>
      <c r="F27" s="152">
        <f>+F20</f>
        <v>26980100</v>
      </c>
      <c r="G27" s="148"/>
    </row>
    <row r="28" spans="1:12" x14ac:dyDescent="0.25">
      <c r="A28" s="148">
        <f t="shared" si="0"/>
        <v>9</v>
      </c>
      <c r="B28" s="148"/>
      <c r="C28" s="121" t="s">
        <v>246</v>
      </c>
      <c r="D28" s="148" t="s">
        <v>95</v>
      </c>
      <c r="E28" s="148"/>
      <c r="F28" s="152">
        <f>-+F24</f>
        <v>0</v>
      </c>
      <c r="G28" s="148"/>
    </row>
    <row r="29" spans="1:12" x14ac:dyDescent="0.25">
      <c r="A29" s="148">
        <f t="shared" si="0"/>
        <v>10</v>
      </c>
      <c r="B29" s="148"/>
      <c r="C29" s="121" t="s">
        <v>247</v>
      </c>
      <c r="D29" s="148" t="s">
        <v>248</v>
      </c>
      <c r="E29" s="148"/>
      <c r="F29" s="155">
        <f>SUM(F27:F28)</f>
        <v>26980100</v>
      </c>
      <c r="G29" s="148"/>
      <c r="H29" s="152">
        <f>+F29</f>
        <v>26980100</v>
      </c>
      <c r="I29" s="148"/>
      <c r="J29" s="152">
        <f>+H29</f>
        <v>26980100</v>
      </c>
      <c r="L29" s="152">
        <f>+J29</f>
        <v>26980100</v>
      </c>
    </row>
    <row r="30" spans="1:12" x14ac:dyDescent="0.25">
      <c r="A30" s="148">
        <f t="shared" si="0"/>
        <v>11</v>
      </c>
      <c r="B30" s="148"/>
      <c r="C30" s="121" t="s">
        <v>249</v>
      </c>
      <c r="D30" s="148" t="str">
        <f>'Elect Tax Depr Summary'!M6</f>
        <v>Page 5 of 17</v>
      </c>
      <c r="E30" s="148"/>
      <c r="F30" s="156">
        <f>+'Elect Tax Depr Summary'!E$33</f>
        <v>0.16666666666666666</v>
      </c>
      <c r="G30" s="148"/>
      <c r="H30" s="156">
        <f>+'Elect Tax Depr Summary'!G$33</f>
        <v>0.33333333333333331</v>
      </c>
      <c r="I30" s="148"/>
      <c r="J30" s="156">
        <f>+'Elect Tax Depr Summary'!I$33</f>
        <v>0.33333333333333331</v>
      </c>
      <c r="L30" s="156">
        <f>+'Elect Tax Depr Summary'!K$33</f>
        <v>0.16666666666666666</v>
      </c>
    </row>
    <row r="31" spans="1:12" x14ac:dyDescent="0.25">
      <c r="A31" s="148">
        <f t="shared" si="0"/>
        <v>12</v>
      </c>
      <c r="B31" s="148"/>
      <c r="C31" s="121" t="s">
        <v>243</v>
      </c>
      <c r="D31" s="148" t="s">
        <v>250</v>
      </c>
      <c r="E31" s="148"/>
      <c r="F31" s="152">
        <f>ROUND(F29*F30,0)</f>
        <v>4496683</v>
      </c>
      <c r="G31" s="148"/>
      <c r="H31" s="152">
        <f>ROUND(H29*H30,0)</f>
        <v>8993367</v>
      </c>
      <c r="I31" s="148"/>
      <c r="J31" s="152">
        <f>ROUND(J29*J30,0)</f>
        <v>8993367</v>
      </c>
      <c r="L31" s="152">
        <f>ROUND(L29*L30,0)</f>
        <v>4496683</v>
      </c>
    </row>
    <row r="32" spans="1:12" x14ac:dyDescent="0.25">
      <c r="A32" s="148">
        <f t="shared" si="0"/>
        <v>13</v>
      </c>
      <c r="B32" s="148"/>
      <c r="C32" s="121"/>
      <c r="D32" s="148"/>
      <c r="E32" s="148"/>
      <c r="F32" s="121"/>
      <c r="G32" s="148"/>
      <c r="H32" s="121"/>
      <c r="I32" s="148"/>
      <c r="J32" s="121"/>
      <c r="L32" s="121"/>
    </row>
    <row r="33" spans="1:12" x14ac:dyDescent="0.25">
      <c r="A33" s="148">
        <f t="shared" si="0"/>
        <v>14</v>
      </c>
      <c r="B33" s="148"/>
      <c r="C33" s="121" t="s">
        <v>230</v>
      </c>
      <c r="D33" s="148" t="s">
        <v>251</v>
      </c>
      <c r="E33" s="148"/>
      <c r="F33" s="152">
        <v>0</v>
      </c>
      <c r="G33" s="148"/>
      <c r="H33" s="152"/>
      <c r="I33" s="148"/>
      <c r="J33" s="152"/>
      <c r="L33" s="152"/>
    </row>
    <row r="34" spans="1:12" x14ac:dyDescent="0.25">
      <c r="A34" s="148">
        <f t="shared" si="0"/>
        <v>15</v>
      </c>
      <c r="B34" s="148"/>
      <c r="C34" s="121"/>
      <c r="D34" s="148"/>
      <c r="E34" s="148"/>
      <c r="F34" s="157"/>
      <c r="G34" s="148"/>
      <c r="H34" s="157"/>
      <c r="I34" s="148"/>
      <c r="J34" s="157"/>
      <c r="L34" s="157"/>
    </row>
    <row r="35" spans="1:12" ht="16.5" thickBot="1" x14ac:dyDescent="0.3">
      <c r="A35" s="148">
        <f t="shared" si="0"/>
        <v>16</v>
      </c>
      <c r="B35" s="148"/>
      <c r="C35" s="121" t="s">
        <v>197</v>
      </c>
      <c r="D35" s="148" t="s">
        <v>252</v>
      </c>
      <c r="E35" s="148"/>
      <c r="F35" s="158">
        <f>+F31+F24+F33</f>
        <v>4496683</v>
      </c>
      <c r="G35" s="148"/>
      <c r="H35" s="158">
        <f>+H31+H24+H33</f>
        <v>8993367</v>
      </c>
      <c r="I35" s="148"/>
      <c r="J35" s="158">
        <f>+J31+J24+J33</f>
        <v>8993367</v>
      </c>
      <c r="L35" s="158">
        <f>+L31+L24+L33</f>
        <v>4496683</v>
      </c>
    </row>
    <row r="36" spans="1:12" ht="16.5" thickTop="1" x14ac:dyDescent="0.25"/>
    <row r="37" spans="1:12" x14ac:dyDescent="0.25">
      <c r="A37" s="91"/>
    </row>
    <row r="38" spans="1:12" x14ac:dyDescent="0.25">
      <c r="A38" s="148"/>
      <c r="B38" s="148"/>
    </row>
    <row r="39" spans="1:12" x14ac:dyDescent="0.25">
      <c r="A39" s="148"/>
    </row>
  </sheetData>
  <mergeCells count="1">
    <mergeCell ref="A10:L10"/>
  </mergeCells>
  <pageMargins left="0.7" right="0.7" top="0.75" bottom="0.75" header="0.3" footer="0.3"/>
  <pageSetup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F3C6F-629F-4A03-BED8-B3101F73F014}">
  <sheetPr>
    <pageSetUpPr fitToPage="1"/>
  </sheetPr>
  <dimension ref="A1:J39"/>
  <sheetViews>
    <sheetView workbookViewId="0">
      <selection sqref="A1:J6"/>
    </sheetView>
  </sheetViews>
  <sheetFormatPr defaultColWidth="9.140625" defaultRowHeight="15.75" x14ac:dyDescent="0.25"/>
  <cols>
    <col min="1" max="2" width="4.7109375" style="21" customWidth="1"/>
    <col min="3" max="3" width="57.28515625" style="21" customWidth="1"/>
    <col min="4" max="4" width="40.7109375" style="21" customWidth="1"/>
    <col min="5" max="5" width="3.28515625" style="21" customWidth="1"/>
    <col min="6" max="6" width="17.28515625" style="21" customWidth="1"/>
    <col min="7" max="7" width="2.7109375" style="21" customWidth="1"/>
    <col min="8" max="8" width="17.5703125" style="21" customWidth="1"/>
    <col min="9" max="9" width="2.7109375" style="21" customWidth="1"/>
    <col min="10" max="10" width="17.5703125" style="21" customWidth="1"/>
    <col min="11" max="16384" width="9.140625" style="21"/>
  </cols>
  <sheetData>
    <row r="1" spans="1:10" x14ac:dyDescent="0.25">
      <c r="A1" s="115"/>
      <c r="B1" s="115"/>
      <c r="C1" s="115"/>
      <c r="D1" s="115"/>
      <c r="E1" s="115"/>
      <c r="F1" s="132"/>
      <c r="G1" s="132"/>
      <c r="H1" s="115"/>
      <c r="I1" s="132"/>
      <c r="J1" s="110" t="s">
        <v>20</v>
      </c>
    </row>
    <row r="2" spans="1:10" x14ac:dyDescent="0.25">
      <c r="A2" s="115"/>
      <c r="B2" s="115"/>
      <c r="C2" s="115"/>
      <c r="D2" s="115"/>
      <c r="E2" s="115"/>
      <c r="F2" s="132"/>
      <c r="G2" s="132"/>
      <c r="H2" s="115"/>
      <c r="I2" s="132"/>
      <c r="J2" s="110" t="str">
        <f>+'ADIT 1 Electric'!$G$2</f>
        <v>d/b/a RHODE ISLAND ENERGY</v>
      </c>
    </row>
    <row r="3" spans="1:10" x14ac:dyDescent="0.25">
      <c r="A3" s="115"/>
      <c r="B3" s="115"/>
      <c r="C3" s="115"/>
      <c r="D3" s="115"/>
      <c r="E3" s="115"/>
      <c r="F3" s="132"/>
      <c r="G3" s="132"/>
      <c r="H3" s="115"/>
      <c r="I3" s="132"/>
      <c r="J3" s="110" t="str">
        <f>+'ADIT 1 Electric'!$G$3</f>
        <v>RIPUC Docket No. 25-45-GE</v>
      </c>
    </row>
    <row r="4" spans="1:10" hidden="1" x14ac:dyDescent="0.25">
      <c r="A4" s="115"/>
      <c r="B4" s="115"/>
      <c r="C4" s="115"/>
      <c r="D4" s="115"/>
      <c r="E4" s="115"/>
      <c r="F4" s="132"/>
      <c r="G4" s="132"/>
      <c r="H4" s="115"/>
      <c r="I4" s="132"/>
      <c r="J4" s="110" t="str">
        <f>+'ADIT 1 Electric'!$G$4</f>
        <v>Compliance Attachment 2</v>
      </c>
    </row>
    <row r="5" spans="1:10" x14ac:dyDescent="0.25">
      <c r="A5" s="115"/>
      <c r="B5" s="115"/>
      <c r="C5" s="115"/>
      <c r="D5" s="115"/>
      <c r="E5" s="115"/>
      <c r="F5" s="132"/>
      <c r="G5" s="132"/>
      <c r="H5" s="115"/>
      <c r="I5" s="132"/>
      <c r="J5" s="110" t="str">
        <f>+'ADIT 1 Electric'!$G$5</f>
        <v>Schedule NH-3-ELEC</v>
      </c>
    </row>
    <row r="6" spans="1:10" x14ac:dyDescent="0.25">
      <c r="A6" s="115"/>
      <c r="B6" s="115"/>
      <c r="C6" s="115"/>
      <c r="D6" s="115"/>
      <c r="E6" s="115"/>
      <c r="F6" s="132"/>
      <c r="G6" s="132"/>
      <c r="H6" s="115"/>
      <c r="I6" s="132"/>
      <c r="J6" s="110" t="s">
        <v>253</v>
      </c>
    </row>
    <row r="7" spans="1:10" x14ac:dyDescent="0.25">
      <c r="A7" s="59"/>
      <c r="B7" s="59"/>
      <c r="C7" s="59"/>
      <c r="D7" s="59"/>
      <c r="E7" s="59"/>
      <c r="F7" s="133"/>
      <c r="G7" s="133"/>
      <c r="H7" s="59"/>
      <c r="I7" s="133"/>
      <c r="J7" s="59"/>
    </row>
    <row r="8" spans="1:10" x14ac:dyDescent="0.25">
      <c r="A8" s="117"/>
      <c r="B8" s="117"/>
      <c r="C8" s="117"/>
      <c r="D8" s="117"/>
      <c r="E8" s="117"/>
      <c r="F8" s="117"/>
      <c r="G8" s="117"/>
      <c r="H8" s="117"/>
      <c r="I8" s="117"/>
      <c r="J8" s="117"/>
    </row>
    <row r="9" spans="1:10" x14ac:dyDescent="0.25">
      <c r="A9" s="117"/>
      <c r="B9" s="117"/>
      <c r="C9" s="117"/>
      <c r="D9" s="117"/>
      <c r="E9" s="117"/>
      <c r="F9" s="117"/>
      <c r="G9" s="117"/>
      <c r="H9" s="117"/>
      <c r="I9" s="117"/>
      <c r="J9" s="117"/>
    </row>
    <row r="10" spans="1:10" x14ac:dyDescent="0.25">
      <c r="A10" s="353" t="str">
        <f>+'ADIT 1 Electric'!$A$10</f>
        <v>The Narragansett Electric Company d/b/a Rhode Island Energy</v>
      </c>
      <c r="B10" s="353"/>
      <c r="C10" s="353"/>
      <c r="D10" s="353"/>
      <c r="E10" s="353"/>
      <c r="F10" s="353"/>
      <c r="G10" s="353"/>
      <c r="H10" s="353"/>
      <c r="I10" s="353"/>
      <c r="J10" s="353"/>
    </row>
    <row r="11" spans="1:10" x14ac:dyDescent="0.25">
      <c r="A11" s="60" t="str">
        <f>+'2026-07-31 Tax Depr-3YR'!A11</f>
        <v xml:space="preserve"> Calculation of Tax Depreciation and Repairs Deduction on 3-Year Straight-Line Property (IT)</v>
      </c>
      <c r="B11" s="60"/>
      <c r="C11" s="146"/>
      <c r="D11" s="146"/>
      <c r="E11" s="146"/>
      <c r="F11" s="146"/>
      <c r="G11" s="146"/>
      <c r="H11" s="146"/>
      <c r="I11" s="146"/>
      <c r="J11" s="146"/>
    </row>
    <row r="12" spans="1:10" x14ac:dyDescent="0.25">
      <c r="A12" s="146" t="s">
        <v>254</v>
      </c>
      <c r="B12" s="146"/>
      <c r="C12" s="146"/>
      <c r="D12" s="146"/>
      <c r="E12" s="146"/>
      <c r="F12" s="146"/>
      <c r="G12" s="146"/>
      <c r="H12" s="146"/>
      <c r="I12" s="146"/>
      <c r="J12" s="146"/>
    </row>
    <row r="13" spans="1:10" x14ac:dyDescent="0.25">
      <c r="A13" s="60"/>
      <c r="B13" s="60"/>
      <c r="C13" s="146"/>
      <c r="D13" s="146"/>
      <c r="E13" s="146"/>
      <c r="F13" s="146"/>
      <c r="G13" s="146"/>
      <c r="H13" s="146"/>
      <c r="I13" s="146"/>
      <c r="J13" s="146"/>
    </row>
    <row r="14" spans="1:10" x14ac:dyDescent="0.25">
      <c r="A14" s="60"/>
      <c r="B14" s="60"/>
      <c r="C14" s="146"/>
      <c r="D14" s="146"/>
      <c r="E14" s="146"/>
      <c r="F14" s="146"/>
      <c r="G14" s="146"/>
      <c r="H14" s="146"/>
      <c r="I14" s="146"/>
      <c r="J14" s="146"/>
    </row>
    <row r="15" spans="1:10" x14ac:dyDescent="0.25">
      <c r="A15" s="24" t="s">
        <v>1</v>
      </c>
      <c r="B15" s="60"/>
      <c r="C15" s="146"/>
      <c r="D15" s="146"/>
      <c r="E15" s="146"/>
      <c r="F15" s="24" t="s">
        <v>135</v>
      </c>
      <c r="G15" s="146"/>
      <c r="H15" s="24" t="s">
        <v>136</v>
      </c>
      <c r="I15" s="24"/>
      <c r="J15" s="62" t="s">
        <v>137</v>
      </c>
    </row>
    <row r="16" spans="1:10" x14ac:dyDescent="0.25">
      <c r="A16" s="25" t="s">
        <v>530</v>
      </c>
      <c r="B16" s="60"/>
      <c r="C16" s="146"/>
      <c r="D16" s="148" t="s">
        <v>86</v>
      </c>
      <c r="E16" s="146"/>
      <c r="F16" s="63">
        <f>+'2026-07-31 Tax Depr-3YR'!H16</f>
        <v>46599</v>
      </c>
      <c r="G16" s="146"/>
      <c r="H16" s="63">
        <f>EDATE(F16,12)</f>
        <v>46965</v>
      </c>
      <c r="J16" s="63">
        <f>EDATE(H16,12)</f>
        <v>47330</v>
      </c>
    </row>
    <row r="17" spans="1:10" x14ac:dyDescent="0.25">
      <c r="A17" s="147"/>
      <c r="B17" s="147"/>
      <c r="C17" s="121"/>
      <c r="E17" s="121"/>
      <c r="F17" s="148" t="s">
        <v>8</v>
      </c>
      <c r="H17" s="159" t="s">
        <v>9</v>
      </c>
      <c r="J17" s="159" t="s">
        <v>10</v>
      </c>
    </row>
    <row r="18" spans="1:10" x14ac:dyDescent="0.25">
      <c r="A18" s="148"/>
      <c r="B18" s="148"/>
      <c r="C18" s="149"/>
      <c r="D18" s="149"/>
      <c r="E18" s="150"/>
      <c r="F18" s="151"/>
      <c r="H18" s="151"/>
      <c r="J18" s="121"/>
    </row>
    <row r="19" spans="1:10" x14ac:dyDescent="0.25">
      <c r="A19" s="148"/>
      <c r="B19" s="148"/>
      <c r="C19" s="150" t="s">
        <v>234</v>
      </c>
      <c r="D19" s="150"/>
      <c r="E19" s="150"/>
      <c r="F19" s="152"/>
      <c r="H19" s="152"/>
      <c r="J19" s="121"/>
    </row>
    <row r="20" spans="1:10" x14ac:dyDescent="0.25">
      <c r="A20" s="148">
        <v>1</v>
      </c>
      <c r="B20" s="148"/>
      <c r="C20" s="121" t="s">
        <v>235</v>
      </c>
      <c r="D20" s="148" t="s">
        <v>255</v>
      </c>
      <c r="E20" s="148"/>
      <c r="F20" s="152">
        <v>38527021</v>
      </c>
      <c r="H20" s="152"/>
      <c r="J20" s="152"/>
    </row>
    <row r="21" spans="1:10" x14ac:dyDescent="0.25">
      <c r="A21" s="148">
        <f>+A20+1</f>
        <v>2</v>
      </c>
      <c r="B21" s="148"/>
      <c r="C21" s="121"/>
      <c r="D21" s="121"/>
      <c r="E21" s="148"/>
      <c r="F21" s="153"/>
    </row>
    <row r="22" spans="1:10" x14ac:dyDescent="0.25">
      <c r="A22" s="148">
        <f t="shared" ref="A22:A35" si="0">+A21+1</f>
        <v>3</v>
      </c>
      <c r="B22" s="148"/>
      <c r="C22" s="121" t="s">
        <v>256</v>
      </c>
      <c r="D22" s="121"/>
      <c r="E22" s="148"/>
      <c r="F22" s="152">
        <f>SUM(F20:F21)</f>
        <v>38527021</v>
      </c>
    </row>
    <row r="23" spans="1:10" x14ac:dyDescent="0.25">
      <c r="A23" s="148">
        <f t="shared" si="0"/>
        <v>4</v>
      </c>
      <c r="B23" s="148"/>
      <c r="C23" s="121" t="s">
        <v>240</v>
      </c>
      <c r="D23" s="148" t="s">
        <v>241</v>
      </c>
      <c r="E23" s="148"/>
      <c r="F23" s="154">
        <v>0</v>
      </c>
    </row>
    <row r="24" spans="1:10" x14ac:dyDescent="0.25">
      <c r="A24" s="148">
        <f t="shared" si="0"/>
        <v>5</v>
      </c>
      <c r="B24" s="148"/>
      <c r="C24" s="121" t="s">
        <v>234</v>
      </c>
      <c r="D24" s="148" t="s">
        <v>242</v>
      </c>
      <c r="E24" s="148"/>
      <c r="F24" s="152">
        <f>+F22*F23</f>
        <v>0</v>
      </c>
    </row>
    <row r="25" spans="1:10" x14ac:dyDescent="0.25">
      <c r="A25" s="148">
        <f t="shared" si="0"/>
        <v>6</v>
      </c>
      <c r="B25" s="148"/>
      <c r="C25" s="121"/>
      <c r="D25" s="121"/>
      <c r="E25" s="148"/>
      <c r="F25" s="121"/>
    </row>
    <row r="26" spans="1:10" x14ac:dyDescent="0.25">
      <c r="A26" s="148">
        <f t="shared" si="0"/>
        <v>7</v>
      </c>
      <c r="B26" s="148"/>
      <c r="C26" s="150" t="s">
        <v>243</v>
      </c>
      <c r="D26" s="150"/>
      <c r="E26" s="147"/>
      <c r="F26" s="121"/>
    </row>
    <row r="27" spans="1:10" x14ac:dyDescent="0.25">
      <c r="A27" s="148">
        <f t="shared" si="0"/>
        <v>8</v>
      </c>
      <c r="B27" s="148"/>
      <c r="C27" s="121" t="s">
        <v>235</v>
      </c>
      <c r="D27" s="148" t="s">
        <v>245</v>
      </c>
      <c r="E27" s="148"/>
      <c r="F27" s="152">
        <f>+F20</f>
        <v>38527021</v>
      </c>
    </row>
    <row r="28" spans="1:10" x14ac:dyDescent="0.25">
      <c r="A28" s="148">
        <f t="shared" si="0"/>
        <v>9</v>
      </c>
      <c r="B28" s="148"/>
      <c r="C28" s="121" t="s">
        <v>246</v>
      </c>
      <c r="D28" s="148" t="s">
        <v>95</v>
      </c>
      <c r="E28" s="148"/>
      <c r="F28" s="152">
        <f>-+F24</f>
        <v>0</v>
      </c>
    </row>
    <row r="29" spans="1:10" x14ac:dyDescent="0.25">
      <c r="A29" s="148">
        <f t="shared" si="0"/>
        <v>10</v>
      </c>
      <c r="B29" s="148"/>
      <c r="C29" s="121" t="s">
        <v>247</v>
      </c>
      <c r="D29" s="148" t="s">
        <v>257</v>
      </c>
      <c r="E29" s="148"/>
      <c r="F29" s="155">
        <f>SUM(F27:F28)</f>
        <v>38527021</v>
      </c>
      <c r="H29" s="152">
        <f>+F29</f>
        <v>38527021</v>
      </c>
      <c r="J29" s="152">
        <f>+H29</f>
        <v>38527021</v>
      </c>
    </row>
    <row r="30" spans="1:10" x14ac:dyDescent="0.25">
      <c r="A30" s="148">
        <f t="shared" si="0"/>
        <v>11</v>
      </c>
      <c r="B30" s="148"/>
      <c r="C30" s="121" t="s">
        <v>249</v>
      </c>
      <c r="D30" s="148" t="str">
        <f>'Elect Tax Depr Summary'!M6</f>
        <v>Page 5 of 17</v>
      </c>
      <c r="E30" s="148"/>
      <c r="F30" s="156">
        <f>+'Elect Tax Depr Summary'!E$33</f>
        <v>0.16666666666666666</v>
      </c>
      <c r="G30" s="148"/>
      <c r="H30" s="156">
        <f>+'Elect Tax Depr Summary'!G$33</f>
        <v>0.33333333333333331</v>
      </c>
      <c r="I30" s="148"/>
      <c r="J30" s="156">
        <f>+'Elect Tax Depr Summary'!I$33</f>
        <v>0.33333333333333331</v>
      </c>
    </row>
    <row r="31" spans="1:10" x14ac:dyDescent="0.25">
      <c r="A31" s="148">
        <f t="shared" si="0"/>
        <v>12</v>
      </c>
      <c r="B31" s="148"/>
      <c r="C31" s="121" t="s">
        <v>243</v>
      </c>
      <c r="D31" s="148" t="s">
        <v>258</v>
      </c>
      <c r="E31" s="148"/>
      <c r="F31" s="152">
        <f>ROUND(F29*F30,7)</f>
        <v>6421170.1666666996</v>
      </c>
      <c r="H31" s="152">
        <f>ROUND(H29*H30,7)</f>
        <v>12842340.3333333</v>
      </c>
      <c r="J31" s="152">
        <f>ROUND(J29*J30,7)</f>
        <v>12842340.3333333</v>
      </c>
    </row>
    <row r="32" spans="1:10" x14ac:dyDescent="0.25">
      <c r="A32" s="148">
        <f t="shared" si="0"/>
        <v>13</v>
      </c>
      <c r="B32" s="148"/>
      <c r="C32" s="121"/>
      <c r="D32" s="148"/>
      <c r="E32" s="148"/>
      <c r="F32" s="121"/>
      <c r="H32" s="121"/>
      <c r="J32" s="121"/>
    </row>
    <row r="33" spans="1:10" x14ac:dyDescent="0.25">
      <c r="A33" s="148">
        <f t="shared" si="0"/>
        <v>14</v>
      </c>
      <c r="B33" s="148"/>
      <c r="C33" s="121" t="s">
        <v>230</v>
      </c>
      <c r="D33" s="148" t="s">
        <v>251</v>
      </c>
      <c r="E33" s="148"/>
      <c r="F33" s="152">
        <v>0</v>
      </c>
      <c r="H33" s="152"/>
      <c r="J33" s="152"/>
    </row>
    <row r="34" spans="1:10" x14ac:dyDescent="0.25">
      <c r="A34" s="148">
        <f t="shared" si="0"/>
        <v>15</v>
      </c>
      <c r="B34" s="148"/>
      <c r="C34" s="121"/>
      <c r="D34" s="121"/>
      <c r="E34" s="148"/>
      <c r="F34" s="157"/>
      <c r="H34" s="157"/>
      <c r="J34" s="157"/>
    </row>
    <row r="35" spans="1:10" ht="16.5" thickBot="1" x14ac:dyDescent="0.3">
      <c r="A35" s="148">
        <f t="shared" si="0"/>
        <v>16</v>
      </c>
      <c r="B35" s="148"/>
      <c r="C35" s="121" t="s">
        <v>197</v>
      </c>
      <c r="D35" s="148" t="s">
        <v>252</v>
      </c>
      <c r="E35" s="148"/>
      <c r="F35" s="158">
        <f>+F31+F24+F33</f>
        <v>6421170.1666666996</v>
      </c>
      <c r="H35" s="158">
        <f>+H31+H24+H33</f>
        <v>12842340.3333333</v>
      </c>
      <c r="J35" s="158">
        <f>+J31+J24+J33</f>
        <v>12842340.3333333</v>
      </c>
    </row>
    <row r="36" spans="1:10" ht="16.5" thickTop="1" x14ac:dyDescent="0.25"/>
    <row r="37" spans="1:10" x14ac:dyDescent="0.25">
      <c r="A37" s="91"/>
    </row>
    <row r="38" spans="1:10" x14ac:dyDescent="0.25">
      <c r="A38" s="148"/>
      <c r="B38" s="148"/>
    </row>
    <row r="39" spans="1:10" x14ac:dyDescent="0.25">
      <c r="A39" s="148"/>
    </row>
  </sheetData>
  <mergeCells count="1">
    <mergeCell ref="A10:J10"/>
  </mergeCells>
  <pageMargins left="0.7" right="0.7" top="0.75" bottom="0.75" header="0.3" footer="0.3"/>
  <pageSetup scale="6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5fb71415-aff0-46ac-ad8a-1a0b343c080f" ContentTypeId="0x0101" PreviousValue="false"/>
</file>

<file path=customXml/item3.xml><?xml version="1.0" encoding="utf-8"?>
<properties xmlns="http://www.imanage.com/work/xmlschema">
  <documentid>WORKSITE!70163846.2</documentid>
  <senderid>SUHSM</senderid>
  <senderemail>SSUH@HINCKLEYALLEN.COM</senderemail>
  <lastmodified>2025-11-22T16:44:00.0000000-05:00</lastmodified>
  <database>WORKSITE</database>
</properties>
</file>

<file path=customXml/item4.xml><?xml version="1.0" encoding="utf-8"?>
<p:properties xmlns:p="http://schemas.microsoft.com/office/2006/metadata/properties" xmlns:xsi="http://www.w3.org/2001/XMLSchema-instance" xmlns:pc="http://schemas.microsoft.com/office/infopath/2007/PartnerControls">
  <documentManagement>
    <TaxCatchAll xmlns="06a704af-1093-41df-910a-e362277c20fd" xsi:nil="true"/>
    <Searchable xmlns="06a704af-1093-41df-910a-e362277c20fd">false</Searchable>
    <_ip_UnifiedCompliancePolicyUIAction xmlns="http://schemas.microsoft.com/sharepoint/v3" xsi:nil="true"/>
    <_ip_UnifiedCompliancePolicyProperties xmlns="http://schemas.microsoft.com/sharepoint/v3" xsi:nil="true"/>
    <e81e820a66454e4dae05b8cd72e410dc xmlns="06a704af-1093-41df-910a-e362277c20fd">
      <Terms xmlns="http://schemas.microsoft.com/office/infopath/2007/PartnerControls"/>
    </e81e820a66454e4dae05b8cd72e410dc>
    <lcf76f155ced4ddcb4097134ff3c332f xmlns="12207773-f8de-4d1c-9b23-15a1acc5427a">
      <Terms xmlns="http://schemas.microsoft.com/office/infopath/2007/PartnerControls"/>
    </lcf76f155ced4ddcb4097134ff3c332f>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506D7463B7963A458DEBC890CC57F453" ma:contentTypeVersion="14" ma:contentTypeDescription="Create a new document." ma:contentTypeScope="" ma:versionID="937c73ce75e8a05da0ce5f08990ad4db">
  <xsd:schema xmlns:xsd="http://www.w3.org/2001/XMLSchema" xmlns:xs="http://www.w3.org/2001/XMLSchema" xmlns:p="http://schemas.microsoft.com/office/2006/metadata/properties" xmlns:ns1="http://schemas.microsoft.com/sharepoint/v3" xmlns:ns2="06a704af-1093-41df-910a-e362277c20fd" xmlns:ns3="12207773-f8de-4d1c-9b23-15a1acc5427a" targetNamespace="http://schemas.microsoft.com/office/2006/metadata/properties" ma:root="true" ma:fieldsID="11a3e856df3e0dff0f78744fbbb0fd79" ns1:_="" ns2:_="" ns3:_="">
    <xsd:import namespace="http://schemas.microsoft.com/sharepoint/v3"/>
    <xsd:import namespace="06a704af-1093-41df-910a-e362277c20fd"/>
    <xsd:import namespace="12207773-f8de-4d1c-9b23-15a1acc5427a"/>
    <xsd:element name="properties">
      <xsd:complexType>
        <xsd:sequence>
          <xsd:element name="documentManagement">
            <xsd:complexType>
              <xsd:all>
                <xsd:element ref="ns2:Searchable" minOccurs="0"/>
                <xsd:element ref="ns2:e81e820a66454e4dae05b8cd72e410dc" minOccurs="0"/>
                <xsd:element ref="ns2:TaxCatchAll" minOccurs="0"/>
                <xsd:element ref="ns2:TaxCatchAllLabel"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a704af-1093-41df-910a-e362277c20fd" elementFormDefault="qualified">
    <xsd:import namespace="http://schemas.microsoft.com/office/2006/documentManagement/types"/>
    <xsd:import namespace="http://schemas.microsoft.com/office/infopath/2007/PartnerControls"/>
    <xsd:element name="Searchable" ma:index="8" nillable="true" ma:displayName="Searchable" ma:default="0" ma:internalName="Searchable">
      <xsd:simpleType>
        <xsd:restriction base="dms:Boolean"/>
      </xsd:simpleType>
    </xsd:element>
    <xsd:element name="e81e820a66454e4dae05b8cd72e410dc" ma:index="9" nillable="true" ma:taxonomy="true" ma:internalName="e81e820a66454e4dae05b8cd72e410dc" ma:taxonomyFieldName="SearchContentClass" ma:displayName="SearchContentClass" ma:default="" ma:fieldId="{e81e820a-6645-4e4d-ae05-b8cd72e410dc}" ma:sspId="5fb71415-aff0-46ac-ad8a-1a0b343c080f" ma:termSetId="d06009ad-cab7-4623-a608-cc47ab75a005"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98c6b672-c429-4d84-96a3-c505823677f8}" ma:internalName="TaxCatchAll" ma:showField="CatchAllData" ma:web="a467a49b-b6f7-4aa4-93f9-c5594d8ee3d4">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98c6b672-c429-4d84-96a3-c505823677f8}" ma:internalName="TaxCatchAllLabel" ma:readOnly="true" ma:showField="CatchAllDataLabel" ma:web="a467a49b-b6f7-4aa4-93f9-c5594d8ee3d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2207773-f8de-4d1c-9b23-15a1acc5427a"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fb71415-aff0-46ac-ad8a-1a0b343c080f"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DE4D9F-8899-4BFB-A17A-5263F4FD288E}">
  <ds:schemaRefs>
    <ds:schemaRef ds:uri="http://schemas.microsoft.com/sharepoint/v3/contenttype/forms"/>
  </ds:schemaRefs>
</ds:datastoreItem>
</file>

<file path=customXml/itemProps2.xml><?xml version="1.0" encoding="utf-8"?>
<ds:datastoreItem xmlns:ds="http://schemas.openxmlformats.org/officeDocument/2006/customXml" ds:itemID="{798151CE-B4E7-4576-99EE-D7540D17BFC9}">
  <ds:schemaRefs>
    <ds:schemaRef ds:uri="Microsoft.SharePoint.Taxonomy.ContentTypeSync"/>
  </ds:schemaRefs>
</ds:datastoreItem>
</file>

<file path=customXml/itemProps3.xml><?xml version="1.0" encoding="utf-8"?>
<ds:datastoreItem xmlns:ds="http://schemas.openxmlformats.org/officeDocument/2006/customXml" ds:itemID="{E8BA2725-E283-4E87-B586-9AB37AC7279C}">
  <ds:schemaRefs>
    <ds:schemaRef ds:uri="http://www.imanage.com/work/xmlschema"/>
  </ds:schemaRefs>
</ds:datastoreItem>
</file>

<file path=customXml/itemProps4.xml><?xml version="1.0" encoding="utf-8"?>
<ds:datastoreItem xmlns:ds="http://schemas.openxmlformats.org/officeDocument/2006/customXml" ds:itemID="{B848AFC4-8B1C-4D63-94F3-28B409658DA4}">
  <ds:schemaRefs>
    <ds:schemaRef ds:uri="http://schemas.microsoft.com/sharepoint/v3"/>
    <ds:schemaRef ds:uri="http://purl.org/dc/dcmityp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281b322a-8e8e-48c5-9c43-84eacfcc87ea"/>
    <ds:schemaRef ds:uri="http://purl.org/dc/elements/1.1/"/>
    <ds:schemaRef ds:uri="ce726fb3-e133-4ef6-8771-0a37d7804ccc"/>
    <ds:schemaRef ds:uri="06a704af-1093-41df-910a-e362277c20fd"/>
    <ds:schemaRef ds:uri="http://www.w3.org/XML/1998/namespace"/>
    <ds:schemaRef ds:uri="http://purl.org/dc/terms/"/>
    <ds:schemaRef ds:uri="12207773-f8de-4d1c-9b23-15a1acc5427a"/>
  </ds:schemaRefs>
</ds:datastoreItem>
</file>

<file path=customXml/itemProps5.xml><?xml version="1.0" encoding="utf-8"?>
<ds:datastoreItem xmlns:ds="http://schemas.openxmlformats.org/officeDocument/2006/customXml" ds:itemID="{450D96D0-D483-437A-BA3A-636A2879CE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6a704af-1093-41df-910a-e362277c20fd"/>
    <ds:schemaRef ds:uri="12207773-f8de-4d1c-9b23-15a1acc542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8</vt:i4>
      </vt:variant>
    </vt:vector>
  </HeadingPairs>
  <TitlesOfParts>
    <vt:vector size="38" baseType="lpstr">
      <vt:lpstr>ADIT 1 Electric</vt:lpstr>
      <vt:lpstr>ADIT 2 Electric</vt:lpstr>
      <vt:lpstr>ADIT 3 Electric Historic</vt:lpstr>
      <vt:lpstr>Electric Proration Adj</vt:lpstr>
      <vt:lpstr>Elect Tax Depr Summary</vt:lpstr>
      <vt:lpstr>Elect Tax Depr Details-Vintaged</vt:lpstr>
      <vt:lpstr>Elect Tax Depr Details-3YR</vt:lpstr>
      <vt:lpstr>2026-07-31 Tax Depr-3YR</vt:lpstr>
      <vt:lpstr>2027-07-31 Tax Depr-3YR</vt:lpstr>
      <vt:lpstr>2028-07-31 Tax Depr-3YR</vt:lpstr>
      <vt:lpstr>2029-07-31 Tax Depr-3YR</vt:lpstr>
      <vt:lpstr>Elect Tax Depr Details-20YR</vt:lpstr>
      <vt:lpstr>2026-07-31 Tax Depr-20YR</vt:lpstr>
      <vt:lpstr>2027-07-31 Tax Depr-20YR</vt:lpstr>
      <vt:lpstr>2028-07-31 Tax Depr-20YR</vt:lpstr>
      <vt:lpstr>2029-07-31 Tax Depr-20YR</vt:lpstr>
      <vt:lpstr>2026-07-31 Tax Depr 39YR</vt:lpstr>
      <vt:lpstr>WP Support --&gt;</vt:lpstr>
      <vt:lpstr>Steph</vt:lpstr>
      <vt:lpstr>Notes for File</vt:lpstr>
      <vt:lpstr>1 Tax Depr-Test Yr</vt:lpstr>
      <vt:lpstr>2 Forecasted Tx Depr-Vint Assts</vt:lpstr>
      <vt:lpstr>3 Plant ADIT Balances by Mo</vt:lpstr>
      <vt:lpstr>4 Test Yr ADIT Support</vt:lpstr>
      <vt:lpstr>5 BS @ 8-31-25</vt:lpstr>
      <vt:lpstr>6 2024 BMI Query</vt:lpstr>
      <vt:lpstr>7 2025 BMI Query</vt:lpstr>
      <vt:lpstr>8 Facilities-PIS (sort by date)</vt:lpstr>
      <vt:lpstr>9 COR</vt:lpstr>
      <vt:lpstr>10 Electric Repairs Rate</vt:lpstr>
      <vt:lpstr>'2026-07-31 Tax Depr 39YR'!Print_Area</vt:lpstr>
      <vt:lpstr>'2026-07-31 Tax Depr-20YR'!Print_Area</vt:lpstr>
      <vt:lpstr>'ADIT 1 Electric'!Print_Area</vt:lpstr>
      <vt:lpstr>'ADIT 2 Electric'!Print_Area</vt:lpstr>
      <vt:lpstr>'Elect Tax Depr Details-20YR'!Print_Area</vt:lpstr>
      <vt:lpstr>'Elect Tax Depr Details-3YR'!Print_Area</vt:lpstr>
      <vt:lpstr>'Elect Tax Depr Details-Vintaged'!Print_Area</vt:lpstr>
      <vt:lpstr>'Elect Tax Depr Summary'!Print_Area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Hawk, Natalie</dc:creator>
  <cp:keywords/>
  <dc:description/>
  <cp:lastModifiedBy>Dante Mugrace</cp:lastModifiedBy>
  <cp:revision/>
  <cp:lastPrinted>2025-11-22T17:02:54Z</cp:lastPrinted>
  <dcterms:created xsi:type="dcterms:W3CDTF">2025-05-27T11:52:24Z</dcterms:created>
  <dcterms:modified xsi:type="dcterms:W3CDTF">2026-03-23T15:33:49Z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b28095e7-21cd-4f1b-a182-85eb226f41ae_Enabled">
    <vt:lpwstr>true</vt:lpwstr>
  </property>
  <property fmtid="{D5CDD505-2E9C-101B-9397-08002B2CF9AE}" pid="5" name="MSIP_Label_b28095e7-21cd-4f1b-a182-85eb226f41ae_SetDate">
    <vt:lpwstr>2025-05-27T13:57:53Z</vt:lpwstr>
  </property>
  <property fmtid="{D5CDD505-2E9C-101B-9397-08002B2CF9AE}" pid="6" name="MSIP_Label_b28095e7-21cd-4f1b-a182-85eb226f41ae_Method">
    <vt:lpwstr>Privileged</vt:lpwstr>
  </property>
  <property fmtid="{D5CDD505-2E9C-101B-9397-08002B2CF9AE}" pid="7" name="MSIP_Label_b28095e7-21cd-4f1b-a182-85eb226f41ae_Name">
    <vt:lpwstr>b28095e7-21cd-4f1b-a182-85eb226f41ae</vt:lpwstr>
  </property>
  <property fmtid="{D5CDD505-2E9C-101B-9397-08002B2CF9AE}" pid="8" name="MSIP_Label_b28095e7-21cd-4f1b-a182-85eb226f41ae_SiteId">
    <vt:lpwstr>25b79aa0-07c6-4d65-9c80-df92aacdc157</vt:lpwstr>
  </property>
  <property fmtid="{D5CDD505-2E9C-101B-9397-08002B2CF9AE}" pid="9" name="MSIP_Label_b28095e7-21cd-4f1b-a182-85eb226f41ae_ActionId">
    <vt:lpwstr>d62cb010-4b22-4a2f-a508-7949a40b1c80</vt:lpwstr>
  </property>
  <property fmtid="{D5CDD505-2E9C-101B-9397-08002B2CF9AE}" pid="10" name="MSIP_Label_b28095e7-21cd-4f1b-a182-85eb226f41ae_ContentBits">
    <vt:lpwstr>2</vt:lpwstr>
  </property>
  <property fmtid="{D5CDD505-2E9C-101B-9397-08002B2CF9AE}" pid="11" name="MSIP_Label_b28095e7-21cd-4f1b-a182-85eb226f41ae_Tag">
    <vt:lpwstr>10, 0, 1, 1</vt:lpwstr>
  </property>
  <property fmtid="{D5CDD505-2E9C-101B-9397-08002B2CF9AE}" pid="12" name="ContentTypeId">
    <vt:lpwstr>0x010100506D7463B7963A458DEBC890CC57F453</vt:lpwstr>
  </property>
  <property fmtid="{D5CDD505-2E9C-101B-9397-08002B2CF9AE}" pid="13" name="MediaServiceImageTags">
    <vt:lpwstr/>
  </property>
  <property fmtid="{D5CDD505-2E9C-101B-9397-08002B2CF9AE}" pid="14" name="Engagement Type">
    <vt:lpwstr/>
  </property>
  <property fmtid="{D5CDD505-2E9C-101B-9397-08002B2CF9AE}" pid="15" name="Industry_x0020_Segment">
    <vt:lpwstr/>
  </property>
  <property fmtid="{D5CDD505-2E9C-101B-9397-08002B2CF9AE}" pid="16" name="Engagement_x0020_Type">
    <vt:lpwstr/>
  </property>
  <property fmtid="{D5CDD505-2E9C-101B-9397-08002B2CF9AE}" pid="17" name="Practice Areas and Services Provided">
    <vt:lpwstr/>
  </property>
  <property fmtid="{D5CDD505-2E9C-101B-9397-08002B2CF9AE}" pid="18" name="Practice_x0020_Areas_x0020_and_x0020_Services_x0020_Provided">
    <vt:lpwstr/>
  </property>
  <property fmtid="{D5CDD505-2E9C-101B-9397-08002B2CF9AE}" pid="19" name="Industry Segment">
    <vt:lpwstr/>
  </property>
  <property fmtid="{D5CDD505-2E9C-101B-9397-08002B2CF9AE}" pid="20" name="{A44787D4-0540-4523-9961-78E4036D8C6D}">
    <vt:lpwstr>{A7BCE961-379A-4951-B8BF-0BAC6FE75411}</vt:lpwstr>
  </property>
  <property fmtid="{D5CDD505-2E9C-101B-9397-08002B2CF9AE}" pid="21" name="SearchContentClass">
    <vt:lpwstr/>
  </property>
</Properties>
</file>