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07804\Downloads\RC EXCEL FILES\"/>
    </mc:Choice>
  </mc:AlternateContent>
  <xr:revisionPtr revIDLastSave="0" documentId="13_ncr:1_{E3818C30-76C2-4A14-9EAD-7A45B0D024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1" r:id="rId1"/>
    <sheet name="Page 2" sheetId="2" r:id="rId2"/>
    <sheet name="Page 3" sheetId="3" r:id="rId3"/>
    <sheet name="Page 4" sheetId="4" r:id="rId4"/>
    <sheet name="Page 5" sheetId="5" r:id="rId5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LATESTK">1000</definedName>
    <definedName name="IQ_LATESTQ">500</definedName>
    <definedName name="IQ_LTM">2000</definedName>
    <definedName name="IQ_LTMMONTH">120000</definedName>
    <definedName name="IQ_MONTH">15000</definedName>
    <definedName name="IQ_NTM">6000</definedName>
    <definedName name="IQ_TODAY">0</definedName>
    <definedName name="IQ_WEEK">50000</definedName>
    <definedName name="IQ_YTD">3000</definedName>
    <definedName name="IQ_YTDMONTH">130000</definedName>
    <definedName name="_xlnm.Print_Area" localSheetId="0">'Page 1'!$A$7:$X$53</definedName>
    <definedName name="_xlnm.Print_Area" localSheetId="1">'Page 2'!$A$8:$X$57</definedName>
    <definedName name="_xlnm.Print_Area" localSheetId="2">'Page 3'!$A$8:$P$55</definedName>
    <definedName name="_xlnm.Print_Area" localSheetId="3">'Page 4'!$A$7:$P$55</definedName>
    <definedName name="_xlnm.Print_Area" localSheetId="4">'Page 5'!$A$7:$M$61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5" l="1"/>
  <c r="F59" i="5" l="1"/>
  <c r="F49" i="5"/>
  <c r="F48" i="5"/>
  <c r="A18" i="5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F50" i="5" l="1"/>
  <c r="F57" i="5"/>
  <c r="F58" i="5"/>
  <c r="R19" i="1"/>
  <c r="R21" i="1" l="1"/>
  <c r="I24" i="5" l="1"/>
  <c r="R20" i="1" l="1"/>
  <c r="M34" i="5" l="1"/>
  <c r="I20" i="5" l="1"/>
  <c r="I19" i="5"/>
  <c r="A12" i="5" l="1"/>
  <c r="A12" i="2"/>
  <c r="I28" i="5"/>
  <c r="I23" i="5"/>
  <c r="I22" i="5"/>
  <c r="I21" i="5"/>
  <c r="I18" i="5"/>
  <c r="F22" i="5"/>
  <c r="H15" i="2"/>
  <c r="M9" i="5"/>
  <c r="M8" i="5"/>
  <c r="M5" i="5"/>
  <c r="X3" i="2"/>
  <c r="M2" i="5"/>
  <c r="C20" i="2" l="1"/>
  <c r="F19" i="5"/>
  <c r="F41" i="5" s="1"/>
  <c r="C21" i="2"/>
  <c r="F20" i="5"/>
  <c r="F42" i="5" s="1"/>
  <c r="C19" i="2"/>
  <c r="F18" i="5"/>
  <c r="F40" i="5" s="1"/>
  <c r="X5" i="2"/>
  <c r="X8" i="2"/>
  <c r="X2" i="2"/>
  <c r="M3" i="5"/>
  <c r="X9" i="2"/>
  <c r="R22" i="1"/>
  <c r="A12" i="4" l="1"/>
  <c r="A12" i="3"/>
  <c r="P5" i="4"/>
  <c r="H15" i="4"/>
  <c r="C21" i="4"/>
  <c r="C19" i="4"/>
  <c r="P2" i="4"/>
  <c r="P8" i="3" l="1"/>
  <c r="C19" i="3"/>
  <c r="P8" i="4"/>
  <c r="P9" i="4"/>
  <c r="P9" i="3"/>
  <c r="C20" i="4"/>
  <c r="C20" i="3"/>
  <c r="P3" i="4"/>
  <c r="P5" i="3"/>
  <c r="C21" i="3"/>
  <c r="H15" i="3"/>
  <c r="P2" i="3"/>
  <c r="P3" i="3"/>
  <c r="P20" i="1" l="1"/>
  <c r="P21" i="1"/>
  <c r="P19" i="1"/>
  <c r="K34" i="5"/>
  <c r="I34" i="5" l="1"/>
  <c r="N21" i="1"/>
  <c r="P22" i="1"/>
  <c r="N19" i="1"/>
  <c r="N20" i="1"/>
  <c r="N22" i="1" l="1"/>
  <c r="X4" i="2" l="1"/>
  <c r="M4" i="5"/>
  <c r="P4" i="4"/>
  <c r="P4" i="3"/>
  <c r="A10" i="2" l="1"/>
  <c r="A10" i="4" s="1"/>
  <c r="A10" i="3"/>
  <c r="A10" i="5" s="1"/>
  <c r="M1" i="5" l="1"/>
  <c r="X1" i="2"/>
  <c r="P1" i="4"/>
  <c r="P1" i="3"/>
  <c r="A11" i="2" l="1"/>
  <c r="A11" i="4" s="1"/>
  <c r="A11" i="3"/>
  <c r="A11" i="5" s="1"/>
  <c r="X21" i="1" l="1"/>
  <c r="L21" i="2" s="1"/>
  <c r="X20" i="1"/>
  <c r="L20" i="2" s="1"/>
  <c r="H34" i="1" l="1"/>
  <c r="H37" i="1"/>
  <c r="M42" i="5"/>
  <c r="R21" i="2"/>
  <c r="X21" i="2" s="1"/>
  <c r="H21" i="4" s="1"/>
  <c r="M50" i="5" s="1"/>
  <c r="J21" i="4" s="1"/>
  <c r="L21" i="4" s="1"/>
  <c r="M59" i="5" s="1"/>
  <c r="N21" i="4" s="1"/>
  <c r="P21" i="4" s="1"/>
  <c r="H33" i="1"/>
  <c r="H20" i="1"/>
  <c r="V20" i="1"/>
  <c r="L44" i="1"/>
  <c r="H26" i="1"/>
  <c r="J38" i="1"/>
  <c r="H42" i="1"/>
  <c r="J22" i="1"/>
  <c r="V19" i="1"/>
  <c r="H19" i="1"/>
  <c r="H28" i="1"/>
  <c r="H43" i="1"/>
  <c r="H30" i="1"/>
  <c r="H31" i="1"/>
  <c r="M41" i="5"/>
  <c r="R20" i="2"/>
  <c r="X20" i="2" s="1"/>
  <c r="H20" i="4" s="1"/>
  <c r="M49" i="5" s="1"/>
  <c r="J20" i="4" s="1"/>
  <c r="L20" i="4" s="1"/>
  <c r="M58" i="5" s="1"/>
  <c r="N20" i="4" s="1"/>
  <c r="P20" i="4" s="1"/>
  <c r="L38" i="1"/>
  <c r="H36" i="1"/>
  <c r="X19" i="1"/>
  <c r="L22" i="1"/>
  <c r="H27" i="1"/>
  <c r="H32" i="1"/>
  <c r="J44" i="1"/>
  <c r="H41" i="1"/>
  <c r="H21" i="1"/>
  <c r="V21" i="1"/>
  <c r="L46" i="1" l="1"/>
  <c r="H44" i="1"/>
  <c r="R32" i="1"/>
  <c r="X32" i="1" s="1"/>
  <c r="L32" i="2" s="1"/>
  <c r="R32" i="2" s="1"/>
  <c r="X32" i="2" s="1"/>
  <c r="H32" i="4" s="1"/>
  <c r="H22" i="1"/>
  <c r="L48" i="1"/>
  <c r="X22" i="1"/>
  <c r="L19" i="2"/>
  <c r="T19" i="1"/>
  <c r="V22" i="1"/>
  <c r="J19" i="2"/>
  <c r="J20" i="2"/>
  <c r="T20" i="1"/>
  <c r="H20" i="2" s="1"/>
  <c r="R36" i="1"/>
  <c r="X36" i="1" s="1"/>
  <c r="L36" i="2" s="1"/>
  <c r="J46" i="1"/>
  <c r="T21" i="1"/>
  <c r="H21" i="2" s="1"/>
  <c r="J21" i="2"/>
  <c r="H38" i="1"/>
  <c r="R43" i="1"/>
  <c r="X43" i="1" s="1"/>
  <c r="L43" i="2" s="1"/>
  <c r="R43" i="2" s="1"/>
  <c r="X43" i="2" s="1"/>
  <c r="H43" i="4" s="1"/>
  <c r="R28" i="1"/>
  <c r="X28" i="1" s="1"/>
  <c r="L28" i="2" s="1"/>
  <c r="R28" i="2" s="1"/>
  <c r="X28" i="2" s="1"/>
  <c r="H28" i="4" s="1"/>
  <c r="R41" i="1"/>
  <c r="R26" i="1"/>
  <c r="R42" i="1"/>
  <c r="X42" i="1" s="1"/>
  <c r="L42" i="2" s="1"/>
  <c r="R42" i="2" s="1"/>
  <c r="X42" i="2" s="1"/>
  <c r="H42" i="4" s="1"/>
  <c r="R27" i="1"/>
  <c r="X27" i="1" s="1"/>
  <c r="R31" i="1"/>
  <c r="X31" i="1" s="1"/>
  <c r="L31" i="2" s="1"/>
  <c r="R31" i="2" s="1"/>
  <c r="X31" i="2" s="1"/>
  <c r="H31" i="4" s="1"/>
  <c r="R34" i="1"/>
  <c r="X34" i="1" s="1"/>
  <c r="L34" i="2" s="1"/>
  <c r="R34" i="2" s="1"/>
  <c r="X34" i="2" s="1"/>
  <c r="H34" i="4" s="1"/>
  <c r="R33" i="1"/>
  <c r="X33" i="1" s="1"/>
  <c r="L33" i="2" s="1"/>
  <c r="R33" i="2" s="1"/>
  <c r="X33" i="2" s="1"/>
  <c r="H33" i="4" s="1"/>
  <c r="R30" i="1"/>
  <c r="X30" i="1" s="1"/>
  <c r="L30" i="2" s="1"/>
  <c r="R30" i="2" s="1"/>
  <c r="X30" i="2" s="1"/>
  <c r="H30" i="4" s="1"/>
  <c r="L27" i="2" l="1"/>
  <c r="R27" i="2" s="1"/>
  <c r="X27" i="2" s="1"/>
  <c r="H27" i="4" s="1"/>
  <c r="H46" i="1"/>
  <c r="H48" i="1" s="1"/>
  <c r="K41" i="5"/>
  <c r="I41" i="5" s="1"/>
  <c r="P20" i="2"/>
  <c r="N20" i="2" s="1"/>
  <c r="K40" i="5"/>
  <c r="P19" i="2"/>
  <c r="K42" i="5"/>
  <c r="I42" i="5" s="1"/>
  <c r="P21" i="2"/>
  <c r="N21" i="2" s="1"/>
  <c r="J22" i="2"/>
  <c r="H19" i="2"/>
  <c r="T22" i="1"/>
  <c r="P30" i="1"/>
  <c r="P41" i="1"/>
  <c r="P34" i="1"/>
  <c r="P28" i="1"/>
  <c r="P27" i="1"/>
  <c r="P33" i="1"/>
  <c r="P42" i="1"/>
  <c r="P31" i="1"/>
  <c r="P43" i="1"/>
  <c r="P36" i="1"/>
  <c r="P32" i="1"/>
  <c r="P26" i="1"/>
  <c r="R37" i="1"/>
  <c r="X37" i="1" s="1"/>
  <c r="L37" i="2" s="1"/>
  <c r="R37" i="2" s="1"/>
  <c r="X37" i="2" s="1"/>
  <c r="H37" i="4" s="1"/>
  <c r="X26" i="1"/>
  <c r="L26" i="2" s="1"/>
  <c r="J48" i="1"/>
  <c r="M40" i="5"/>
  <c r="M44" i="5" s="1"/>
  <c r="R19" i="2"/>
  <c r="R22" i="2" s="1"/>
  <c r="R44" i="1"/>
  <c r="X41" i="1"/>
  <c r="R36" i="2"/>
  <c r="X36" i="2" s="1"/>
  <c r="H36" i="4" s="1"/>
  <c r="L22" i="2"/>
  <c r="R38" i="1" l="1"/>
  <c r="R46" i="1" s="1"/>
  <c r="N36" i="1"/>
  <c r="V36" i="1"/>
  <c r="N41" i="1"/>
  <c r="P44" i="1"/>
  <c r="V41" i="1"/>
  <c r="P22" i="2"/>
  <c r="N19" i="2"/>
  <c r="N22" i="2" s="1"/>
  <c r="N43" i="1"/>
  <c r="V43" i="1"/>
  <c r="N30" i="1"/>
  <c r="V30" i="1"/>
  <c r="I40" i="5"/>
  <c r="I44" i="5" s="1"/>
  <c r="K44" i="5"/>
  <c r="N31" i="1"/>
  <c r="V31" i="1"/>
  <c r="X38" i="1"/>
  <c r="N42" i="1"/>
  <c r="V42" i="1"/>
  <c r="V21" i="2"/>
  <c r="V20" i="2"/>
  <c r="N33" i="1"/>
  <c r="V33" i="1"/>
  <c r="H22" i="2"/>
  <c r="L41" i="2"/>
  <c r="X44" i="1"/>
  <c r="L44" i="2" s="1"/>
  <c r="N27" i="1"/>
  <c r="V27" i="1"/>
  <c r="J27" i="2" s="1"/>
  <c r="N26" i="1"/>
  <c r="P37" i="1"/>
  <c r="P38" i="1" s="1"/>
  <c r="V26" i="1"/>
  <c r="J26" i="2" s="1"/>
  <c r="N28" i="1"/>
  <c r="V28" i="1"/>
  <c r="X19" i="2"/>
  <c r="N32" i="1"/>
  <c r="V32" i="1"/>
  <c r="N34" i="1"/>
  <c r="V34" i="1"/>
  <c r="V19" i="2"/>
  <c r="R48" i="1" l="1"/>
  <c r="P46" i="1"/>
  <c r="N44" i="1"/>
  <c r="P48" i="1"/>
  <c r="J28" i="2"/>
  <c r="T28" i="1"/>
  <c r="H28" i="2" s="1"/>
  <c r="J31" i="2"/>
  <c r="T31" i="1"/>
  <c r="H31" i="2" s="1"/>
  <c r="V22" i="2"/>
  <c r="H19" i="3"/>
  <c r="T19" i="2"/>
  <c r="T26" i="1"/>
  <c r="R41" i="2"/>
  <c r="R44" i="2" s="1"/>
  <c r="H20" i="3"/>
  <c r="K49" i="5" s="1"/>
  <c r="T20" i="2"/>
  <c r="J41" i="2"/>
  <c r="P41" i="2" s="1"/>
  <c r="V44" i="1"/>
  <c r="J44" i="2" s="1"/>
  <c r="T41" i="1"/>
  <c r="T34" i="1"/>
  <c r="H34" i="2" s="1"/>
  <c r="J34" i="2"/>
  <c r="T21" i="2"/>
  <c r="H21" i="3"/>
  <c r="K50" i="5" s="1"/>
  <c r="N37" i="1"/>
  <c r="N38" i="1" s="1"/>
  <c r="N46" i="1" s="1"/>
  <c r="N48" i="1" s="1"/>
  <c r="V37" i="1"/>
  <c r="V38" i="1" s="1"/>
  <c r="J42" i="2"/>
  <c r="T42" i="1"/>
  <c r="H42" i="2" s="1"/>
  <c r="J30" i="2"/>
  <c r="T30" i="1"/>
  <c r="H30" i="2" s="1"/>
  <c r="J32" i="2"/>
  <c r="T32" i="1"/>
  <c r="H32" i="2" s="1"/>
  <c r="J33" i="2"/>
  <c r="T33" i="1"/>
  <c r="H33" i="2" s="1"/>
  <c r="J36" i="2"/>
  <c r="T36" i="1"/>
  <c r="H36" i="2" s="1"/>
  <c r="T27" i="1"/>
  <c r="H27" i="2" s="1"/>
  <c r="X46" i="1"/>
  <c r="L38" i="2"/>
  <c r="J43" i="2"/>
  <c r="T43" i="1"/>
  <c r="H43" i="2" s="1"/>
  <c r="X22" i="2"/>
  <c r="H19" i="4"/>
  <c r="R26" i="2"/>
  <c r="R38" i="2" s="1"/>
  <c r="X26" i="2" l="1"/>
  <c r="I50" i="5"/>
  <c r="J21" i="3"/>
  <c r="L21" i="3" s="1"/>
  <c r="K59" i="5" s="1"/>
  <c r="J20" i="3"/>
  <c r="L20" i="3" s="1"/>
  <c r="K58" i="5" s="1"/>
  <c r="I49" i="5"/>
  <c r="L46" i="2"/>
  <c r="L48" i="2" s="1"/>
  <c r="X48" i="1"/>
  <c r="P32" i="2"/>
  <c r="N32" i="2" s="1"/>
  <c r="X41" i="2"/>
  <c r="H26" i="4"/>
  <c r="X38" i="2"/>
  <c r="P34" i="2"/>
  <c r="N34" i="2" s="1"/>
  <c r="R46" i="2"/>
  <c r="P27" i="2"/>
  <c r="N27" i="2" s="1"/>
  <c r="P30" i="2"/>
  <c r="N30" i="2" s="1"/>
  <c r="V46" i="1"/>
  <c r="J38" i="2"/>
  <c r="P31" i="2"/>
  <c r="N31" i="2" s="1"/>
  <c r="H22" i="4"/>
  <c r="M48" i="5"/>
  <c r="H41" i="2"/>
  <c r="T44" i="1"/>
  <c r="H44" i="2" s="1"/>
  <c r="H26" i="2"/>
  <c r="P36" i="2"/>
  <c r="N36" i="2" s="1"/>
  <c r="P42" i="2"/>
  <c r="N42" i="2" s="1"/>
  <c r="P26" i="2"/>
  <c r="V26" i="2"/>
  <c r="P28" i="2"/>
  <c r="N28" i="2" s="1"/>
  <c r="J37" i="2"/>
  <c r="T37" i="1"/>
  <c r="H37" i="2" s="1"/>
  <c r="V41" i="2"/>
  <c r="N41" i="2"/>
  <c r="T22" i="2"/>
  <c r="P43" i="2"/>
  <c r="N43" i="2" s="1"/>
  <c r="P33" i="2"/>
  <c r="N33" i="2" s="1"/>
  <c r="H22" i="3"/>
  <c r="K48" i="5"/>
  <c r="V30" i="2" l="1"/>
  <c r="T30" i="2" s="1"/>
  <c r="V43" i="2"/>
  <c r="T43" i="2" s="1"/>
  <c r="T38" i="1"/>
  <c r="H38" i="2" s="1"/>
  <c r="V32" i="2"/>
  <c r="H32" i="3" s="1"/>
  <c r="N44" i="2"/>
  <c r="P37" i="2"/>
  <c r="N37" i="2" s="1"/>
  <c r="V31" i="2"/>
  <c r="R48" i="2"/>
  <c r="V28" i="2"/>
  <c r="V34" i="2"/>
  <c r="H26" i="3"/>
  <c r="T26" i="2"/>
  <c r="N26" i="2"/>
  <c r="J46" i="2"/>
  <c r="J48" i="2" s="1"/>
  <c r="V48" i="1"/>
  <c r="H38" i="4"/>
  <c r="V33" i="2"/>
  <c r="P44" i="2"/>
  <c r="V42" i="2"/>
  <c r="H30" i="3"/>
  <c r="I58" i="5"/>
  <c r="N20" i="3"/>
  <c r="P20" i="3" s="1"/>
  <c r="H41" i="3"/>
  <c r="T41" i="2"/>
  <c r="X44" i="2"/>
  <c r="H44" i="4" s="1"/>
  <c r="H41" i="4"/>
  <c r="N21" i="3"/>
  <c r="P21" i="3" s="1"/>
  <c r="I59" i="5"/>
  <c r="K52" i="5"/>
  <c r="J19" i="3"/>
  <c r="I48" i="5"/>
  <c r="I52" i="5" s="1"/>
  <c r="V36" i="2"/>
  <c r="M52" i="5"/>
  <c r="J19" i="4"/>
  <c r="V27" i="2"/>
  <c r="H43" i="3" l="1"/>
  <c r="T32" i="2"/>
  <c r="N38" i="2"/>
  <c r="T46" i="1"/>
  <c r="T48" i="1" s="1"/>
  <c r="N46" i="2"/>
  <c r="N48" i="2" s="1"/>
  <c r="V44" i="2"/>
  <c r="H44" i="3" s="1"/>
  <c r="V37" i="2"/>
  <c r="V38" i="2" s="1"/>
  <c r="P38" i="2"/>
  <c r="P46" i="2" s="1"/>
  <c r="H27" i="3"/>
  <c r="T27" i="2"/>
  <c r="T33" i="2"/>
  <c r="H33" i="3"/>
  <c r="T31" i="2"/>
  <c r="H31" i="3"/>
  <c r="J22" i="4"/>
  <c r="L22" i="4" s="1"/>
  <c r="L19" i="4"/>
  <c r="M57" i="5" s="1"/>
  <c r="X46" i="2"/>
  <c r="T36" i="2"/>
  <c r="H36" i="3"/>
  <c r="H34" i="3"/>
  <c r="T34" i="2"/>
  <c r="J22" i="3"/>
  <c r="L22" i="3" s="1"/>
  <c r="L19" i="3"/>
  <c r="K57" i="5" s="1"/>
  <c r="H28" i="3"/>
  <c r="T28" i="2"/>
  <c r="T42" i="2"/>
  <c r="T44" i="2" s="1"/>
  <c r="H42" i="3"/>
  <c r="H46" i="2" l="1"/>
  <c r="H48" i="2" s="1"/>
  <c r="H37" i="3"/>
  <c r="T37" i="2"/>
  <c r="T38" i="2" s="1"/>
  <c r="T46" i="2" s="1"/>
  <c r="T48" i="2" s="1"/>
  <c r="K61" i="5"/>
  <c r="N19" i="3"/>
  <c r="I57" i="5"/>
  <c r="I61" i="5" s="1"/>
  <c r="V46" i="2"/>
  <c r="H38" i="3"/>
  <c r="H46" i="4"/>
  <c r="X48" i="2"/>
  <c r="N19" i="4"/>
  <c r="M61" i="5"/>
  <c r="P48" i="2"/>
  <c r="I27" i="4" l="1"/>
  <c r="J27" i="4" s="1"/>
  <c r="L27" i="4" s="1"/>
  <c r="I26" i="4"/>
  <c r="J26" i="4" s="1"/>
  <c r="L26" i="4" s="1"/>
  <c r="I35" i="4"/>
  <c r="H48" i="4"/>
  <c r="I29" i="4"/>
  <c r="I39" i="4"/>
  <c r="I40" i="4"/>
  <c r="I32" i="4"/>
  <c r="J32" i="4" s="1"/>
  <c r="L32" i="4" s="1"/>
  <c r="I33" i="4"/>
  <c r="J33" i="4" s="1"/>
  <c r="L33" i="4" s="1"/>
  <c r="I28" i="4"/>
  <c r="J28" i="4" s="1"/>
  <c r="L28" i="4" s="1"/>
  <c r="I43" i="4"/>
  <c r="J43" i="4" s="1"/>
  <c r="L43" i="4" s="1"/>
  <c r="I30" i="4"/>
  <c r="J30" i="4" s="1"/>
  <c r="L30" i="4" s="1"/>
  <c r="I31" i="4"/>
  <c r="J31" i="4" s="1"/>
  <c r="L31" i="4" s="1"/>
  <c r="I42" i="4"/>
  <c r="J42" i="4" s="1"/>
  <c r="L42" i="4" s="1"/>
  <c r="I34" i="4"/>
  <c r="J34" i="4" s="1"/>
  <c r="L34" i="4" s="1"/>
  <c r="I36" i="4"/>
  <c r="J36" i="4" s="1"/>
  <c r="L36" i="4" s="1"/>
  <c r="I37" i="4"/>
  <c r="J37" i="4" s="1"/>
  <c r="L37" i="4" s="1"/>
  <c r="I38" i="4"/>
  <c r="I41" i="4"/>
  <c r="J41" i="4" s="1"/>
  <c r="N22" i="4"/>
  <c r="P22" i="4" s="1"/>
  <c r="P19" i="4"/>
  <c r="H46" i="3"/>
  <c r="V48" i="2"/>
  <c r="P19" i="3"/>
  <c r="N22" i="3"/>
  <c r="P22" i="3" s="1"/>
  <c r="I26" i="3" l="1"/>
  <c r="J26" i="3" s="1"/>
  <c r="L26" i="3" s="1"/>
  <c r="I27" i="3"/>
  <c r="J27" i="3" s="1"/>
  <c r="L27" i="3" s="1"/>
  <c r="I39" i="3"/>
  <c r="I40" i="3"/>
  <c r="H48" i="3"/>
  <c r="I29" i="3"/>
  <c r="I35" i="3"/>
  <c r="I30" i="3"/>
  <c r="J30" i="3" s="1"/>
  <c r="L30" i="3" s="1"/>
  <c r="I43" i="3"/>
  <c r="J43" i="3" s="1"/>
  <c r="L43" i="3" s="1"/>
  <c r="I32" i="3"/>
  <c r="J32" i="3" s="1"/>
  <c r="L32" i="3" s="1"/>
  <c r="I41" i="3"/>
  <c r="J41" i="3" s="1"/>
  <c r="I42" i="3"/>
  <c r="J42" i="3" s="1"/>
  <c r="L42" i="3" s="1"/>
  <c r="I36" i="3"/>
  <c r="J36" i="3" s="1"/>
  <c r="L36" i="3" s="1"/>
  <c r="I28" i="3"/>
  <c r="J28" i="3" s="1"/>
  <c r="L28" i="3" s="1"/>
  <c r="I37" i="3"/>
  <c r="J37" i="3" s="1"/>
  <c r="L37" i="3" s="1"/>
  <c r="I34" i="3"/>
  <c r="J34" i="3" s="1"/>
  <c r="L34" i="3" s="1"/>
  <c r="I31" i="3"/>
  <c r="J31" i="3" s="1"/>
  <c r="L31" i="3" s="1"/>
  <c r="I33" i="3"/>
  <c r="J33" i="3" s="1"/>
  <c r="L33" i="3" s="1"/>
  <c r="I38" i="3"/>
  <c r="J44" i="4"/>
  <c r="L41" i="4"/>
  <c r="J38" i="4"/>
  <c r="L38" i="4" s="1"/>
  <c r="J44" i="3" l="1"/>
  <c r="L41" i="3"/>
  <c r="J38" i="3"/>
  <c r="L38" i="3" s="1"/>
  <c r="J46" i="4"/>
  <c r="L44" i="4"/>
  <c r="J46" i="3" l="1"/>
  <c r="L44" i="3"/>
  <c r="J48" i="4"/>
  <c r="L46" i="4"/>
  <c r="M26" i="4" l="1"/>
  <c r="N26" i="4" s="1"/>
  <c r="M27" i="4"/>
  <c r="N27" i="4" s="1"/>
  <c r="P27" i="4" s="1"/>
  <c r="M40" i="4"/>
  <c r="L48" i="4"/>
  <c r="M39" i="4"/>
  <c r="M36" i="4"/>
  <c r="N36" i="4" s="1"/>
  <c r="P36" i="4" s="1"/>
  <c r="M31" i="4"/>
  <c r="N31" i="4" s="1"/>
  <c r="P31" i="4" s="1"/>
  <c r="M33" i="4"/>
  <c r="N33" i="4" s="1"/>
  <c r="P33" i="4" s="1"/>
  <c r="M43" i="4"/>
  <c r="N43" i="4" s="1"/>
  <c r="P43" i="4" s="1"/>
  <c r="M37" i="4"/>
  <c r="N37" i="4" s="1"/>
  <c r="P37" i="4" s="1"/>
  <c r="M28" i="4"/>
  <c r="N28" i="4" s="1"/>
  <c r="P28" i="4" s="1"/>
  <c r="M34" i="4"/>
  <c r="N34" i="4" s="1"/>
  <c r="P34" i="4" s="1"/>
  <c r="M32" i="4"/>
  <c r="N32" i="4" s="1"/>
  <c r="P32" i="4" s="1"/>
  <c r="M42" i="4"/>
  <c r="N42" i="4" s="1"/>
  <c r="P42" i="4" s="1"/>
  <c r="M30" i="4"/>
  <c r="N30" i="4" s="1"/>
  <c r="P30" i="4" s="1"/>
  <c r="M38" i="4"/>
  <c r="M41" i="4"/>
  <c r="N41" i="4" s="1"/>
  <c r="J48" i="3"/>
  <c r="L46" i="3"/>
  <c r="M27" i="3" l="1"/>
  <c r="N27" i="3" s="1"/>
  <c r="P27" i="3" s="1"/>
  <c r="M26" i="3"/>
  <c r="N26" i="3" s="1"/>
  <c r="P41" i="4"/>
  <c r="N44" i="4"/>
  <c r="M29" i="3"/>
  <c r="M39" i="3"/>
  <c r="M40" i="3"/>
  <c r="L48" i="3"/>
  <c r="M35" i="3"/>
  <c r="M28" i="3"/>
  <c r="N28" i="3" s="1"/>
  <c r="P28" i="3" s="1"/>
  <c r="M43" i="3"/>
  <c r="N43" i="3" s="1"/>
  <c r="P43" i="3" s="1"/>
  <c r="M36" i="3"/>
  <c r="N36" i="3" s="1"/>
  <c r="P36" i="3" s="1"/>
  <c r="M42" i="3"/>
  <c r="N42" i="3" s="1"/>
  <c r="P42" i="3" s="1"/>
  <c r="M33" i="3"/>
  <c r="N33" i="3" s="1"/>
  <c r="P33" i="3" s="1"/>
  <c r="M30" i="3"/>
  <c r="N30" i="3" s="1"/>
  <c r="P30" i="3" s="1"/>
  <c r="M34" i="3"/>
  <c r="N34" i="3" s="1"/>
  <c r="P34" i="3" s="1"/>
  <c r="M32" i="3"/>
  <c r="N32" i="3" s="1"/>
  <c r="P32" i="3" s="1"/>
  <c r="M31" i="3"/>
  <c r="N31" i="3" s="1"/>
  <c r="P31" i="3" s="1"/>
  <c r="M37" i="3"/>
  <c r="N37" i="3" s="1"/>
  <c r="P37" i="3" s="1"/>
  <c r="M41" i="3"/>
  <c r="N41" i="3" s="1"/>
  <c r="M38" i="3"/>
  <c r="N38" i="4"/>
  <c r="P38" i="4" s="1"/>
  <c r="P26" i="4"/>
  <c r="P26" i="3" l="1"/>
  <c r="N38" i="3"/>
  <c r="P38" i="3" s="1"/>
  <c r="P41" i="3"/>
  <c r="N44" i="3"/>
  <c r="N46" i="4"/>
  <c r="P44" i="4"/>
  <c r="N46" i="3" l="1"/>
  <c r="P44" i="3"/>
  <c r="N48" i="4"/>
  <c r="P46" i="4"/>
  <c r="P48" i="4" s="1"/>
  <c r="P46" i="3" l="1"/>
  <c r="P48" i="3" s="1"/>
  <c r="N48" i="3"/>
</calcChain>
</file>

<file path=xl/sharedStrings.xml><?xml version="1.0" encoding="utf-8"?>
<sst xmlns="http://schemas.openxmlformats.org/spreadsheetml/2006/main" count="264" uniqueCount="101">
  <si>
    <t>Page 1 of  5</t>
  </si>
  <si>
    <t>Transportation</t>
  </si>
  <si>
    <t>Total</t>
  </si>
  <si>
    <t>Electric</t>
  </si>
  <si>
    <t>Gas</t>
  </si>
  <si>
    <t>(a) = (b) + (c)</t>
  </si>
  <si>
    <t>(b)</t>
  </si>
  <si>
    <t>(c)</t>
  </si>
  <si>
    <t>(d) = (e) + (f)</t>
  </si>
  <si>
    <t>(e)</t>
  </si>
  <si>
    <t>(f)</t>
  </si>
  <si>
    <t>(g) = (h) + (i)</t>
  </si>
  <si>
    <t>(h) = (b) + (e)</t>
  </si>
  <si>
    <t>(i) = (c) + (f)</t>
  </si>
  <si>
    <t>Provider Company:</t>
  </si>
  <si>
    <t>Operation:</t>
  </si>
  <si>
    <t>Production Expenses</t>
  </si>
  <si>
    <t>Power Production Expenses</t>
  </si>
  <si>
    <t>Natural Gas Storage, Terminaling</t>
  </si>
  <si>
    <t>and Processing Exp.</t>
  </si>
  <si>
    <t>Transmission Expenses</t>
  </si>
  <si>
    <t>Regional Market Expenses</t>
  </si>
  <si>
    <t>Distribution Expenses</t>
  </si>
  <si>
    <t>Customer Accounts Expenses</t>
  </si>
  <si>
    <t xml:space="preserve">Customer Service and </t>
  </si>
  <si>
    <t>Informational Expenses</t>
  </si>
  <si>
    <t>Sales Expenses</t>
  </si>
  <si>
    <t>Administrative &amp; General Expenses</t>
  </si>
  <si>
    <t>Sub Total</t>
  </si>
  <si>
    <t>Maintenance:</t>
  </si>
  <si>
    <t>TOTAL</t>
  </si>
  <si>
    <t>Column Notes</t>
  </si>
  <si>
    <t>Per Company Books</t>
  </si>
  <si>
    <t>Page 5, Line 18</t>
  </si>
  <si>
    <t>Page 2 of  5</t>
  </si>
  <si>
    <t>(a)</t>
  </si>
  <si>
    <t>Page 1, Column (g)</t>
  </si>
  <si>
    <t>Page 1, Column (h)</t>
  </si>
  <si>
    <t>Page 1, Column (i)</t>
  </si>
  <si>
    <t>Page 5, Line 27</t>
  </si>
  <si>
    <t>(h)</t>
  </si>
  <si>
    <t>(b) + (e)</t>
  </si>
  <si>
    <t>(i)</t>
  </si>
  <si>
    <t>(c) + (f)</t>
  </si>
  <si>
    <t>Page 3 of  5</t>
  </si>
  <si>
    <t>(c) = (a) + (b)</t>
  </si>
  <si>
    <t>(d)</t>
  </si>
  <si>
    <t>(e) = (c) + (d)</t>
  </si>
  <si>
    <t>Natural Gas Storag, Terminaling</t>
  </si>
  <si>
    <t>Page 2, Column (h)</t>
  </si>
  <si>
    <t>Page 5, Line 36</t>
  </si>
  <si>
    <t>(a) + (b)</t>
  </si>
  <si>
    <t>Page 5, Line 45</t>
  </si>
  <si>
    <t>(c) + (d)</t>
  </si>
  <si>
    <t>Page 4 of  5</t>
  </si>
  <si>
    <t>Page 5 of  5</t>
  </si>
  <si>
    <t>Explanation of Adjustments:</t>
  </si>
  <si>
    <t>Provider Company</t>
  </si>
  <si>
    <t>Source Workpaper</t>
  </si>
  <si>
    <t>Page 2</t>
  </si>
  <si>
    <t>Page 1</t>
  </si>
  <si>
    <t>Adjustments:  (to normalize Historic Year)</t>
  </si>
  <si>
    <t>Remove Transmission Expense</t>
  </si>
  <si>
    <t>Workpaper SAB-1, Line 20(a)</t>
  </si>
  <si>
    <t>Workpaper SAB-1, Line 20(b)</t>
  </si>
  <si>
    <t>Workpaper SAB-1, Line 20(c)</t>
  </si>
  <si>
    <t>Vegetation Management (ISR)</t>
  </si>
  <si>
    <t>Workpaper SAB-9, Page 2</t>
  </si>
  <si>
    <t>Other O&amp;M (ISR)</t>
  </si>
  <si>
    <t>Narragansett Electric Company</t>
  </si>
  <si>
    <t>Workpaper SAB-9, Page 5</t>
  </si>
  <si>
    <t>Inspection &amp; Maintenance (ISR)</t>
  </si>
  <si>
    <t>Workpaper SAB-9, Page 4</t>
  </si>
  <si>
    <t>Gas Commodity Adjustment</t>
  </si>
  <si>
    <t>Adjustments:  (to reflect conditions in the Rate Year)</t>
  </si>
  <si>
    <t>General inflation %</t>
  </si>
  <si>
    <t>Schedule SAB-3, Page 5</t>
  </si>
  <si>
    <t>Page 3</t>
  </si>
  <si>
    <t>Adjustments:  (to reflect conditions in the Rate Year 2)</t>
  </si>
  <si>
    <t>Page 4</t>
  </si>
  <si>
    <t>Adjustments:  (to reflect conditions in the Rate Year 3)</t>
  </si>
  <si>
    <t xml:space="preserve"> </t>
  </si>
  <si>
    <t/>
  </si>
  <si>
    <t>THE NARRAGANSETT ELECTRIC COMPANY</t>
  </si>
  <si>
    <t>Operating Expenses by Component</t>
  </si>
  <si>
    <t>Data Year 1 Ending July 31, 2029</t>
  </si>
  <si>
    <t>Rate Year 2 Ending July 31, 2028</t>
  </si>
  <si>
    <t>Normalizing Adjustments</t>
  </si>
  <si>
    <t>Proforma Adjustments</t>
  </si>
  <si>
    <t>Rate Year Ending July 31, 2027</t>
  </si>
  <si>
    <t>Adjustments to Reflect Conditions in Rate Year Ending July 31, 2028</t>
  </si>
  <si>
    <t>Adjustments to Reflect Conditions in Rate Year Ending July 31, 2029</t>
  </si>
  <si>
    <t>Test Year Ended August 31, 2025
(as Adjusted)</t>
  </si>
  <si>
    <t>d/b/a RHODE ISLAND ENERGY</t>
  </si>
  <si>
    <t>RIPUC Docket No. 25-45-GE</t>
  </si>
  <si>
    <t>The Narragansett Electric Company d/b/a Rhode Island Energy</t>
  </si>
  <si>
    <t>Test Year Ended August 31, 2025
(Per Books)</t>
  </si>
  <si>
    <t>Adjustments to Reflect Conditions in Data Year Ending July 31, 2029</t>
  </si>
  <si>
    <t>Schedule SAB- 35</t>
  </si>
  <si>
    <t>PPL Services Corporation</t>
  </si>
  <si>
    <t>All Other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</si>
</sst>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0%"/>
    <numFmt numFmtId="165" formatCode="_(* #,##0_);_(* \(#,##0\);_(* &quot;-&quot;??_);_(@_)"/>
  </numFmts>
  <fonts count="8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0"/>
      <name val="Arial"/>
      <family val="2"/>
    </font>
    <font>
      <b/>
      <i/>
      <sz val="10"/>
      <name val="Arial"/>
      <family val="2"/>
    </font>
    <font>
      <u/>
      <sz val="11"/>
      <color theme="1"/>
      <name val="times new roman"/>
      <family val="2"/>
    </font>
    <font>
      <sz val="10"/>
      <color rgb="FF000000"/>
      <name val="Arial"/>
      <family val="2"/>
    </font>
    <font>
      <sz val="11"/>
      <color indexed="8"/>
      <name val="Times New Roman"/>
      <family val="1"/>
    </font>
    <font>
      <sz val="11"/>
      <color theme="0"/>
      <name val="Times New Roman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5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5" fontId="0" fillId="0" borderId="0" xfId="0" applyNumberFormat="1"/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5" fontId="0" fillId="0" borderId="2" xfId="0" applyNumberFormat="1" applyBorder="1"/>
    <xf numFmtId="5" fontId="0" fillId="0" borderId="3" xfId="0" applyNumberFormat="1" applyBorder="1"/>
    <xf numFmtId="5" fontId="0" fillId="0" borderId="4" xfId="0" applyNumberFormat="1" applyBorder="1"/>
    <xf numFmtId="0" fontId="0" fillId="0" borderId="1" xfId="0" applyBorder="1" applyAlignment="1">
      <alignment horizontal="centerContinuous" wrapText="1"/>
    </xf>
    <xf numFmtId="0" fontId="4" fillId="0" borderId="0" xfId="0" applyFo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0" xfId="1" applyNumberFormat="1" applyFont="1" applyAlignment="1">
      <alignment horizontal="left"/>
    </xf>
    <xf numFmtId="10" fontId="0" fillId="0" borderId="0" xfId="1" applyNumberFormat="1" applyFont="1"/>
    <xf numFmtId="0" fontId="6" fillId="0" borderId="0" xfId="0" applyFont="1"/>
    <xf numFmtId="7" fontId="0" fillId="0" borderId="0" xfId="0" applyNumberFormat="1"/>
    <xf numFmtId="10" fontId="0" fillId="0" borderId="0" xfId="0" applyNumberFormat="1"/>
    <xf numFmtId="0" fontId="7" fillId="0" borderId="0" xfId="0" applyFont="1"/>
    <xf numFmtId="0" fontId="4" fillId="0" borderId="0" xfId="0" applyFont="1" applyAlignment="1">
      <alignment horizontal="left"/>
    </xf>
    <xf numFmtId="165" fontId="0" fillId="0" borderId="0" xfId="0" applyNumberFormat="1"/>
  </cellXfs>
  <cellStyles count="7">
    <cellStyle name="Comma 10 3" xfId="3" xr:uid="{00000000-0005-0000-0000-000000000000}"/>
    <cellStyle name="Comma 2 124" xfId="2" xr:uid="{00000000-0005-0000-0000-000001000000}"/>
    <cellStyle name="Comma 2 2" xfId="4" xr:uid="{00000000-0005-0000-0000-000002000000}"/>
    <cellStyle name="Normal" xfId="0" builtinId="0"/>
    <cellStyle name="Normal 2" xfId="5" xr:uid="{00000000-0005-0000-0000-000004000000}"/>
    <cellStyle name="Normal 8" xfId="6" xr:uid="{00000000-0005-0000-0000-000005000000}"/>
    <cellStyle name="Percent" xfId="1" builtinId="5"/>
  </cellStyles>
  <dxfs count="0"/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3"/>
  <sheetViews>
    <sheetView tabSelected="1" topLeftCell="A19" zoomScale="80" zoomScaleNormal="80" workbookViewId="0">
      <selection activeCell="T35" sqref="T35"/>
    </sheetView>
  </sheetViews>
  <sheetFormatPr defaultRowHeight="15" x14ac:dyDescent="0.25"/>
  <cols>
    <col min="1" max="1" width="5.28515625" style="5" customWidth="1"/>
    <col min="2" max="5" width="2.7109375" customWidth="1"/>
    <col min="6" max="6" width="22.7109375" customWidth="1"/>
    <col min="7" max="7" width="2.7109375" customWidth="1"/>
    <col min="8" max="8" width="12.7109375" customWidth="1"/>
    <col min="9" max="9" width="2.7109375" customWidth="1"/>
    <col min="10" max="10" width="12.7109375" customWidth="1"/>
    <col min="11" max="11" width="2.7109375" customWidth="1"/>
    <col min="12" max="12" width="12.7109375" customWidth="1"/>
    <col min="13" max="13" width="2.7109375" customWidth="1"/>
    <col min="14" max="14" width="12.7109375" customWidth="1"/>
    <col min="15" max="15" width="2.7109375" customWidth="1"/>
    <col min="16" max="16" width="12.7109375" customWidth="1"/>
    <col min="17" max="17" width="2.7109375" customWidth="1"/>
    <col min="18" max="18" width="12.7109375" customWidth="1"/>
    <col min="19" max="19" width="2.7109375" customWidth="1"/>
    <col min="20" max="20" width="12.7109375" customWidth="1"/>
    <col min="21" max="21" width="2.7109375" customWidth="1"/>
    <col min="22" max="22" width="12.7109375" customWidth="1"/>
    <col min="23" max="23" width="2.7109375" customWidth="1"/>
    <col min="24" max="24" width="12.7109375" customWidth="1"/>
  </cols>
  <sheetData>
    <row r="1" spans="1:24" x14ac:dyDescent="0.25">
      <c r="X1" s="1" t="s">
        <v>83</v>
      </c>
    </row>
    <row r="2" spans="1:24" x14ac:dyDescent="0.25">
      <c r="X2" s="1" t="s">
        <v>93</v>
      </c>
    </row>
    <row r="3" spans="1:24" x14ac:dyDescent="0.25">
      <c r="X3" s="1" t="s">
        <v>94</v>
      </c>
    </row>
    <row r="4" spans="1:24" hidden="1" x14ac:dyDescent="0.25">
      <c r="X4" s="1">
        <v>0</v>
      </c>
    </row>
    <row r="5" spans="1:24" x14ac:dyDescent="0.25">
      <c r="X5" s="1" t="s">
        <v>98</v>
      </c>
    </row>
    <row r="6" spans="1:24" x14ac:dyDescent="0.25">
      <c r="X6" s="1" t="s">
        <v>0</v>
      </c>
    </row>
    <row r="8" spans="1:24" x14ac:dyDescent="0.25">
      <c r="X8" s="1" t="s">
        <v>81</v>
      </c>
    </row>
    <row r="9" spans="1:24" x14ac:dyDescent="0.25">
      <c r="X9" s="1" t="s">
        <v>82</v>
      </c>
    </row>
    <row r="10" spans="1:24" x14ac:dyDescent="0.25">
      <c r="A10" s="3" t="s">
        <v>95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5">
      <c r="A11" s="3" t="s">
        <v>84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5">
      <c r="A12" s="3" t="s">
        <v>1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5" spans="1:24" ht="27.6" customHeight="1" x14ac:dyDescent="0.25">
      <c r="H15" s="10" t="s">
        <v>96</v>
      </c>
      <c r="I15" s="4"/>
      <c r="J15" s="4"/>
      <c r="K15" s="4"/>
      <c r="L15" s="4"/>
      <c r="N15" s="10" t="s">
        <v>87</v>
      </c>
      <c r="O15" s="4"/>
      <c r="P15" s="4"/>
      <c r="Q15" s="4"/>
      <c r="R15" s="4"/>
      <c r="T15" s="10" t="s">
        <v>92</v>
      </c>
      <c r="U15" s="4"/>
      <c r="V15" s="4"/>
      <c r="W15" s="4"/>
      <c r="X15" s="4"/>
    </row>
    <row r="16" spans="1:24" x14ac:dyDescent="0.25">
      <c r="H16" s="6" t="s">
        <v>2</v>
      </c>
      <c r="J16" s="6" t="s">
        <v>3</v>
      </c>
      <c r="L16" s="6" t="s">
        <v>4</v>
      </c>
      <c r="N16" s="6" t="s">
        <v>2</v>
      </c>
      <c r="P16" s="6" t="s">
        <v>3</v>
      </c>
      <c r="R16" s="6" t="s">
        <v>4</v>
      </c>
      <c r="T16" s="6" t="s">
        <v>2</v>
      </c>
      <c r="V16" s="6" t="s">
        <v>3</v>
      </c>
      <c r="X16" s="6" t="s">
        <v>4</v>
      </c>
    </row>
    <row r="17" spans="1:24" x14ac:dyDescent="0.25">
      <c r="H17" s="5" t="s">
        <v>5</v>
      </c>
      <c r="J17" s="5" t="s">
        <v>6</v>
      </c>
      <c r="L17" s="5" t="s">
        <v>7</v>
      </c>
      <c r="N17" s="5" t="s">
        <v>8</v>
      </c>
      <c r="P17" s="5" t="s">
        <v>9</v>
      </c>
      <c r="R17" s="5" t="s">
        <v>10</v>
      </c>
      <c r="T17" s="5" t="s">
        <v>11</v>
      </c>
      <c r="V17" s="5" t="s">
        <v>12</v>
      </c>
      <c r="X17" s="5" t="s">
        <v>13</v>
      </c>
    </row>
    <row r="18" spans="1:24" x14ac:dyDescent="0.25">
      <c r="B18" t="s">
        <v>14</v>
      </c>
    </row>
    <row r="19" spans="1:24" x14ac:dyDescent="0.25">
      <c r="A19" s="5">
        <v>1</v>
      </c>
      <c r="C19" t="s">
        <v>69</v>
      </c>
      <c r="H19" s="2">
        <f>SUM(J19:L19)</f>
        <v>9601719.5600000583</v>
      </c>
      <c r="J19" s="2">
        <v>5332839.1000000574</v>
      </c>
      <c r="L19" s="2">
        <v>4268880.4600000018</v>
      </c>
      <c r="N19" s="2">
        <f>SUM(P19:R19)</f>
        <v>-264267.63656745001</v>
      </c>
      <c r="P19" s="2">
        <f>+'Page 5'!K18+'Page 5'!K22+'Page 5'!K26+'Page 5'!K30+'Page 5'!K27</f>
        <v>-190335.63656744998</v>
      </c>
      <c r="R19" s="2">
        <f>'Page 5'!M28+'Page 5'!M30</f>
        <v>-73932</v>
      </c>
      <c r="T19" s="2">
        <f>SUM(V19:X19)</f>
        <v>9337451.9234326091</v>
      </c>
      <c r="V19" s="2">
        <f>+J19+P19</f>
        <v>5142503.4634326072</v>
      </c>
      <c r="X19" s="2">
        <f>+L19+R19</f>
        <v>4194948.4600000018</v>
      </c>
    </row>
    <row r="20" spans="1:24" x14ac:dyDescent="0.25">
      <c r="A20" s="5">
        <v>2</v>
      </c>
      <c r="C20" t="s">
        <v>99</v>
      </c>
      <c r="H20" s="2">
        <f>SUM(J20:L20)</f>
        <v>5702.6900000000005</v>
      </c>
      <c r="J20" s="2">
        <v>3793.8334465520456</v>
      </c>
      <c r="L20" s="2">
        <v>1908.8565534479549</v>
      </c>
      <c r="N20" s="2">
        <f>SUM(P20:R20)</f>
        <v>-28025.071800788017</v>
      </c>
      <c r="P20" s="2">
        <f>'Page 5'!K19+'Page 5'!K23+'Page 5'!K29</f>
        <v>-28025.071800788017</v>
      </c>
      <c r="R20" s="2">
        <f>'Page 5'!M21</f>
        <v>0</v>
      </c>
      <c r="T20" s="2">
        <f>SUM(V20:X20)</f>
        <v>-22322.381800788018</v>
      </c>
      <c r="V20" s="2">
        <f>+J20+P20</f>
        <v>-24231.238354235971</v>
      </c>
      <c r="X20" s="2">
        <f>+L20+R20</f>
        <v>1908.8565534479549</v>
      </c>
    </row>
    <row r="21" spans="1:24" x14ac:dyDescent="0.25">
      <c r="A21" s="5">
        <v>3</v>
      </c>
      <c r="C21" t="s">
        <v>100</v>
      </c>
      <c r="H21" s="2">
        <f>SUM(J21:L21)</f>
        <v>727.07999999999993</v>
      </c>
      <c r="J21" s="2">
        <v>721.05</v>
      </c>
      <c r="L21" s="2">
        <v>6.03</v>
      </c>
      <c r="N21" s="2">
        <f>SUM(P21:R21)</f>
        <v>-60885.43</v>
      </c>
      <c r="P21" s="2">
        <f>'Page 5'!K20+'Page 5'!K24+'Page 5'!K31+'Page 5'!K32</f>
        <v>-60885.43</v>
      </c>
      <c r="R21" s="2">
        <f>+'Page 5'!M20+'Page 5'!M31</f>
        <v>0</v>
      </c>
      <c r="T21" s="2">
        <f>SUM(V21:X21)</f>
        <v>-60158.35</v>
      </c>
      <c r="V21" s="2">
        <f>+J21+P21</f>
        <v>-60164.38</v>
      </c>
      <c r="X21" s="2">
        <f>+L21+R21</f>
        <v>6.03</v>
      </c>
    </row>
    <row r="22" spans="1:24" ht="15.75" thickBot="1" x14ac:dyDescent="0.3">
      <c r="A22" s="5">
        <v>4</v>
      </c>
      <c r="D22" t="s">
        <v>2</v>
      </c>
      <c r="H22" s="7">
        <f>SUM(H19:H21)</f>
        <v>9608149.3300000578</v>
      </c>
      <c r="J22" s="7">
        <f>SUM(J19:J21)</f>
        <v>5337353.9834466092</v>
      </c>
      <c r="L22" s="7">
        <f>SUM(L19:L21)</f>
        <v>4270795.3465534505</v>
      </c>
      <c r="N22" s="7">
        <f>SUM(N19:N21)</f>
        <v>-353178.138368238</v>
      </c>
      <c r="P22" s="7">
        <f>SUM(P19:P21)</f>
        <v>-279246.138368238</v>
      </c>
      <c r="R22" s="7">
        <f>SUM(R19:R21)</f>
        <v>-73932</v>
      </c>
      <c r="T22" s="7">
        <f>SUM(T19:T21)</f>
        <v>9254971.1916318219</v>
      </c>
      <c r="V22" s="7">
        <f>SUM(V19:V21)</f>
        <v>5058107.8450783715</v>
      </c>
      <c r="X22" s="7">
        <f>SUM(X19:X21)</f>
        <v>4196863.3465534505</v>
      </c>
    </row>
    <row r="23" spans="1:24" ht="15.75" thickTop="1" x14ac:dyDescent="0.25">
      <c r="A23" s="5">
        <v>5</v>
      </c>
      <c r="H23" s="2"/>
      <c r="J23" s="2"/>
      <c r="L23" s="2"/>
      <c r="N23" s="2"/>
      <c r="P23" s="2"/>
      <c r="R23" s="2"/>
      <c r="T23" s="2"/>
      <c r="V23" s="2"/>
      <c r="X23" s="2"/>
    </row>
    <row r="24" spans="1:24" x14ac:dyDescent="0.25">
      <c r="A24" s="5">
        <v>6</v>
      </c>
      <c r="H24" s="2"/>
      <c r="J24" s="2"/>
      <c r="L24" s="2"/>
      <c r="N24" s="2"/>
      <c r="P24" s="2"/>
      <c r="R24" s="2"/>
      <c r="T24" s="2"/>
      <c r="V24" s="2"/>
      <c r="X24" s="2"/>
    </row>
    <row r="25" spans="1:24" x14ac:dyDescent="0.25">
      <c r="A25" s="5">
        <v>7</v>
      </c>
      <c r="B25" t="s">
        <v>15</v>
      </c>
      <c r="H25" s="2"/>
      <c r="J25" s="2"/>
      <c r="L25" s="2"/>
      <c r="N25" s="2"/>
      <c r="P25" s="2"/>
      <c r="R25" s="2"/>
      <c r="T25" s="2"/>
      <c r="V25" s="2"/>
      <c r="X25" s="2"/>
    </row>
    <row r="26" spans="1:24" x14ac:dyDescent="0.25">
      <c r="A26" s="5">
        <v>8</v>
      </c>
      <c r="C26" t="s">
        <v>16</v>
      </c>
      <c r="H26" s="2">
        <f>SUM(J26:L26)</f>
        <v>-13639.87</v>
      </c>
      <c r="J26" s="2">
        <v>-13639.87</v>
      </c>
      <c r="L26" s="2">
        <v>0</v>
      </c>
      <c r="N26" s="2">
        <f>SUM(P26:R26)</f>
        <v>713.63</v>
      </c>
      <c r="P26" s="2">
        <f>IFERROR(ROUND(J26/$J$46*$P$22,2),0)</f>
        <v>713.63</v>
      </c>
      <c r="R26" s="2">
        <f t="shared" ref="R26:R27" si="0">IFERROR(ROUND(L26/$L$46*$R$22,2),0)</f>
        <v>0</v>
      </c>
      <c r="T26" s="2">
        <f>SUM(V26:X26)</f>
        <v>-12926.240000000002</v>
      </c>
      <c r="V26" s="2">
        <f>+J26+P26</f>
        <v>-12926.240000000002</v>
      </c>
      <c r="X26" s="2">
        <f t="shared" ref="X26:X37" si="1">+L26+R26</f>
        <v>0</v>
      </c>
    </row>
    <row r="27" spans="1:24" x14ac:dyDescent="0.25">
      <c r="A27" s="5">
        <v>9</v>
      </c>
      <c r="C27" t="s">
        <v>17</v>
      </c>
      <c r="H27" s="2">
        <f>SUM(J27:L27)</f>
        <v>0</v>
      </c>
      <c r="J27" s="2">
        <v>0</v>
      </c>
      <c r="L27" s="2">
        <v>0</v>
      </c>
      <c r="N27" s="2">
        <f>SUM(P27:R27)</f>
        <v>0</v>
      </c>
      <c r="P27" s="2">
        <f t="shared" ref="P27:P28" si="2">IFERROR(ROUND(J27/$J$46*$P$22,2),0)</f>
        <v>0</v>
      </c>
      <c r="R27" s="2">
        <f t="shared" si="0"/>
        <v>0</v>
      </c>
      <c r="T27" s="2">
        <f>SUM(V27:X27)</f>
        <v>0</v>
      </c>
      <c r="V27" s="2">
        <f>+J27+P27</f>
        <v>0</v>
      </c>
      <c r="X27" s="2">
        <f t="shared" si="1"/>
        <v>0</v>
      </c>
    </row>
    <row r="28" spans="1:24" x14ac:dyDescent="0.25">
      <c r="A28" s="5">
        <v>10</v>
      </c>
      <c r="C28" t="s">
        <v>18</v>
      </c>
      <c r="H28" s="2">
        <f>SUM(J28:L28)</f>
        <v>241658.27999999994</v>
      </c>
      <c r="J28" s="2">
        <v>0</v>
      </c>
      <c r="L28" s="2">
        <v>241658.27999999994</v>
      </c>
      <c r="N28" s="2">
        <f>SUM(P28:R28)</f>
        <v>-4183.3599999999997</v>
      </c>
      <c r="P28" s="2">
        <f t="shared" si="2"/>
        <v>0</v>
      </c>
      <c r="R28" s="2">
        <f>IFERROR(ROUND(L28/$L$46*$R$22,2),0)</f>
        <v>-4183.3599999999997</v>
      </c>
      <c r="T28" s="2">
        <f>SUM(V28:X28)</f>
        <v>237474.91999999995</v>
      </c>
      <c r="V28" s="2">
        <f>+J28+P28</f>
        <v>0</v>
      </c>
      <c r="X28" s="2">
        <f t="shared" si="1"/>
        <v>237474.91999999995</v>
      </c>
    </row>
    <row r="29" spans="1:24" x14ac:dyDescent="0.25">
      <c r="A29" s="5">
        <v>11</v>
      </c>
      <c r="D29" t="s">
        <v>19</v>
      </c>
      <c r="H29" s="2"/>
      <c r="J29" s="2"/>
      <c r="L29" s="2"/>
      <c r="N29" s="2"/>
      <c r="P29" s="2"/>
      <c r="R29" s="2"/>
      <c r="T29" s="2"/>
      <c r="V29" s="2"/>
      <c r="X29" s="2"/>
    </row>
    <row r="30" spans="1:24" x14ac:dyDescent="0.25">
      <c r="A30" s="5">
        <v>12</v>
      </c>
      <c r="C30" t="s">
        <v>20</v>
      </c>
      <c r="H30" s="2">
        <f>SUM(J30:L30)</f>
        <v>45980.429999999993</v>
      </c>
      <c r="J30" s="2">
        <v>45980.429999999993</v>
      </c>
      <c r="L30" s="2">
        <v>0</v>
      </c>
      <c r="N30" s="2">
        <f>SUM(P30:R30)</f>
        <v>-2405.66</v>
      </c>
      <c r="P30" s="2">
        <f t="shared" ref="P30:P36" si="3">IFERROR(ROUND(J30/$J$46*$P$22,2),0)</f>
        <v>-2405.66</v>
      </c>
      <c r="R30" s="2">
        <f>IFERROR(ROUND(L30/$L$46*$R$22,2),0)</f>
        <v>0</v>
      </c>
      <c r="T30" s="2">
        <f>SUM(V30:X30)</f>
        <v>43574.76999999999</v>
      </c>
      <c r="V30" s="2">
        <f>+J30+P30</f>
        <v>43574.76999999999</v>
      </c>
      <c r="X30" s="2">
        <f t="shared" si="1"/>
        <v>0</v>
      </c>
    </row>
    <row r="31" spans="1:24" x14ac:dyDescent="0.25">
      <c r="A31" s="5">
        <v>13</v>
      </c>
      <c r="C31" t="s">
        <v>21</v>
      </c>
      <c r="H31" s="2">
        <f>SUM(J31:L31)</f>
        <v>0</v>
      </c>
      <c r="J31" s="2">
        <v>0</v>
      </c>
      <c r="L31" s="2">
        <v>0</v>
      </c>
      <c r="N31" s="2">
        <f>SUM(P31:R31)</f>
        <v>0</v>
      </c>
      <c r="P31" s="2">
        <f t="shared" si="3"/>
        <v>0</v>
      </c>
      <c r="R31" s="2">
        <f>IFERROR(ROUND(L31/$L$46*$R$22,2),0)</f>
        <v>0</v>
      </c>
      <c r="T31" s="2">
        <f>SUM(V31:X31)</f>
        <v>0</v>
      </c>
      <c r="V31" s="2">
        <f>+J31+P31</f>
        <v>0</v>
      </c>
      <c r="X31" s="2">
        <f t="shared" si="1"/>
        <v>0</v>
      </c>
    </row>
    <row r="32" spans="1:24" x14ac:dyDescent="0.25">
      <c r="A32" s="5">
        <v>14</v>
      </c>
      <c r="C32" t="s">
        <v>22</v>
      </c>
      <c r="H32" s="2">
        <f>SUM(J32:L32)</f>
        <v>4680838.8900000006</v>
      </c>
      <c r="J32" s="2">
        <v>2527787.9400000018</v>
      </c>
      <c r="L32" s="2">
        <v>2153050.9499999993</v>
      </c>
      <c r="N32" s="2">
        <f>SUM(P32:R32)</f>
        <v>-169523.47</v>
      </c>
      <c r="P32" s="2">
        <f t="shared" si="3"/>
        <v>-132251.87</v>
      </c>
      <c r="R32" s="2">
        <f>IFERROR(ROUND(L32/$L$46*$R$22,2),0)</f>
        <v>-37271.599999999999</v>
      </c>
      <c r="T32" s="2">
        <f>SUM(V32:X32)</f>
        <v>4511315.4200000009</v>
      </c>
      <c r="V32" s="2">
        <f>+J32+P32</f>
        <v>2395536.0700000017</v>
      </c>
      <c r="X32" s="2">
        <f t="shared" si="1"/>
        <v>2115779.3499999992</v>
      </c>
    </row>
    <row r="33" spans="1:24" x14ac:dyDescent="0.25">
      <c r="A33" s="5">
        <v>15</v>
      </c>
      <c r="C33" t="s">
        <v>23</v>
      </c>
      <c r="H33" s="2">
        <f>SUM(J33:L33)</f>
        <v>988930.65999999992</v>
      </c>
      <c r="J33" s="2">
        <v>640029.04379370762</v>
      </c>
      <c r="L33" s="2">
        <v>348901.6162062923</v>
      </c>
      <c r="N33" s="2">
        <f>SUM(P33:R33)</f>
        <v>-39525.67</v>
      </c>
      <c r="P33" s="2">
        <f t="shared" si="3"/>
        <v>-33485.81</v>
      </c>
      <c r="R33" s="2">
        <f>IFERROR(ROUND(L33/$L$46*$R$22,2),0)</f>
        <v>-6039.86</v>
      </c>
      <c r="T33" s="2">
        <f>SUM(V33:X33)</f>
        <v>949404.98999999987</v>
      </c>
      <c r="V33" s="2">
        <f>+J33+P33</f>
        <v>606543.23379370756</v>
      </c>
      <c r="X33" s="2">
        <f t="shared" si="1"/>
        <v>342861.75620629231</v>
      </c>
    </row>
    <row r="34" spans="1:24" x14ac:dyDescent="0.25">
      <c r="A34" s="5">
        <v>16</v>
      </c>
      <c r="C34" t="s">
        <v>24</v>
      </c>
      <c r="H34" s="2">
        <f>SUM(J34:L34)</f>
        <v>0</v>
      </c>
      <c r="J34" s="2">
        <v>0</v>
      </c>
      <c r="L34" s="2">
        <v>0</v>
      </c>
      <c r="N34" s="2">
        <f>SUM(P34:R34)</f>
        <v>0</v>
      </c>
      <c r="P34" s="2">
        <f t="shared" si="3"/>
        <v>0</v>
      </c>
      <c r="R34" s="2">
        <f>IFERROR(ROUND(L34/$L$46*$R$22,2),0)</f>
        <v>0</v>
      </c>
      <c r="T34" s="2">
        <f>SUM(V34:X34)</f>
        <v>0</v>
      </c>
      <c r="V34" s="2">
        <f>+J34+P34</f>
        <v>0</v>
      </c>
      <c r="X34" s="2">
        <f t="shared" si="1"/>
        <v>0</v>
      </c>
    </row>
    <row r="35" spans="1:24" x14ac:dyDescent="0.25">
      <c r="A35" s="5">
        <v>17</v>
      </c>
      <c r="D35" t="s">
        <v>25</v>
      </c>
      <c r="H35" s="2"/>
      <c r="J35" s="2"/>
      <c r="L35" s="2"/>
      <c r="N35" s="2"/>
      <c r="P35" s="2"/>
      <c r="R35" s="2"/>
      <c r="T35" s="2"/>
      <c r="V35" s="2"/>
      <c r="X35" s="2"/>
    </row>
    <row r="36" spans="1:24" x14ac:dyDescent="0.25">
      <c r="A36" s="5">
        <v>18</v>
      </c>
      <c r="C36" t="s">
        <v>26</v>
      </c>
      <c r="H36" s="2">
        <f>SUM(J36:L36)</f>
        <v>0</v>
      </c>
      <c r="J36" s="2">
        <v>0</v>
      </c>
      <c r="L36" s="2">
        <v>0</v>
      </c>
      <c r="N36" s="2">
        <f>SUM(P36:R36)</f>
        <v>0</v>
      </c>
      <c r="P36" s="2">
        <f t="shared" si="3"/>
        <v>0</v>
      </c>
      <c r="R36" s="2">
        <f t="shared" ref="R36" si="4">IFERROR(ROUND(L36/$L$46*$R$22,2),0)</f>
        <v>0</v>
      </c>
      <c r="T36" s="2">
        <f>SUM(V36:X36)</f>
        <v>0</v>
      </c>
      <c r="V36" s="2">
        <f>+J36+P36</f>
        <v>0</v>
      </c>
      <c r="X36" s="2">
        <f t="shared" si="1"/>
        <v>0</v>
      </c>
    </row>
    <row r="37" spans="1:24" x14ac:dyDescent="0.25">
      <c r="A37" s="5">
        <v>19</v>
      </c>
      <c r="C37" t="s">
        <v>27</v>
      </c>
      <c r="H37" s="2">
        <f>SUM(J37:L37)</f>
        <v>385199.65000000043</v>
      </c>
      <c r="J37" s="2">
        <v>165805.15965284462</v>
      </c>
      <c r="L37" s="2">
        <v>219394.49034715581</v>
      </c>
      <c r="N37" s="2">
        <f>SUM(P37:R37)</f>
        <v>-12472.738368237959</v>
      </c>
      <c r="P37" s="2">
        <f>P22-SUM(P26:P36,P41:P43)</f>
        <v>-8674.7883682379615</v>
      </c>
      <c r="R37" s="2">
        <f>R22-SUM(R26:R36,R41:R43)</f>
        <v>-3797.9499999999971</v>
      </c>
      <c r="T37" s="2">
        <f>SUM(V37:X37)</f>
        <v>372726.91163176252</v>
      </c>
      <c r="V37" s="2">
        <f>+J37+P37</f>
        <v>157130.37128460666</v>
      </c>
      <c r="X37" s="2">
        <f t="shared" si="1"/>
        <v>215596.54034715582</v>
      </c>
    </row>
    <row r="38" spans="1:24" x14ac:dyDescent="0.25">
      <c r="A38" s="5">
        <v>20</v>
      </c>
      <c r="D38" t="s">
        <v>28</v>
      </c>
      <c r="H38" s="8">
        <f>SUM(H26:H37)</f>
        <v>6328968.040000001</v>
      </c>
      <c r="J38" s="8">
        <f>SUM(J26:J37)</f>
        <v>3365962.703446554</v>
      </c>
      <c r="L38" s="8">
        <f>SUM(L26:L37)</f>
        <v>2963005.3365534474</v>
      </c>
      <c r="N38" s="8">
        <f>SUM(N26:N37)</f>
        <v>-227397.26836823794</v>
      </c>
      <c r="P38" s="8">
        <f>SUM(P26:P37)</f>
        <v>-176104.49836823795</v>
      </c>
      <c r="R38" s="8">
        <f>SUM(R26:R37)</f>
        <v>-51292.77</v>
      </c>
      <c r="T38" s="8">
        <f>SUM(T26:T37)</f>
        <v>6101570.7716317642</v>
      </c>
      <c r="V38" s="8">
        <f>SUM(V26:V37)</f>
        <v>3189858.2050783159</v>
      </c>
      <c r="X38" s="8">
        <f>SUM(X26:X37)</f>
        <v>2911712.5665534469</v>
      </c>
    </row>
    <row r="39" spans="1:24" x14ac:dyDescent="0.25">
      <c r="A39" s="5">
        <v>21</v>
      </c>
      <c r="H39" s="2"/>
      <c r="J39" s="2"/>
      <c r="L39" s="2"/>
      <c r="N39" s="2"/>
      <c r="P39" s="2"/>
      <c r="R39" s="2"/>
      <c r="T39" s="2"/>
      <c r="V39" s="2"/>
      <c r="X39" s="2"/>
    </row>
    <row r="40" spans="1:24" x14ac:dyDescent="0.25">
      <c r="A40" s="5">
        <v>22</v>
      </c>
      <c r="B40" t="s">
        <v>29</v>
      </c>
      <c r="H40" s="2"/>
      <c r="J40" s="2"/>
      <c r="L40" s="2"/>
      <c r="N40" s="2"/>
      <c r="P40" s="2"/>
      <c r="R40" s="2"/>
      <c r="T40" s="2"/>
      <c r="V40" s="2"/>
      <c r="X40" s="2"/>
    </row>
    <row r="41" spans="1:24" x14ac:dyDescent="0.25">
      <c r="A41" s="5">
        <v>23</v>
      </c>
      <c r="C41" t="s">
        <v>20</v>
      </c>
      <c r="H41" s="2">
        <f>SUM(J41:L41)</f>
        <v>131442.73000000004</v>
      </c>
      <c r="J41" s="2">
        <v>131442.73000000004</v>
      </c>
      <c r="L41" s="2">
        <v>0</v>
      </c>
      <c r="N41" s="2">
        <f>SUM(P41:R41)</f>
        <v>-6876.98</v>
      </c>
      <c r="P41" s="2">
        <f t="shared" ref="P41:P43" si="5">IFERROR(ROUND(J41/$J$46*$P$22,2),0)</f>
        <v>-6876.98</v>
      </c>
      <c r="R41" s="2">
        <f t="shared" ref="R41:R43" si="6">IFERROR(ROUND(L41/$L$46*$R$22,2),0)</f>
        <v>0</v>
      </c>
      <c r="T41" s="2">
        <f>SUM(V41:X41)</f>
        <v>124565.75000000004</v>
      </c>
      <c r="V41" s="2">
        <f>+J41+P41</f>
        <v>124565.75000000004</v>
      </c>
      <c r="X41" s="2">
        <f>+L41+R41</f>
        <v>0</v>
      </c>
    </row>
    <row r="42" spans="1:24" x14ac:dyDescent="0.25">
      <c r="A42" s="5">
        <v>24</v>
      </c>
      <c r="C42" t="s">
        <v>22</v>
      </c>
      <c r="H42" s="2">
        <f>SUM(J42:L42)</f>
        <v>3126375.5400000038</v>
      </c>
      <c r="J42" s="2">
        <v>1818585.5300000033</v>
      </c>
      <c r="L42" s="2">
        <v>1307790.0100000005</v>
      </c>
      <c r="N42" s="2">
        <f>SUM(P42:R42)</f>
        <v>-117786.19</v>
      </c>
      <c r="P42" s="2">
        <f t="shared" si="5"/>
        <v>-95146.96</v>
      </c>
      <c r="R42" s="2">
        <f t="shared" si="6"/>
        <v>-22639.23</v>
      </c>
      <c r="T42" s="2">
        <f>SUM(V42:X42)</f>
        <v>3008589.3500000038</v>
      </c>
      <c r="V42" s="2">
        <f>+J42+P42</f>
        <v>1723438.5700000033</v>
      </c>
      <c r="X42" s="2">
        <f>+L42+R42</f>
        <v>1285150.7800000005</v>
      </c>
    </row>
    <row r="43" spans="1:24" x14ac:dyDescent="0.25">
      <c r="A43" s="5">
        <v>25</v>
      </c>
      <c r="C43" t="s">
        <v>27</v>
      </c>
      <c r="H43" s="2">
        <f>SUM(J43:L43)</f>
        <v>21363.02</v>
      </c>
      <c r="J43" s="2">
        <v>21363.02</v>
      </c>
      <c r="L43" s="2">
        <v>0</v>
      </c>
      <c r="N43" s="2">
        <f>SUM(P43:R43)</f>
        <v>-1117.7</v>
      </c>
      <c r="P43" s="2">
        <f t="shared" si="5"/>
        <v>-1117.7</v>
      </c>
      <c r="R43" s="2">
        <f t="shared" si="6"/>
        <v>0</v>
      </c>
      <c r="T43" s="2">
        <f>SUM(V43:X43)</f>
        <v>20245.32</v>
      </c>
      <c r="V43" s="2">
        <f>+J43+P43</f>
        <v>20245.32</v>
      </c>
      <c r="X43" s="2">
        <f>+L43+R43</f>
        <v>0</v>
      </c>
    </row>
    <row r="44" spans="1:24" x14ac:dyDescent="0.25">
      <c r="A44" s="5">
        <v>26</v>
      </c>
      <c r="D44" t="s">
        <v>28</v>
      </c>
      <c r="H44" s="8">
        <f>SUM(H41:H43)</f>
        <v>3279181.2900000038</v>
      </c>
      <c r="J44" s="8">
        <f>SUM(J41:J43)</f>
        <v>1971391.2800000033</v>
      </c>
      <c r="L44" s="8">
        <f>SUM(L41:L43)</f>
        <v>1307790.0100000005</v>
      </c>
      <c r="N44" s="8">
        <f>SUM(N41:N43)</f>
        <v>-125780.87</v>
      </c>
      <c r="P44" s="8">
        <f>SUM(P41:P43)</f>
        <v>-103141.64</v>
      </c>
      <c r="R44" s="8">
        <f>SUM(R41:R43)</f>
        <v>-22639.23</v>
      </c>
      <c r="T44" s="8">
        <f>SUM(T41:T43)</f>
        <v>3153400.4200000037</v>
      </c>
      <c r="V44" s="8">
        <f>SUM(V41:V43)</f>
        <v>1868249.6400000034</v>
      </c>
      <c r="X44" s="8">
        <f>SUM(X41:X43)</f>
        <v>1285150.7800000005</v>
      </c>
    </row>
    <row r="45" spans="1:24" x14ac:dyDescent="0.25">
      <c r="A45" s="5">
        <v>27</v>
      </c>
      <c r="H45" s="2"/>
      <c r="J45" s="2"/>
      <c r="L45" s="2"/>
      <c r="N45" s="2"/>
      <c r="P45" s="2"/>
      <c r="R45" s="2"/>
      <c r="T45" s="2"/>
      <c r="V45" s="2"/>
      <c r="X45" s="2"/>
    </row>
    <row r="46" spans="1:24" ht="15.75" thickBot="1" x14ac:dyDescent="0.3">
      <c r="A46" s="5">
        <v>28</v>
      </c>
      <c r="D46" t="s">
        <v>30</v>
      </c>
      <c r="H46" s="9">
        <f>+H38+H44</f>
        <v>9608149.3300000057</v>
      </c>
      <c r="J46" s="9">
        <f>+J38+J44</f>
        <v>5337353.9834465571</v>
      </c>
      <c r="L46" s="9">
        <f>+L38+L44</f>
        <v>4270795.3465534477</v>
      </c>
      <c r="N46" s="9">
        <f>+N38+N44</f>
        <v>-353178.13836823794</v>
      </c>
      <c r="P46" s="9">
        <f>+P38+P44</f>
        <v>-279246.13836823794</v>
      </c>
      <c r="R46" s="9">
        <f>+R38+R44</f>
        <v>-73932</v>
      </c>
      <c r="T46" s="9">
        <f>+T38+T44</f>
        <v>9254971.1916317679</v>
      </c>
      <c r="V46" s="9">
        <f>+V38+V44</f>
        <v>5058107.8450783193</v>
      </c>
      <c r="X46" s="9">
        <f>+X38+X44</f>
        <v>4196863.3465534477</v>
      </c>
    </row>
    <row r="47" spans="1:24" ht="15.75" thickTop="1" x14ac:dyDescent="0.25">
      <c r="H47" s="2"/>
      <c r="J47" s="2"/>
      <c r="L47" s="2"/>
      <c r="N47" s="2"/>
      <c r="P47" s="2"/>
      <c r="R47" s="2"/>
      <c r="T47" s="2"/>
      <c r="V47" s="2"/>
      <c r="X47" s="2"/>
    </row>
    <row r="48" spans="1:24" hidden="1" x14ac:dyDescent="0.25">
      <c r="H48" s="2">
        <f>ROUND(H22,2)-ROUND(H46,2)</f>
        <v>0</v>
      </c>
      <c r="J48" s="2">
        <f>ROUND(J22,2)-ROUND(J46,2)</f>
        <v>0</v>
      </c>
      <c r="L48" s="2">
        <f>ROUND(L22,2)-ROUND(L46,2)</f>
        <v>0</v>
      </c>
      <c r="N48" s="2">
        <f>ROUND(N22,2)-ROUND(N46,2)</f>
        <v>0</v>
      </c>
      <c r="P48" s="2">
        <f>ROUND(P22,2)-ROUND(P46,2)</f>
        <v>0</v>
      </c>
      <c r="R48" s="2">
        <f>ROUND(R22,2)-ROUND(R46,2)</f>
        <v>0</v>
      </c>
      <c r="T48" s="2">
        <f>ROUND(T22,2)-ROUND(T46,2)</f>
        <v>0</v>
      </c>
      <c r="V48" s="2">
        <f>ROUND(V22,2)-ROUND(V46,2)</f>
        <v>0</v>
      </c>
      <c r="X48" s="2">
        <f>ROUND(X22,2)-ROUND(X46,2)</f>
        <v>0</v>
      </c>
    </row>
    <row r="49" spans="1:2" x14ac:dyDescent="0.25">
      <c r="A49" s="11" t="s">
        <v>31</v>
      </c>
    </row>
    <row r="50" spans="1:2" x14ac:dyDescent="0.25">
      <c r="A50" s="5" t="s">
        <v>6</v>
      </c>
      <c r="B50" t="s">
        <v>32</v>
      </c>
    </row>
    <row r="51" spans="1:2" x14ac:dyDescent="0.25">
      <c r="A51" s="5" t="s">
        <v>7</v>
      </c>
      <c r="B51" t="s">
        <v>32</v>
      </c>
    </row>
    <row r="52" spans="1:2" x14ac:dyDescent="0.25">
      <c r="A52" s="5" t="s">
        <v>9</v>
      </c>
      <c r="B52" t="s">
        <v>33</v>
      </c>
    </row>
    <row r="53" spans="1:2" x14ac:dyDescent="0.25">
      <c r="A53" s="5" t="s">
        <v>10</v>
      </c>
      <c r="B53" t="s">
        <v>33</v>
      </c>
    </row>
  </sheetData>
  <printOptions horizontalCentered="1"/>
  <pageMargins left="1" right="1" top="1" bottom="1" header="0.5" footer="0.5"/>
  <pageSetup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58"/>
  <sheetViews>
    <sheetView topLeftCell="A10" zoomScale="80" zoomScaleNormal="80" workbookViewId="0">
      <selection activeCell="M61" sqref="A7:M61"/>
    </sheetView>
  </sheetViews>
  <sheetFormatPr defaultRowHeight="15" x14ac:dyDescent="0.25"/>
  <cols>
    <col min="1" max="1" width="5.28515625" style="5" customWidth="1"/>
    <col min="2" max="5" width="2.7109375" customWidth="1"/>
    <col min="6" max="6" width="22.7109375" customWidth="1"/>
    <col min="7" max="7" width="2.7109375" customWidth="1"/>
    <col min="8" max="8" width="12.7109375" customWidth="1"/>
    <col min="9" max="9" width="2.7109375" customWidth="1"/>
    <col min="10" max="10" width="12.7109375" customWidth="1"/>
    <col min="11" max="11" width="2.7109375" customWidth="1"/>
    <col min="12" max="12" width="12.7109375" customWidth="1"/>
    <col min="13" max="13" width="2.7109375" customWidth="1"/>
    <col min="14" max="14" width="12.7109375" customWidth="1"/>
    <col min="15" max="15" width="2.7109375" customWidth="1"/>
    <col min="16" max="16" width="13" customWidth="1"/>
    <col min="17" max="17" width="2.7109375" customWidth="1"/>
    <col min="18" max="18" width="12.7109375" customWidth="1"/>
    <col min="19" max="19" width="2.7109375" customWidth="1"/>
    <col min="20" max="20" width="12.7109375" customWidth="1"/>
    <col min="21" max="21" width="2.7109375" customWidth="1"/>
    <col min="22" max="22" width="12.7109375" customWidth="1"/>
    <col min="23" max="23" width="2.7109375" customWidth="1"/>
    <col min="24" max="24" width="12.7109375" customWidth="1"/>
  </cols>
  <sheetData>
    <row r="1" spans="1:24" x14ac:dyDescent="0.25">
      <c r="X1" s="1" t="str">
        <f>'Page 1'!X1</f>
        <v>THE NARRAGANSETT ELECTRIC COMPANY</v>
      </c>
    </row>
    <row r="2" spans="1:24" x14ac:dyDescent="0.25">
      <c r="X2" s="1" t="str">
        <f>'Page 1'!X2</f>
        <v>d/b/a RHODE ISLAND ENERGY</v>
      </c>
    </row>
    <row r="3" spans="1:24" x14ac:dyDescent="0.25">
      <c r="X3" s="1" t="str">
        <f>'Page 1'!X3</f>
        <v>RIPUC Docket No. 25-45-GE</v>
      </c>
    </row>
    <row r="4" spans="1:24" hidden="1" x14ac:dyDescent="0.25">
      <c r="X4" s="1">
        <f>'Page 1'!X4</f>
        <v>0</v>
      </c>
    </row>
    <row r="5" spans="1:24" x14ac:dyDescent="0.25">
      <c r="X5" s="1" t="str">
        <f>'Page 1'!X5</f>
        <v>Schedule SAB- 35</v>
      </c>
    </row>
    <row r="6" spans="1:24" x14ac:dyDescent="0.25">
      <c r="X6" s="1" t="s">
        <v>34</v>
      </c>
    </row>
    <row r="8" spans="1:24" x14ac:dyDescent="0.25">
      <c r="X8" s="1" t="str">
        <f>'Page 1'!X8</f>
        <v xml:space="preserve"> </v>
      </c>
    </row>
    <row r="9" spans="1:24" x14ac:dyDescent="0.25">
      <c r="X9" s="1" t="str">
        <f>'Page 1'!X9</f>
        <v/>
      </c>
    </row>
    <row r="10" spans="1:24" x14ac:dyDescent="0.25">
      <c r="A10" s="3" t="str">
        <f>'Page 1'!A10</f>
        <v>The Narragansett Electric Company d/b/a Rhode Island Energy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5">
      <c r="A11" s="3" t="str">
        <f>'Page 1'!A11</f>
        <v>Operating Expenses by Component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5">
      <c r="A12" s="3" t="str">
        <f>+'Page 1'!A12</f>
        <v>Transportation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5" spans="1:24" ht="30" x14ac:dyDescent="0.25">
      <c r="H15" s="10" t="str">
        <f>'Page 1'!T15</f>
        <v>Test Year Ended August 31, 2025
(as Adjusted)</v>
      </c>
      <c r="I15" s="4"/>
      <c r="J15" s="4"/>
      <c r="K15" s="4"/>
      <c r="L15" s="4"/>
      <c r="N15" s="10" t="s">
        <v>88</v>
      </c>
      <c r="O15" s="4"/>
      <c r="P15" s="4"/>
      <c r="Q15" s="4"/>
      <c r="R15" s="4"/>
      <c r="T15" s="10" t="s">
        <v>89</v>
      </c>
      <c r="U15" s="4"/>
      <c r="V15" s="4"/>
      <c r="W15" s="4"/>
      <c r="X15" s="4"/>
    </row>
    <row r="16" spans="1:24" x14ac:dyDescent="0.25">
      <c r="H16" s="6" t="s">
        <v>2</v>
      </c>
      <c r="J16" s="6" t="s">
        <v>3</v>
      </c>
      <c r="L16" s="6" t="s">
        <v>4</v>
      </c>
      <c r="N16" s="6" t="s">
        <v>2</v>
      </c>
      <c r="P16" s="6" t="s">
        <v>3</v>
      </c>
      <c r="R16" s="6" t="s">
        <v>4</v>
      </c>
      <c r="T16" s="6" t="s">
        <v>2</v>
      </c>
      <c r="V16" s="6" t="s">
        <v>3</v>
      </c>
      <c r="X16" s="6" t="s">
        <v>4</v>
      </c>
    </row>
    <row r="17" spans="1:24" x14ac:dyDescent="0.25">
      <c r="H17" s="5" t="s">
        <v>5</v>
      </c>
      <c r="J17" s="5" t="s">
        <v>6</v>
      </c>
      <c r="L17" s="5" t="s">
        <v>7</v>
      </c>
      <c r="N17" s="5" t="s">
        <v>8</v>
      </c>
      <c r="P17" s="5" t="s">
        <v>9</v>
      </c>
      <c r="R17" s="5" t="s">
        <v>10</v>
      </c>
      <c r="T17" s="5" t="s">
        <v>11</v>
      </c>
      <c r="V17" s="5" t="s">
        <v>12</v>
      </c>
      <c r="X17" s="5" t="s">
        <v>13</v>
      </c>
    </row>
    <row r="18" spans="1:24" x14ac:dyDescent="0.25">
      <c r="B18" t="s">
        <v>14</v>
      </c>
    </row>
    <row r="19" spans="1:24" x14ac:dyDescent="0.25">
      <c r="A19" s="5">
        <v>1</v>
      </c>
      <c r="C19" t="str">
        <f>'Page 1'!C19</f>
        <v>Narragansett Electric Company</v>
      </c>
      <c r="H19" s="2">
        <f>+'Page 1'!T19</f>
        <v>9337451.9234326091</v>
      </c>
      <c r="J19" s="2">
        <f>+'Page 1'!V19</f>
        <v>5142503.4634326072</v>
      </c>
      <c r="L19" s="2">
        <f>+'Page 1'!X19</f>
        <v>4194948.4600000018</v>
      </c>
      <c r="N19" s="2">
        <f>SUM(P19:R19)</f>
        <v>491669.85389194172</v>
      </c>
      <c r="P19" s="2">
        <f>ROUND(J19*'Page 5'!$E$41,2)</f>
        <v>270782</v>
      </c>
      <c r="Q19" s="2"/>
      <c r="R19" s="2">
        <f>L19*'Page 5'!E41</f>
        <v>220887.85389194169</v>
      </c>
      <c r="T19" s="2">
        <f>SUM(V19:X19)</f>
        <v>9829121.7773245499</v>
      </c>
      <c r="V19" s="2">
        <f>+J19+P19</f>
        <v>5413285.4634326072</v>
      </c>
      <c r="X19" s="2">
        <f>+L19+R19</f>
        <v>4415836.3138919435</v>
      </c>
    </row>
    <row r="20" spans="1:24" x14ac:dyDescent="0.25">
      <c r="A20" s="5">
        <v>2</v>
      </c>
      <c r="C20" t="str">
        <f>'Page 1'!C20</f>
        <v>PPL Services Corporation</v>
      </c>
      <c r="H20" s="2">
        <f>+'Page 1'!T20</f>
        <v>-22322.381800788018</v>
      </c>
      <c r="J20" s="2">
        <f>+'Page 1'!V20</f>
        <v>-24231.238354235971</v>
      </c>
      <c r="L20" s="2">
        <f>+'Page 1'!X20</f>
        <v>1908.8565534479549</v>
      </c>
      <c r="N20" s="2">
        <f>SUM(P20:R20)</f>
        <v>-1175.3978646307166</v>
      </c>
      <c r="P20" s="2">
        <f>ROUND(J20*'Page 5'!$E$41,2)</f>
        <v>-1275.9100000000001</v>
      </c>
      <c r="Q20" s="2"/>
      <c r="R20" s="2">
        <f>L20*'Page 5'!E41</f>
        <v>100.51213536928343</v>
      </c>
      <c r="T20" s="2">
        <f>SUM(V20:X20)</f>
        <v>-23497.779665418733</v>
      </c>
      <c r="V20" s="2">
        <f>+J20+P20</f>
        <v>-25507.148354235971</v>
      </c>
      <c r="X20" s="2">
        <f>+L20+R20</f>
        <v>2009.3686888172383</v>
      </c>
    </row>
    <row r="21" spans="1:24" x14ac:dyDescent="0.25">
      <c r="A21" s="5">
        <v>3</v>
      </c>
      <c r="C21" t="str">
        <f>'Page 1'!C21</f>
        <v>All Other Companies</v>
      </c>
      <c r="H21" s="2">
        <f>+'Page 1'!T21</f>
        <v>-60158.35</v>
      </c>
      <c r="J21" s="2">
        <f>+'Page 1'!V21</f>
        <v>-60164.38</v>
      </c>
      <c r="L21" s="2">
        <f>+'Page 1'!X21</f>
        <v>6.03</v>
      </c>
      <c r="N21" s="2">
        <f>SUM(P21:R21)</f>
        <v>-3167.6824862637363</v>
      </c>
      <c r="P21" s="2">
        <f>ROUND(J21*'Page 5'!$E$41,2)</f>
        <v>-3168</v>
      </c>
      <c r="Q21" s="2"/>
      <c r="R21" s="2">
        <f>L21*'Page 5'!E41</f>
        <v>0.31751373626373658</v>
      </c>
      <c r="T21" s="2">
        <f>SUM(V21:X21)</f>
        <v>-63326.032486263735</v>
      </c>
      <c r="V21" s="2">
        <f>+J21+P21</f>
        <v>-63332.38</v>
      </c>
      <c r="X21" s="2">
        <f>+L21+R21</f>
        <v>6.3475137362637373</v>
      </c>
    </row>
    <row r="22" spans="1:24" ht="15.75" thickBot="1" x14ac:dyDescent="0.3">
      <c r="A22" s="5">
        <v>4</v>
      </c>
      <c r="D22" t="s">
        <v>2</v>
      </c>
      <c r="H22" s="7">
        <f>+'Page 1'!T22</f>
        <v>9254971.1916318219</v>
      </c>
      <c r="J22" s="7">
        <f>+'Page 1'!V22</f>
        <v>5058107.8450783715</v>
      </c>
      <c r="L22" s="7">
        <f>+'Page 1'!X22</f>
        <v>4196863.3465534505</v>
      </c>
      <c r="N22" s="7">
        <f>SUM(N19:N21)</f>
        <v>487326.77354104724</v>
      </c>
      <c r="O22" s="18"/>
      <c r="P22" s="7">
        <f>SUM(P19:P21)</f>
        <v>266338.09000000003</v>
      </c>
      <c r="Q22" s="18"/>
      <c r="R22" s="7">
        <f>SUM(R19:R21)</f>
        <v>220988.68354104724</v>
      </c>
      <c r="T22" s="7">
        <f>SUM(T19:T21)</f>
        <v>9742297.9651728682</v>
      </c>
      <c r="V22" s="7">
        <f>SUM(V19:V21)</f>
        <v>5324445.9350783713</v>
      </c>
      <c r="X22" s="7">
        <f>SUM(X19:X21)</f>
        <v>4417852.0300944969</v>
      </c>
    </row>
    <row r="23" spans="1:24" ht="15.75" thickTop="1" x14ac:dyDescent="0.25">
      <c r="A23" s="5">
        <v>5</v>
      </c>
      <c r="H23" s="2"/>
      <c r="J23" s="2"/>
      <c r="L23" s="2"/>
      <c r="N23" s="2"/>
      <c r="P23" s="2"/>
      <c r="R23" s="2"/>
      <c r="T23" s="2"/>
      <c r="V23" s="2"/>
      <c r="X23" s="2"/>
    </row>
    <row r="24" spans="1:24" x14ac:dyDescent="0.25">
      <c r="A24" s="5">
        <v>6</v>
      </c>
      <c r="H24" s="2"/>
      <c r="J24" s="2"/>
      <c r="L24" s="2"/>
      <c r="N24" s="2"/>
      <c r="P24" s="2"/>
      <c r="R24" s="2"/>
      <c r="T24" s="2"/>
      <c r="V24" s="2"/>
      <c r="X24" s="2"/>
    </row>
    <row r="25" spans="1:24" x14ac:dyDescent="0.25">
      <c r="A25" s="5">
        <v>7</v>
      </c>
      <c r="B25" t="s">
        <v>15</v>
      </c>
      <c r="H25" s="2"/>
      <c r="J25" s="2"/>
      <c r="L25" s="2"/>
      <c r="N25" s="2"/>
      <c r="P25" s="2"/>
      <c r="R25" s="2"/>
      <c r="T25" s="2"/>
      <c r="V25" s="2"/>
      <c r="X25" s="2"/>
    </row>
    <row r="26" spans="1:24" x14ac:dyDescent="0.25">
      <c r="A26" s="5">
        <v>8</v>
      </c>
      <c r="C26" t="s">
        <v>16</v>
      </c>
      <c r="H26" s="2">
        <f>+'Page 1'!T26</f>
        <v>-12926.240000000002</v>
      </c>
      <c r="J26" s="2">
        <f>+'Page 1'!V26</f>
        <v>-12926.240000000002</v>
      </c>
      <c r="L26" s="2">
        <f>+'Page 1'!X26</f>
        <v>0</v>
      </c>
      <c r="N26" s="2">
        <f>SUM(P26:R26)</f>
        <v>-680.64</v>
      </c>
      <c r="P26" s="2">
        <f>ROUND(J26*'Page 5'!$E$41,2)</f>
        <v>-680.64</v>
      </c>
      <c r="R26" s="2">
        <f>L26*'Page 5'!$E$41</f>
        <v>0</v>
      </c>
      <c r="T26" s="2">
        <f>SUM(V26:X26)</f>
        <v>-13606.880000000001</v>
      </c>
      <c r="V26" s="2">
        <f>+J26+P26</f>
        <v>-13606.880000000001</v>
      </c>
      <c r="X26" s="2">
        <f>+L26+R26</f>
        <v>0</v>
      </c>
    </row>
    <row r="27" spans="1:24" x14ac:dyDescent="0.25">
      <c r="A27" s="5">
        <v>9</v>
      </c>
      <c r="C27" t="s">
        <v>17</v>
      </c>
      <c r="H27" s="2">
        <f>+'Page 1'!T27</f>
        <v>0</v>
      </c>
      <c r="J27" s="2">
        <f>+'Page 1'!V27</f>
        <v>0</v>
      </c>
      <c r="L27" s="2">
        <f>+'Page 1'!X27</f>
        <v>0</v>
      </c>
      <c r="N27" s="2">
        <f>SUM(P27:R27)</f>
        <v>0</v>
      </c>
      <c r="P27" s="2">
        <f>ROUND(J27*'Page 5'!$E$41,2)</f>
        <v>0</v>
      </c>
      <c r="R27" s="2">
        <f>L27*'Page 5'!E41</f>
        <v>0</v>
      </c>
      <c r="T27" s="2">
        <f>SUM(V27:X27)</f>
        <v>0</v>
      </c>
      <c r="V27" s="2">
        <f>+J27+P27</f>
        <v>0</v>
      </c>
      <c r="X27" s="2">
        <f>+L27+R27</f>
        <v>0</v>
      </c>
    </row>
    <row r="28" spans="1:24" x14ac:dyDescent="0.25">
      <c r="A28" s="5">
        <v>10</v>
      </c>
      <c r="C28" t="s">
        <v>18</v>
      </c>
      <c r="H28" s="2">
        <f>+'Page 1'!T28</f>
        <v>237474.91999999995</v>
      </c>
      <c r="J28" s="2">
        <f>+'Page 1'!V28</f>
        <v>0</v>
      </c>
      <c r="L28" s="2">
        <f>+'Page 1'!X28</f>
        <v>237474.91999999995</v>
      </c>
      <c r="N28" s="2">
        <f>SUM(P28:R28)</f>
        <v>12504.402838827848</v>
      </c>
      <c r="P28" s="2">
        <f>ROUND(J28*'Page 5'!$E$41,2)</f>
        <v>0</v>
      </c>
      <c r="R28" s="2">
        <f>L28*'Page 5'!E41</f>
        <v>12504.402838827848</v>
      </c>
      <c r="T28" s="2">
        <f>SUM(V28:X28)</f>
        <v>249979.32283882779</v>
      </c>
      <c r="V28" s="2">
        <f>+J28+P28</f>
        <v>0</v>
      </c>
      <c r="X28" s="2">
        <f>+L28+R28</f>
        <v>249979.32283882779</v>
      </c>
    </row>
    <row r="29" spans="1:24" x14ac:dyDescent="0.25">
      <c r="A29" s="5">
        <v>11</v>
      </c>
      <c r="D29" t="s">
        <v>19</v>
      </c>
      <c r="H29" s="2"/>
      <c r="J29" s="2"/>
      <c r="L29" s="2"/>
      <c r="N29" s="2"/>
      <c r="P29" s="2"/>
      <c r="R29" s="2"/>
      <c r="T29" s="2"/>
      <c r="V29" s="2"/>
      <c r="X29" s="2"/>
    </row>
    <row r="30" spans="1:24" x14ac:dyDescent="0.25">
      <c r="A30" s="5">
        <v>12</v>
      </c>
      <c r="C30" t="s">
        <v>20</v>
      </c>
      <c r="H30" s="2">
        <f>+'Page 1'!T30</f>
        <v>43574.76999999999</v>
      </c>
      <c r="J30" s="2">
        <f>+'Page 1'!V30</f>
        <v>43574.76999999999</v>
      </c>
      <c r="L30" s="2">
        <f>+'Page 1'!X30</f>
        <v>0</v>
      </c>
      <c r="N30" s="2">
        <f>SUM(P30:R30)</f>
        <v>2294.46</v>
      </c>
      <c r="P30" s="2">
        <f>ROUND(J30*'Page 5'!$E$41,2)</f>
        <v>2294.46</v>
      </c>
      <c r="R30" s="2">
        <f>L30*'Page 5'!E41</f>
        <v>0</v>
      </c>
      <c r="T30" s="2">
        <f>SUM(V30:X30)</f>
        <v>45869.229999999989</v>
      </c>
      <c r="V30" s="2">
        <f>+J30+P30</f>
        <v>45869.229999999989</v>
      </c>
      <c r="X30" s="2">
        <f>+L30+R30</f>
        <v>0</v>
      </c>
    </row>
    <row r="31" spans="1:24" x14ac:dyDescent="0.25">
      <c r="A31" s="5">
        <v>13</v>
      </c>
      <c r="C31" t="s">
        <v>21</v>
      </c>
      <c r="H31" s="2">
        <f>+'Page 1'!T31</f>
        <v>0</v>
      </c>
      <c r="J31" s="2">
        <f>+'Page 1'!V31</f>
        <v>0</v>
      </c>
      <c r="L31" s="2">
        <f>+'Page 1'!X31</f>
        <v>0</v>
      </c>
      <c r="N31" s="2">
        <f>SUM(P31:R31)</f>
        <v>0</v>
      </c>
      <c r="P31" s="2">
        <f>ROUND(J31*'Page 5'!$E$41,2)</f>
        <v>0</v>
      </c>
      <c r="R31" s="2">
        <f>L31*'Page 5'!E41</f>
        <v>0</v>
      </c>
      <c r="T31" s="2">
        <f>SUM(V31:X31)</f>
        <v>0</v>
      </c>
      <c r="V31" s="2">
        <f>+J31+P31</f>
        <v>0</v>
      </c>
      <c r="X31" s="2">
        <f>+L31+R31</f>
        <v>0</v>
      </c>
    </row>
    <row r="32" spans="1:24" x14ac:dyDescent="0.25">
      <c r="A32" s="5">
        <v>14</v>
      </c>
      <c r="C32" t="s">
        <v>22</v>
      </c>
      <c r="H32" s="2">
        <f>+'Page 1'!T32</f>
        <v>4511315.4200000009</v>
      </c>
      <c r="J32" s="2">
        <f>+'Page 1'!V32</f>
        <v>2395536.0700000017</v>
      </c>
      <c r="L32" s="2">
        <f>+'Page 1'!X32</f>
        <v>2115779.3499999992</v>
      </c>
      <c r="N32" s="2">
        <f>SUM(P32:R32)</f>
        <v>237546.37544413924</v>
      </c>
      <c r="P32" s="2">
        <f>ROUND(J32*'Page 5'!$E$41,2)</f>
        <v>126138.58</v>
      </c>
      <c r="R32" s="2">
        <f>L32*'Page 5'!E41</f>
        <v>111407.79544413925</v>
      </c>
      <c r="T32" s="2">
        <f>SUM(V32:X32)</f>
        <v>4748861.7954441402</v>
      </c>
      <c r="V32" s="2">
        <f>+J32+P32</f>
        <v>2521674.6500000018</v>
      </c>
      <c r="X32" s="2">
        <f>+L32+R32</f>
        <v>2227187.1454441384</v>
      </c>
    </row>
    <row r="33" spans="1:24" x14ac:dyDescent="0.25">
      <c r="A33" s="5">
        <v>15</v>
      </c>
      <c r="C33" t="s">
        <v>23</v>
      </c>
      <c r="H33" s="2">
        <f>+'Page 1'!T33</f>
        <v>949404.98999999987</v>
      </c>
      <c r="J33" s="2">
        <f>+'Page 1'!V33</f>
        <v>606543.23379370756</v>
      </c>
      <c r="L33" s="2">
        <f>+'Page 1'!X33</f>
        <v>342861.75620629231</v>
      </c>
      <c r="N33" s="2">
        <f>SUM(P33:R33)</f>
        <v>49991.56811525808</v>
      </c>
      <c r="P33" s="2">
        <f>ROUND(J33*'Page 5'!$E$41,2)</f>
        <v>31937.95</v>
      </c>
      <c r="R33" s="2">
        <f>L33*'Page 5'!E41</f>
        <v>18053.618115258083</v>
      </c>
      <c r="T33" s="2">
        <f>SUM(V33:X33)</f>
        <v>999396.55811525788</v>
      </c>
      <c r="V33" s="2">
        <f>+J33+P33</f>
        <v>638481.18379370752</v>
      </c>
      <c r="X33" s="2">
        <f>+L33+R33</f>
        <v>360915.37432155036</v>
      </c>
    </row>
    <row r="34" spans="1:24" x14ac:dyDescent="0.25">
      <c r="A34" s="5">
        <v>16</v>
      </c>
      <c r="C34" t="s">
        <v>24</v>
      </c>
      <c r="H34" s="2">
        <f>+'Page 1'!T34</f>
        <v>0</v>
      </c>
      <c r="J34" s="2">
        <f>+'Page 1'!V34</f>
        <v>0</v>
      </c>
      <c r="L34" s="2">
        <f>+'Page 1'!X34</f>
        <v>0</v>
      </c>
      <c r="N34" s="2">
        <f>SUM(P34:R34)</f>
        <v>0</v>
      </c>
      <c r="P34" s="2">
        <f>ROUND(J34*'Page 5'!$E$41,2)</f>
        <v>0</v>
      </c>
      <c r="R34" s="2">
        <f>L34*'Page 5'!E41</f>
        <v>0</v>
      </c>
      <c r="T34" s="2">
        <f>SUM(V34:X34)</f>
        <v>0</v>
      </c>
      <c r="V34" s="2">
        <f>+J34+P34</f>
        <v>0</v>
      </c>
      <c r="X34" s="2">
        <f>+L34+R34</f>
        <v>0</v>
      </c>
    </row>
    <row r="35" spans="1:24" x14ac:dyDescent="0.25">
      <c r="A35" s="5">
        <v>17</v>
      </c>
      <c r="D35" t="s">
        <v>25</v>
      </c>
      <c r="H35" s="2"/>
      <c r="J35" s="2"/>
      <c r="L35" s="2"/>
      <c r="N35" s="2"/>
      <c r="P35" s="2"/>
      <c r="R35" s="2"/>
      <c r="T35" s="2"/>
      <c r="V35" s="2"/>
      <c r="X35" s="2"/>
    </row>
    <row r="36" spans="1:24" x14ac:dyDescent="0.25">
      <c r="A36" s="5">
        <v>18</v>
      </c>
      <c r="C36" t="s">
        <v>26</v>
      </c>
      <c r="H36" s="2">
        <f>+'Page 1'!T36</f>
        <v>0</v>
      </c>
      <c r="J36" s="2">
        <f>+'Page 1'!V36</f>
        <v>0</v>
      </c>
      <c r="L36" s="2">
        <f>+'Page 1'!X36</f>
        <v>0</v>
      </c>
      <c r="N36" s="2">
        <f>SUM(P36:R36)</f>
        <v>0</v>
      </c>
      <c r="P36" s="2">
        <f>ROUND(J36*'Page 5'!$E$41,2)</f>
        <v>0</v>
      </c>
      <c r="R36" s="2">
        <f>L36*'Page 5'!E41</f>
        <v>0</v>
      </c>
      <c r="T36" s="2">
        <f>SUM(V36:X36)</f>
        <v>0</v>
      </c>
      <c r="V36" s="2">
        <f>+J36+P36</f>
        <v>0</v>
      </c>
      <c r="X36" s="2">
        <f>+L36+R36</f>
        <v>0</v>
      </c>
    </row>
    <row r="37" spans="1:24" x14ac:dyDescent="0.25">
      <c r="A37" s="5">
        <v>19</v>
      </c>
      <c r="C37" t="s">
        <v>27</v>
      </c>
      <c r="H37" s="2">
        <f>+'Page 1'!T37</f>
        <v>372726.91163176252</v>
      </c>
      <c r="J37" s="2">
        <f>+'Page 1'!V37</f>
        <v>157130.37128460666</v>
      </c>
      <c r="L37" s="2">
        <f>+'Page 1'!X37</f>
        <v>215596.54034715582</v>
      </c>
      <c r="N37" s="2">
        <f>SUM(P37:R37)</f>
        <v>19626.191932199152</v>
      </c>
      <c r="P37" s="2">
        <f>ROUND(J37*'Page 5'!$E$41,2)</f>
        <v>8273.81</v>
      </c>
      <c r="R37" s="2">
        <f>L37*'Page 5'!E41</f>
        <v>11352.38193219915</v>
      </c>
      <c r="T37" s="2">
        <f>SUM(V37:X37)</f>
        <v>392353.10356396163</v>
      </c>
      <c r="V37" s="2">
        <f>+J37+P37</f>
        <v>165404.18128460666</v>
      </c>
      <c r="X37" s="2">
        <f>+L37+R37</f>
        <v>226948.92227935497</v>
      </c>
    </row>
    <row r="38" spans="1:24" x14ac:dyDescent="0.25">
      <c r="A38" s="5">
        <v>20</v>
      </c>
      <c r="D38" t="s">
        <v>28</v>
      </c>
      <c r="H38" s="8">
        <f>+'Page 1'!T38</f>
        <v>6101570.7716317642</v>
      </c>
      <c r="J38" s="8">
        <f>+'Page 1'!V38</f>
        <v>3189858.2050783159</v>
      </c>
      <c r="L38" s="8">
        <f>+'Page 1'!X38</f>
        <v>2911712.5665534469</v>
      </c>
      <c r="N38" s="8">
        <f>SUM(N26:N37)</f>
        <v>321282.35833042435</v>
      </c>
      <c r="P38" s="8">
        <f>SUM(P26:P37)</f>
        <v>167964.16</v>
      </c>
      <c r="R38" s="8">
        <f>SUM(R26:R37)</f>
        <v>153318.19833042435</v>
      </c>
      <c r="T38" s="8">
        <f>SUM(T26:T37)</f>
        <v>6422853.1299621873</v>
      </c>
      <c r="V38" s="8">
        <f>SUM(V26:V37)</f>
        <v>3357822.3650783161</v>
      </c>
      <c r="X38" s="8">
        <f>SUM(X26:X37)</f>
        <v>3065030.7648838721</v>
      </c>
    </row>
    <row r="39" spans="1:24" x14ac:dyDescent="0.25">
      <c r="A39" s="5">
        <v>21</v>
      </c>
      <c r="H39" s="2"/>
      <c r="J39" s="2"/>
      <c r="L39" s="2"/>
      <c r="N39" s="2"/>
      <c r="P39" s="2"/>
      <c r="R39" s="2"/>
      <c r="T39" s="2"/>
      <c r="V39" s="2"/>
      <c r="X39" s="2"/>
    </row>
    <row r="40" spans="1:24" x14ac:dyDescent="0.25">
      <c r="A40" s="5">
        <v>22</v>
      </c>
      <c r="B40" t="s">
        <v>29</v>
      </c>
      <c r="H40" s="2"/>
      <c r="J40" s="2"/>
      <c r="L40" s="2"/>
      <c r="N40" s="2"/>
      <c r="P40" s="2"/>
      <c r="R40" s="2"/>
      <c r="T40" s="2"/>
      <c r="V40" s="2"/>
      <c r="X40" s="2"/>
    </row>
    <row r="41" spans="1:24" x14ac:dyDescent="0.25">
      <c r="A41" s="5">
        <v>23</v>
      </c>
      <c r="C41" t="s">
        <v>20</v>
      </c>
      <c r="H41" s="2">
        <f>+'Page 1'!T41</f>
        <v>124565.75000000004</v>
      </c>
      <c r="J41" s="2">
        <f>+'Page 1'!V41</f>
        <v>124565.75000000004</v>
      </c>
      <c r="L41" s="2">
        <f>+'Page 1'!X41</f>
        <v>0</v>
      </c>
      <c r="N41" s="2">
        <f>SUM(P41:R41)</f>
        <v>6559.09</v>
      </c>
      <c r="P41" s="2">
        <f>ROUND(J41*'Page 5'!$E$41,2)</f>
        <v>6559.09</v>
      </c>
      <c r="Q41" s="2"/>
      <c r="R41" s="2">
        <f>L41*'Page 5'!$E$41</f>
        <v>0</v>
      </c>
      <c r="T41" s="2">
        <f>SUM(V41:X41)</f>
        <v>131124.84000000005</v>
      </c>
      <c r="V41" s="2">
        <f>+J41+P41</f>
        <v>131124.84000000005</v>
      </c>
      <c r="X41" s="2">
        <f>+L41+R41</f>
        <v>0</v>
      </c>
    </row>
    <row r="42" spans="1:24" x14ac:dyDescent="0.25">
      <c r="A42" s="5">
        <v>24</v>
      </c>
      <c r="C42" t="s">
        <v>22</v>
      </c>
      <c r="H42" s="2">
        <f>+'Page 1'!T42</f>
        <v>3008589.3500000038</v>
      </c>
      <c r="J42" s="2">
        <f>+'Page 1'!V42</f>
        <v>1723438.5700000033</v>
      </c>
      <c r="L42" s="2">
        <f>+'Page 1'!X42</f>
        <v>1285150.7800000005</v>
      </c>
      <c r="N42" s="2">
        <f>SUM(P42:R42)</f>
        <v>158419.31521062279</v>
      </c>
      <c r="P42" s="2">
        <f>ROUND(J42*'Page 5'!$E$41,2)</f>
        <v>90748.83</v>
      </c>
      <c r="Q42" s="2"/>
      <c r="R42" s="2">
        <f>L42*'Page 5'!$E$41</f>
        <v>67670.485210622806</v>
      </c>
      <c r="T42" s="2">
        <f>SUM(V42:X42)</f>
        <v>3167008.665210627</v>
      </c>
      <c r="V42" s="2">
        <f>+J42+P42</f>
        <v>1814187.4000000034</v>
      </c>
      <c r="X42" s="2">
        <f>+L42+R42</f>
        <v>1352821.2652106234</v>
      </c>
    </row>
    <row r="43" spans="1:24" x14ac:dyDescent="0.25">
      <c r="A43" s="5">
        <v>25</v>
      </c>
      <c r="C43" t="s">
        <v>27</v>
      </c>
      <c r="H43" s="2">
        <f>+'Page 1'!T43</f>
        <v>20245.32</v>
      </c>
      <c r="J43" s="2">
        <f>+'Page 1'!V43</f>
        <v>20245.32</v>
      </c>
      <c r="L43" s="2">
        <f>+'Page 1'!X43</f>
        <v>0</v>
      </c>
      <c r="N43" s="2">
        <f>SUM(P43:R43)</f>
        <v>1066.03</v>
      </c>
      <c r="P43" s="2">
        <f>ROUND(J43*'Page 5'!$E$41,2)</f>
        <v>1066.03</v>
      </c>
      <c r="Q43" s="2"/>
      <c r="R43" s="2">
        <f>L43*'Page 5'!$E$41</f>
        <v>0</v>
      </c>
      <c r="T43" s="2">
        <f>SUM(V43:X43)</f>
        <v>21311.35</v>
      </c>
      <c r="V43" s="2">
        <f>+J43+P43</f>
        <v>21311.35</v>
      </c>
      <c r="X43" s="2">
        <f>+L43+R43</f>
        <v>0</v>
      </c>
    </row>
    <row r="44" spans="1:24" x14ac:dyDescent="0.25">
      <c r="A44" s="5">
        <v>26</v>
      </c>
      <c r="D44" t="s">
        <v>28</v>
      </c>
      <c r="H44" s="8">
        <f>+'Page 1'!T44</f>
        <v>3153400.4200000037</v>
      </c>
      <c r="J44" s="8">
        <f>+'Page 1'!V44</f>
        <v>1868249.6400000034</v>
      </c>
      <c r="L44" s="8">
        <f>+'Page 1'!X44</f>
        <v>1285150.7800000005</v>
      </c>
      <c r="N44" s="8">
        <f>SUM(N41:N43)</f>
        <v>166044.43521062279</v>
      </c>
      <c r="P44" s="8">
        <f>SUM(P41:P43)</f>
        <v>98373.95</v>
      </c>
      <c r="R44" s="8">
        <f>SUM(R41:R43)</f>
        <v>67670.485210622806</v>
      </c>
      <c r="T44" s="8">
        <f>SUM(T41:T43)</f>
        <v>3319444.855210627</v>
      </c>
      <c r="V44" s="8">
        <f>SUM(V41:V43)</f>
        <v>1966623.5900000036</v>
      </c>
      <c r="X44" s="8">
        <f>SUM(X41:X43)</f>
        <v>1352821.2652106234</v>
      </c>
    </row>
    <row r="45" spans="1:24" x14ac:dyDescent="0.25">
      <c r="A45" s="5">
        <v>27</v>
      </c>
      <c r="H45" s="2"/>
      <c r="J45" s="2"/>
      <c r="L45" s="2"/>
      <c r="N45" s="2"/>
      <c r="P45" s="2"/>
      <c r="R45" s="2"/>
      <c r="T45" s="2"/>
      <c r="V45" s="2"/>
      <c r="X45" s="2"/>
    </row>
    <row r="46" spans="1:24" ht="15.75" thickBot="1" x14ac:dyDescent="0.3">
      <c r="A46" s="5">
        <v>28</v>
      </c>
      <c r="D46" t="s">
        <v>30</v>
      </c>
      <c r="H46" s="9">
        <f>+'Page 1'!T46</f>
        <v>9254971.1916317679</v>
      </c>
      <c r="J46" s="9">
        <f>+'Page 1'!V46</f>
        <v>5058107.8450783193</v>
      </c>
      <c r="L46" s="9">
        <f>+'Page 1'!X46</f>
        <v>4196863.3465534477</v>
      </c>
      <c r="N46" s="9">
        <f>+N38+N44</f>
        <v>487326.79354104714</v>
      </c>
      <c r="O46" s="18"/>
      <c r="P46" s="9">
        <f>+P38+P44</f>
        <v>266338.11</v>
      </c>
      <c r="Q46" s="18"/>
      <c r="R46" s="9">
        <f>+R38+R44</f>
        <v>220988.68354104715</v>
      </c>
      <c r="T46" s="9">
        <f>+T38+T44</f>
        <v>9742297.9851728138</v>
      </c>
      <c r="V46" s="9">
        <f>+V38+V44</f>
        <v>5324445.9550783196</v>
      </c>
      <c r="X46" s="9">
        <f>+X38+X44</f>
        <v>4417852.030094495</v>
      </c>
    </row>
    <row r="47" spans="1:24" ht="15.75" thickTop="1" x14ac:dyDescent="0.25">
      <c r="H47" s="2"/>
      <c r="J47" s="2"/>
      <c r="L47" s="2"/>
      <c r="N47" s="2"/>
      <c r="P47" s="2"/>
      <c r="R47" s="2"/>
      <c r="T47" s="2"/>
      <c r="V47" s="2"/>
      <c r="X47" s="2"/>
    </row>
    <row r="48" spans="1:24" hidden="1" x14ac:dyDescent="0.25">
      <c r="H48" s="2">
        <f>ROUND(H22,2)-ROUND(H46,2)</f>
        <v>0</v>
      </c>
      <c r="J48" s="2">
        <f>ROUND(J22,2)-ROUND(J46,2)</f>
        <v>0</v>
      </c>
      <c r="L48" s="2">
        <f>ROUND(L22,2)-ROUND(L46,2)</f>
        <v>0</v>
      </c>
      <c r="N48" s="2">
        <f>ROUND(N22,2)-ROUND(N46,2)</f>
        <v>-1.9999999960418791E-2</v>
      </c>
      <c r="O48" s="2"/>
      <c r="P48" s="2">
        <f>ROUND(P22,2)-ROUND(P46,2)</f>
        <v>-1.9999999960418791E-2</v>
      </c>
      <c r="Q48" s="2"/>
      <c r="R48" s="2">
        <f>ROUND(R22,2)-ROUND(R46,2)</f>
        <v>0</v>
      </c>
      <c r="T48" s="2">
        <f>ROUND(T22,2)-ROUND(T46,2)</f>
        <v>-1.9999999552965164E-2</v>
      </c>
      <c r="V48" s="2">
        <f>ROUND(V22,2)-ROUND(V46,2)</f>
        <v>-1.9999999552965164E-2</v>
      </c>
      <c r="X48" s="2">
        <f>ROUND(X22,2)-ROUND(X46,2)</f>
        <v>0</v>
      </c>
    </row>
    <row r="50" spans="1:2" x14ac:dyDescent="0.25">
      <c r="A50" s="11" t="s">
        <v>31</v>
      </c>
    </row>
    <row r="51" spans="1:2" x14ac:dyDescent="0.25">
      <c r="A51" s="5" t="s">
        <v>35</v>
      </c>
      <c r="B51" t="s">
        <v>36</v>
      </c>
    </row>
    <row r="52" spans="1:2" x14ac:dyDescent="0.25">
      <c r="A52" s="5" t="s">
        <v>6</v>
      </c>
      <c r="B52" t="s">
        <v>37</v>
      </c>
    </row>
    <row r="53" spans="1:2" x14ac:dyDescent="0.25">
      <c r="A53" s="5" t="s">
        <v>7</v>
      </c>
      <c r="B53" t="s">
        <v>38</v>
      </c>
    </row>
    <row r="54" spans="1:2" x14ac:dyDescent="0.25">
      <c r="A54" s="5" t="s">
        <v>9</v>
      </c>
      <c r="B54" t="s">
        <v>39</v>
      </c>
    </row>
    <row r="55" spans="1:2" x14ac:dyDescent="0.25">
      <c r="A55" s="5" t="s">
        <v>10</v>
      </c>
      <c r="B55" t="s">
        <v>39</v>
      </c>
    </row>
    <row r="56" spans="1:2" x14ac:dyDescent="0.25">
      <c r="A56" s="5" t="s">
        <v>40</v>
      </c>
      <c r="B56" t="s">
        <v>41</v>
      </c>
    </row>
    <row r="57" spans="1:2" x14ac:dyDescent="0.25">
      <c r="A57" s="5" t="s">
        <v>42</v>
      </c>
      <c r="B57" t="s">
        <v>43</v>
      </c>
    </row>
    <row r="58" spans="1:2" x14ac:dyDescent="0.25">
      <c r="A58" s="1"/>
    </row>
  </sheetData>
  <printOptions horizontalCentered="1"/>
  <pageMargins left="1" right="1" top="1" bottom="1" header="0.5" footer="0.5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5"/>
  <sheetViews>
    <sheetView topLeftCell="A22" zoomScale="80" zoomScaleNormal="80" workbookViewId="0">
      <selection activeCell="M61" sqref="A7:M61"/>
    </sheetView>
  </sheetViews>
  <sheetFormatPr defaultRowHeight="15" x14ac:dyDescent="0.25"/>
  <cols>
    <col min="1" max="1" width="3.7109375" style="5" customWidth="1"/>
    <col min="2" max="5" width="2.7109375" customWidth="1"/>
    <col min="6" max="6" width="22.7109375" customWidth="1"/>
    <col min="7" max="7" width="2.7109375" customWidth="1"/>
    <col min="8" max="8" width="14.7109375" customWidth="1"/>
    <col min="9" max="9" width="2.7109375" customWidth="1"/>
    <col min="10" max="10" width="19.7109375" customWidth="1"/>
    <col min="11" max="11" width="2.7109375" customWidth="1"/>
    <col min="12" max="12" width="14.7109375" customWidth="1"/>
    <col min="13" max="13" width="2.7109375" customWidth="1"/>
    <col min="14" max="14" width="18.85546875" customWidth="1"/>
    <col min="15" max="15" width="2.7109375" customWidth="1"/>
    <col min="16" max="16" width="14.7109375" customWidth="1"/>
  </cols>
  <sheetData>
    <row r="1" spans="1:16" x14ac:dyDescent="0.25">
      <c r="P1" s="1" t="str">
        <f>'Page 1'!X1</f>
        <v>THE NARRAGANSETT ELECTRIC COMPANY</v>
      </c>
    </row>
    <row r="2" spans="1:16" x14ac:dyDescent="0.25">
      <c r="P2" s="1" t="str">
        <f>'Page 1'!X2</f>
        <v>d/b/a RHODE ISLAND ENERGY</v>
      </c>
    </row>
    <row r="3" spans="1:16" x14ac:dyDescent="0.25">
      <c r="P3" s="1" t="str">
        <f>'Page 1'!X3</f>
        <v>RIPUC Docket No. 25-45-GE</v>
      </c>
    </row>
    <row r="4" spans="1:16" hidden="1" x14ac:dyDescent="0.25">
      <c r="P4" s="1">
        <f>'Page 1'!X4</f>
        <v>0</v>
      </c>
    </row>
    <row r="5" spans="1:16" x14ac:dyDescent="0.25">
      <c r="P5" s="1" t="str">
        <f>'Page 1'!X5</f>
        <v>Schedule SAB- 35</v>
      </c>
    </row>
    <row r="6" spans="1:16" x14ac:dyDescent="0.25">
      <c r="P6" s="1" t="s">
        <v>44</v>
      </c>
    </row>
    <row r="8" spans="1:16" x14ac:dyDescent="0.25">
      <c r="P8" s="1" t="str">
        <f>'Page 1'!X8</f>
        <v xml:space="preserve"> </v>
      </c>
    </row>
    <row r="9" spans="1:16" x14ac:dyDescent="0.25">
      <c r="P9" s="1" t="str">
        <f>'Page 1'!X9</f>
        <v/>
      </c>
    </row>
    <row r="10" spans="1:16" x14ac:dyDescent="0.25">
      <c r="A10" s="3" t="str">
        <f>+'Page 1'!A10</f>
        <v>The Narragansett Electric Company d/b/a Rhode Island Energy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5">
      <c r="A11" s="3" t="str">
        <f>+'Page 1'!A11</f>
        <v>Operating Expenses by Component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25">
      <c r="A12" s="3" t="str">
        <f>+'Page 1'!A12</f>
        <v>Transportation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5" spans="1:16" ht="60" x14ac:dyDescent="0.25">
      <c r="H15" s="12" t="str">
        <f>+'Page 2'!T15</f>
        <v>Rate Year Ending July 31, 2027</v>
      </c>
      <c r="J15" s="12" t="s">
        <v>90</v>
      </c>
      <c r="L15" s="12" t="s">
        <v>86</v>
      </c>
      <c r="N15" s="12" t="s">
        <v>97</v>
      </c>
      <c r="P15" s="12" t="s">
        <v>85</v>
      </c>
    </row>
    <row r="16" spans="1:16" x14ac:dyDescent="0.25">
      <c r="H16" s="6" t="s">
        <v>3</v>
      </c>
      <c r="J16" s="6" t="s">
        <v>3</v>
      </c>
      <c r="L16" s="6" t="s">
        <v>3</v>
      </c>
      <c r="N16" s="6" t="s">
        <v>3</v>
      </c>
      <c r="P16" s="6" t="s">
        <v>3</v>
      </c>
    </row>
    <row r="17" spans="1:16" x14ac:dyDescent="0.25">
      <c r="H17" s="5" t="s">
        <v>35</v>
      </c>
      <c r="J17" s="5" t="s">
        <v>6</v>
      </c>
      <c r="L17" s="5" t="s">
        <v>45</v>
      </c>
      <c r="N17" s="5" t="s">
        <v>46</v>
      </c>
      <c r="P17" s="5" t="s">
        <v>47</v>
      </c>
    </row>
    <row r="18" spans="1:16" x14ac:dyDescent="0.25">
      <c r="B18" t="s">
        <v>14</v>
      </c>
    </row>
    <row r="19" spans="1:16" x14ac:dyDescent="0.25">
      <c r="A19" s="5">
        <v>1</v>
      </c>
      <c r="C19" t="str">
        <f>'Page 1'!C19</f>
        <v>Narragansett Electric Company</v>
      </c>
      <c r="H19" s="2">
        <f>+'Page 2'!V19</f>
        <v>5413285.4634326072</v>
      </c>
      <c r="J19" s="2">
        <f>'Page 5'!K48</f>
        <v>121263.24548359269</v>
      </c>
      <c r="L19" s="2">
        <f>+H19+J19</f>
        <v>5534548.7089162003</v>
      </c>
      <c r="N19" s="2">
        <f>'Page 5'!K57</f>
        <v>121655.6831712415</v>
      </c>
      <c r="P19" s="2">
        <f>+N19+L19</f>
        <v>5656204.3920874419</v>
      </c>
    </row>
    <row r="20" spans="1:16" x14ac:dyDescent="0.25">
      <c r="A20" s="5">
        <v>2</v>
      </c>
      <c r="C20" t="str">
        <f>'Page 1'!C20</f>
        <v>PPL Services Corporation</v>
      </c>
      <c r="H20" s="2">
        <f>+'Page 2'!V20</f>
        <v>-25507.148354235971</v>
      </c>
      <c r="J20" s="2">
        <f>'Page 5'!K49</f>
        <v>-571.38675086696571</v>
      </c>
      <c r="L20" s="2">
        <f>+H20+J20</f>
        <v>-26078.535105102936</v>
      </c>
      <c r="N20" s="2">
        <f>'Page 5'!K58</f>
        <v>-573.23589892802204</v>
      </c>
      <c r="P20" s="2">
        <f>+N20+L20</f>
        <v>-26651.771004030958</v>
      </c>
    </row>
    <row r="21" spans="1:16" x14ac:dyDescent="0.25">
      <c r="A21" s="5">
        <v>3</v>
      </c>
      <c r="C21" t="str">
        <f>'Page 1'!C21</f>
        <v>All Other Companies</v>
      </c>
      <c r="H21" s="2">
        <f>+'Page 2'!V21</f>
        <v>-63332.38</v>
      </c>
      <c r="J21" s="2">
        <f>'Page 5'!K50</f>
        <v>-1418.7114267072657</v>
      </c>
      <c r="L21" s="2">
        <f>+H21+J21</f>
        <v>-64751.091426707266</v>
      </c>
      <c r="N21" s="2">
        <f>'Page 5'!K59</f>
        <v>-1423.302725822819</v>
      </c>
      <c r="P21" s="2">
        <f>+N21+L21</f>
        <v>-66174.394152530091</v>
      </c>
    </row>
    <row r="22" spans="1:16" ht="15.75" thickBot="1" x14ac:dyDescent="0.3">
      <c r="A22" s="5">
        <v>4</v>
      </c>
      <c r="D22" t="s">
        <v>2</v>
      </c>
      <c r="H22" s="7">
        <f>SUM(H19:H21)</f>
        <v>5324445.9350783713</v>
      </c>
      <c r="J22" s="7">
        <f>SUM(J19:J21)</f>
        <v>119273.14730601847</v>
      </c>
      <c r="L22" s="7">
        <f>+H22+J22</f>
        <v>5443719.0823843898</v>
      </c>
      <c r="N22" s="7">
        <f>SUM(N19:N21)</f>
        <v>119659.14454649066</v>
      </c>
      <c r="P22" s="7">
        <f>+N22+L22</f>
        <v>5563378.2269308809</v>
      </c>
    </row>
    <row r="23" spans="1:16" ht="15.75" thickTop="1" x14ac:dyDescent="0.25">
      <c r="A23" s="5">
        <v>5</v>
      </c>
      <c r="H23" s="2"/>
      <c r="J23" s="2"/>
      <c r="L23" s="2"/>
      <c r="N23" s="2"/>
      <c r="P23" s="2"/>
    </row>
    <row r="24" spans="1:16" x14ac:dyDescent="0.25">
      <c r="A24" s="5">
        <v>6</v>
      </c>
      <c r="H24" s="2"/>
      <c r="J24" s="2"/>
      <c r="L24" s="2"/>
      <c r="N24" s="2"/>
      <c r="P24" s="2"/>
    </row>
    <row r="25" spans="1:16" x14ac:dyDescent="0.25">
      <c r="A25" s="5">
        <v>7</v>
      </c>
      <c r="B25" t="s">
        <v>15</v>
      </c>
      <c r="H25" s="2"/>
      <c r="J25" s="2"/>
      <c r="L25" s="2"/>
      <c r="N25" s="2"/>
      <c r="P25" s="2"/>
    </row>
    <row r="26" spans="1:16" x14ac:dyDescent="0.25">
      <c r="A26" s="5">
        <v>8</v>
      </c>
      <c r="C26" t="s">
        <v>16</v>
      </c>
      <c r="H26" s="2">
        <f>+'Page 2'!V26</f>
        <v>-13606.880000000001</v>
      </c>
      <c r="I26" s="20">
        <f>H26/$H$46</f>
        <v>-2.5555485236960869E-3</v>
      </c>
      <c r="J26" s="2">
        <f>I26*'Page 5'!$K$52</f>
        <v>-304.80831551448136</v>
      </c>
      <c r="L26" s="2">
        <f>+H26+J26</f>
        <v>-13911.688315514482</v>
      </c>
      <c r="M26" s="20">
        <f>L26/$L$46</f>
        <v>-2.5555485236960869E-3</v>
      </c>
      <c r="N26" s="2">
        <f>M26*'Page 5'!$K$61</f>
        <v>-305.79475019252084</v>
      </c>
      <c r="P26" s="2">
        <f>+N26+L26</f>
        <v>-14217.483065707003</v>
      </c>
    </row>
    <row r="27" spans="1:16" x14ac:dyDescent="0.25">
      <c r="A27" s="5">
        <v>9</v>
      </c>
      <c r="C27" t="s">
        <v>17</v>
      </c>
      <c r="H27" s="2">
        <f>+'Page 2'!V27</f>
        <v>0</v>
      </c>
      <c r="I27" s="20">
        <f t="shared" ref="I27:I43" si="0">H27/$H$46</f>
        <v>0</v>
      </c>
      <c r="J27" s="2">
        <f>I27*'Page 5'!$K$52</f>
        <v>0</v>
      </c>
      <c r="L27" s="2">
        <f>+H27+J27</f>
        <v>0</v>
      </c>
      <c r="M27" s="20">
        <f t="shared" ref="M27:M43" si="1">L27/$L$46</f>
        <v>0</v>
      </c>
      <c r="N27" s="2">
        <f>M27*'Page 5'!$K$61</f>
        <v>0</v>
      </c>
      <c r="P27" s="2">
        <f>+N27+L27</f>
        <v>0</v>
      </c>
    </row>
    <row r="28" spans="1:16" x14ac:dyDescent="0.25">
      <c r="A28" s="5">
        <v>10</v>
      </c>
      <c r="C28" t="s">
        <v>48</v>
      </c>
      <c r="H28" s="2">
        <f>+'Page 2'!V28</f>
        <v>0</v>
      </c>
      <c r="I28" s="20">
        <f t="shared" si="0"/>
        <v>0</v>
      </c>
      <c r="J28" s="2">
        <f>I28*'Page 5'!$K$52</f>
        <v>0</v>
      </c>
      <c r="L28" s="2">
        <f>+H28+J28</f>
        <v>0</v>
      </c>
      <c r="M28" s="20">
        <f t="shared" si="1"/>
        <v>0</v>
      </c>
      <c r="N28" s="2">
        <f>M28*'Page 5'!$K$61</f>
        <v>0</v>
      </c>
      <c r="P28" s="2">
        <f>+N28+L28</f>
        <v>0</v>
      </c>
    </row>
    <row r="29" spans="1:16" x14ac:dyDescent="0.25">
      <c r="A29" s="5">
        <v>11</v>
      </c>
      <c r="D29" t="s">
        <v>19</v>
      </c>
      <c r="H29" s="2"/>
      <c r="I29" s="20">
        <f t="shared" si="0"/>
        <v>0</v>
      </c>
      <c r="J29" s="2"/>
      <c r="L29" s="2"/>
      <c r="M29" s="20">
        <f t="shared" si="1"/>
        <v>0</v>
      </c>
      <c r="N29" s="2"/>
      <c r="P29" s="2"/>
    </row>
    <row r="30" spans="1:16" x14ac:dyDescent="0.25">
      <c r="A30" s="5">
        <v>12</v>
      </c>
      <c r="C30" t="s">
        <v>20</v>
      </c>
      <c r="H30" s="2">
        <f>+'Page 2'!V30</f>
        <v>45869.229999999989</v>
      </c>
      <c r="I30" s="20">
        <f t="shared" si="0"/>
        <v>8.6148362453094471E-3</v>
      </c>
      <c r="J30" s="2">
        <f>I30*'Page 5'!$K$52</f>
        <v>1027.5186325040206</v>
      </c>
      <c r="L30" s="2">
        <f>+H30+J30</f>
        <v>46896.748632504008</v>
      </c>
      <c r="M30" s="20">
        <f t="shared" si="1"/>
        <v>8.6148362453094471E-3</v>
      </c>
      <c r="N30" s="2">
        <f>M30*'Page 5'!$K$61</f>
        <v>1030.84393552183</v>
      </c>
      <c r="P30" s="2">
        <f>+N30+L30</f>
        <v>47927.592568025837</v>
      </c>
    </row>
    <row r="31" spans="1:16" x14ac:dyDescent="0.25">
      <c r="A31" s="5">
        <v>13</v>
      </c>
      <c r="C31" t="s">
        <v>21</v>
      </c>
      <c r="H31" s="2">
        <f>+'Page 2'!V31</f>
        <v>0</v>
      </c>
      <c r="I31" s="20">
        <f t="shared" si="0"/>
        <v>0</v>
      </c>
      <c r="J31" s="2">
        <f>I31*'Page 5'!$K$52</f>
        <v>0</v>
      </c>
      <c r="L31" s="2">
        <f>+H31+J31</f>
        <v>0</v>
      </c>
      <c r="M31" s="20">
        <f t="shared" si="1"/>
        <v>0</v>
      </c>
      <c r="N31" s="2">
        <f>M31*'Page 5'!$K$61</f>
        <v>0</v>
      </c>
      <c r="P31" s="2">
        <f>+N31+L31</f>
        <v>0</v>
      </c>
    </row>
    <row r="32" spans="1:16" x14ac:dyDescent="0.25">
      <c r="A32" s="5">
        <v>14</v>
      </c>
      <c r="C32" t="s">
        <v>22</v>
      </c>
      <c r="H32" s="2">
        <f>+'Page 2'!V32</f>
        <v>2521674.6500000018</v>
      </c>
      <c r="I32" s="20">
        <f t="shared" si="0"/>
        <v>0.47360320139880346</v>
      </c>
      <c r="J32" s="2">
        <f>I32*'Page 5'!$K$52</f>
        <v>56488.144405041414</v>
      </c>
      <c r="L32" s="2">
        <f>+H32+J32</f>
        <v>2578162.7944050431</v>
      </c>
      <c r="M32" s="20">
        <f t="shared" si="1"/>
        <v>0.47360320139880341</v>
      </c>
      <c r="N32" s="2">
        <f>M32*'Page 5'!$K$61</f>
        <v>56670.953933860146</v>
      </c>
      <c r="P32" s="2">
        <f>+N32+L32</f>
        <v>2634833.7483389033</v>
      </c>
    </row>
    <row r="33" spans="1:16" x14ac:dyDescent="0.25">
      <c r="A33" s="5">
        <v>15</v>
      </c>
      <c r="C33" t="s">
        <v>23</v>
      </c>
      <c r="H33" s="2">
        <f>+'Page 2'!V33</f>
        <v>638481.18379370752</v>
      </c>
      <c r="I33" s="20">
        <f t="shared" si="0"/>
        <v>0.11991504640679855</v>
      </c>
      <c r="J33" s="2">
        <f>I33*'Page 5'!$K$52</f>
        <v>14302.644994286124</v>
      </c>
      <c r="L33" s="2">
        <f>+H33+J33</f>
        <v>652783.82878799364</v>
      </c>
      <c r="M33" s="20">
        <f t="shared" si="1"/>
        <v>0.11991504640679855</v>
      </c>
      <c r="N33" s="2">
        <f>M33*'Page 5'!$K$61</f>
        <v>14348.931871290242</v>
      </c>
      <c r="P33" s="2">
        <f>+N33+L33</f>
        <v>667132.76065928384</v>
      </c>
    </row>
    <row r="34" spans="1:16" x14ac:dyDescent="0.25">
      <c r="A34" s="5">
        <v>16</v>
      </c>
      <c r="C34" t="s">
        <v>24</v>
      </c>
      <c r="H34" s="2">
        <f>+'Page 2'!V34</f>
        <v>0</v>
      </c>
      <c r="I34" s="20">
        <f t="shared" si="0"/>
        <v>0</v>
      </c>
      <c r="J34" s="2">
        <f>I34*'Page 5'!$K$52</f>
        <v>0</v>
      </c>
      <c r="L34" s="2">
        <f>+H34+J34</f>
        <v>0</v>
      </c>
      <c r="M34" s="20">
        <f t="shared" si="1"/>
        <v>0</v>
      </c>
      <c r="N34" s="2">
        <f>M34*'Page 5'!$K$61</f>
        <v>0</v>
      </c>
      <c r="P34" s="2">
        <f>+N34+L34</f>
        <v>0</v>
      </c>
    </row>
    <row r="35" spans="1:16" x14ac:dyDescent="0.25">
      <c r="A35" s="5">
        <v>17</v>
      </c>
      <c r="D35" t="s">
        <v>25</v>
      </c>
      <c r="H35" s="2"/>
      <c r="I35" s="20">
        <f t="shared" si="0"/>
        <v>0</v>
      </c>
      <c r="J35" s="2"/>
      <c r="L35" s="2"/>
      <c r="M35" s="20">
        <f t="shared" si="1"/>
        <v>0</v>
      </c>
      <c r="N35" s="2"/>
      <c r="P35" s="2"/>
    </row>
    <row r="36" spans="1:16" x14ac:dyDescent="0.25">
      <c r="A36" s="5">
        <v>18</v>
      </c>
      <c r="C36" t="s">
        <v>26</v>
      </c>
      <c r="H36" s="2">
        <f>+'Page 2'!V36</f>
        <v>0</v>
      </c>
      <c r="I36" s="20">
        <f t="shared" si="0"/>
        <v>0</v>
      </c>
      <c r="J36" s="2">
        <f>I36*'Page 5'!$K$52</f>
        <v>0</v>
      </c>
      <c r="L36" s="2">
        <f>+H36+J36</f>
        <v>0</v>
      </c>
      <c r="M36" s="20">
        <f t="shared" si="1"/>
        <v>0</v>
      </c>
      <c r="N36" s="2">
        <f>M36*'Page 5'!$K$61</f>
        <v>0</v>
      </c>
      <c r="P36" s="2">
        <f>+N36+L36</f>
        <v>0</v>
      </c>
    </row>
    <row r="37" spans="1:16" x14ac:dyDescent="0.25">
      <c r="A37" s="5">
        <v>19</v>
      </c>
      <c r="C37" t="s">
        <v>27</v>
      </c>
      <c r="H37" s="2">
        <f>+'Page 2'!V37</f>
        <v>165404.18128460666</v>
      </c>
      <c r="I37" s="20">
        <f t="shared" si="0"/>
        <v>3.1065050275672045E-2</v>
      </c>
      <c r="J37" s="2">
        <f>I37*'Page 5'!$K$52</f>
        <v>3705.2263175991011</v>
      </c>
      <c r="L37" s="2">
        <f>+H37+J37</f>
        <v>169109.40760220576</v>
      </c>
      <c r="M37" s="20">
        <f t="shared" si="1"/>
        <v>3.1065050275672045E-2</v>
      </c>
      <c r="N37" s="2">
        <f>M37*'Page 5'!$K$61</f>
        <v>3717.2173412806405</v>
      </c>
      <c r="P37" s="2">
        <f>+N37+L37</f>
        <v>172826.62494348639</v>
      </c>
    </row>
    <row r="38" spans="1:16" x14ac:dyDescent="0.25">
      <c r="A38" s="5">
        <v>20</v>
      </c>
      <c r="D38" t="s">
        <v>28</v>
      </c>
      <c r="H38" s="8">
        <f>+'Page 2'!V38</f>
        <v>3357822.3650783161</v>
      </c>
      <c r="I38" s="20">
        <f t="shared" si="0"/>
        <v>0.63064258580288746</v>
      </c>
      <c r="J38" s="8">
        <f>SUM(J26:J37)</f>
        <v>75218.726033916173</v>
      </c>
      <c r="L38" s="8">
        <f>+H38+J38</f>
        <v>3433041.0911122323</v>
      </c>
      <c r="M38" s="20">
        <f t="shared" si="1"/>
        <v>0.63064258580288746</v>
      </c>
      <c r="N38" s="8">
        <f>SUM(N26:N37)</f>
        <v>75462.152331760342</v>
      </c>
      <c r="P38" s="8">
        <f>+N38+L38</f>
        <v>3508503.2434439925</v>
      </c>
    </row>
    <row r="39" spans="1:16" x14ac:dyDescent="0.25">
      <c r="A39" s="5">
        <v>21</v>
      </c>
      <c r="H39" s="2"/>
      <c r="I39" s="20">
        <f t="shared" si="0"/>
        <v>0</v>
      </c>
      <c r="J39" s="2"/>
      <c r="L39" s="2"/>
      <c r="M39" s="20">
        <f t="shared" si="1"/>
        <v>0</v>
      </c>
      <c r="N39" s="2"/>
      <c r="P39" s="2"/>
    </row>
    <row r="40" spans="1:16" x14ac:dyDescent="0.25">
      <c r="A40" s="5">
        <v>22</v>
      </c>
      <c r="B40" t="s">
        <v>29</v>
      </c>
      <c r="H40" s="2"/>
      <c r="I40" s="20">
        <f t="shared" si="0"/>
        <v>0</v>
      </c>
      <c r="J40" s="2"/>
      <c r="L40" s="2"/>
      <c r="M40" s="20">
        <f t="shared" si="1"/>
        <v>0</v>
      </c>
      <c r="N40" s="2"/>
      <c r="P40" s="2"/>
    </row>
    <row r="41" spans="1:16" x14ac:dyDescent="0.25">
      <c r="A41" s="5">
        <v>23</v>
      </c>
      <c r="C41" t="s">
        <v>20</v>
      </c>
      <c r="H41" s="2">
        <f>+'Page 2'!V41</f>
        <v>131124.84000000005</v>
      </c>
      <c r="I41" s="20">
        <f t="shared" si="0"/>
        <v>2.4626945433625175E-2</v>
      </c>
      <c r="J41" s="2">
        <f>I41*'Page 5'!$K$52</f>
        <v>2937.3332904020544</v>
      </c>
      <c r="L41" s="2">
        <f>+H41+J41</f>
        <v>134062.1732904021</v>
      </c>
      <c r="M41" s="20">
        <f t="shared" si="1"/>
        <v>2.4626945433625175E-2</v>
      </c>
      <c r="N41" s="2">
        <f>M41*'Page 5'!$K$61</f>
        <v>2946.8392233806926</v>
      </c>
      <c r="P41" s="2">
        <f>+N41+L41</f>
        <v>137009.0125137828</v>
      </c>
    </row>
    <row r="42" spans="1:16" x14ac:dyDescent="0.25">
      <c r="A42" s="5">
        <v>24</v>
      </c>
      <c r="C42" t="s">
        <v>22</v>
      </c>
      <c r="H42" s="2">
        <f>+'Page 2'!V42</f>
        <v>1814187.4000000034</v>
      </c>
      <c r="I42" s="20">
        <f t="shared" si="0"/>
        <v>0.34072792085901032</v>
      </c>
      <c r="J42" s="2">
        <f>I42*'Page 5'!$K$52</f>
        <v>40639.69149589014</v>
      </c>
      <c r="L42" s="2">
        <f>+H42+J42</f>
        <v>1854827.0914958934</v>
      </c>
      <c r="M42" s="20">
        <f t="shared" si="1"/>
        <v>0.34072792085901032</v>
      </c>
      <c r="N42" s="2">
        <f>M42*'Page 5'!$K$61</f>
        <v>40771.211533093548</v>
      </c>
      <c r="P42" s="2">
        <f>+N42+L42</f>
        <v>1895598.303028987</v>
      </c>
    </row>
    <row r="43" spans="1:16" x14ac:dyDescent="0.25">
      <c r="A43" s="5">
        <v>25</v>
      </c>
      <c r="C43" t="s">
        <v>27</v>
      </c>
      <c r="H43" s="2">
        <f>+'Page 2'!V43</f>
        <v>21311.35</v>
      </c>
      <c r="I43" s="20">
        <f t="shared" si="0"/>
        <v>4.0025479044770431E-3</v>
      </c>
      <c r="J43" s="2">
        <f>I43*'Page 5'!$K$52</f>
        <v>477.39648581008589</v>
      </c>
      <c r="L43" s="2">
        <f>+H43+J43</f>
        <v>21788.746485810083</v>
      </c>
      <c r="M43" s="20">
        <f t="shared" si="1"/>
        <v>4.0025479044770431E-3</v>
      </c>
      <c r="N43" s="2">
        <f>M43*'Page 5'!$K$61</f>
        <v>478.94145825607177</v>
      </c>
      <c r="P43" s="2">
        <f>+N43+L43</f>
        <v>22267.687944066154</v>
      </c>
    </row>
    <row r="44" spans="1:16" x14ac:dyDescent="0.25">
      <c r="A44" s="5">
        <v>26</v>
      </c>
      <c r="D44" t="s">
        <v>28</v>
      </c>
      <c r="H44" s="8">
        <f>+'Page 2'!V44</f>
        <v>1966623.5900000036</v>
      </c>
      <c r="J44" s="8">
        <f>SUM(J41:J43)</f>
        <v>44054.421272102285</v>
      </c>
      <c r="L44" s="8">
        <f>+H44+J44</f>
        <v>2010678.0112721059</v>
      </c>
      <c r="N44" s="8">
        <f>SUM(N41:N43)</f>
        <v>44196.992214730315</v>
      </c>
      <c r="P44" s="8">
        <f>+N44+L44</f>
        <v>2054875.0034868361</v>
      </c>
    </row>
    <row r="45" spans="1:16" x14ac:dyDescent="0.25">
      <c r="A45" s="5">
        <v>27</v>
      </c>
      <c r="H45" s="2"/>
      <c r="J45" s="2"/>
      <c r="L45" s="2"/>
      <c r="N45" s="2"/>
      <c r="P45" s="2"/>
    </row>
    <row r="46" spans="1:16" ht="15.75" thickBot="1" x14ac:dyDescent="0.3">
      <c r="A46" s="5">
        <v>28</v>
      </c>
      <c r="D46" t="s">
        <v>30</v>
      </c>
      <c r="H46" s="9">
        <f>+'Page 2'!V46</f>
        <v>5324445.9550783196</v>
      </c>
      <c r="J46" s="9">
        <f>+J44+J38</f>
        <v>119273.14730601845</v>
      </c>
      <c r="L46" s="9">
        <f>+H46+J46</f>
        <v>5443719.1023843382</v>
      </c>
      <c r="N46" s="9">
        <f>+N44+N38</f>
        <v>119659.14454649066</v>
      </c>
      <c r="P46" s="9">
        <f>+N46+L46</f>
        <v>5563378.2469308292</v>
      </c>
    </row>
    <row r="47" spans="1:16" ht="15.75" thickTop="1" x14ac:dyDescent="0.25">
      <c r="H47" s="2"/>
      <c r="J47" s="2"/>
      <c r="L47" s="2"/>
      <c r="N47" s="2"/>
      <c r="P47" s="2"/>
    </row>
    <row r="48" spans="1:16" hidden="1" x14ac:dyDescent="0.25">
      <c r="H48" s="2">
        <f>ROUND(H46,2)-ROUND(H22,2)</f>
        <v>1.9999999552965164E-2</v>
      </c>
      <c r="J48" s="2">
        <f>ROUND(J46,2)-ROUND(J22,2)</f>
        <v>0</v>
      </c>
      <c r="L48" s="2">
        <f>ROUND(L46,2)-ROUND(L22,2)</f>
        <v>1.9999999552965164E-2</v>
      </c>
      <c r="N48" s="2">
        <f>ROUND(N46,2)-ROUND(N22,2)</f>
        <v>0</v>
      </c>
      <c r="P48" s="2">
        <f>ROUND(P46,2)-ROUND(P22,2)</f>
        <v>1.9999999552965164E-2</v>
      </c>
    </row>
    <row r="50" spans="1:2" x14ac:dyDescent="0.25">
      <c r="A50" s="11" t="s">
        <v>31</v>
      </c>
    </row>
    <row r="51" spans="1:2" x14ac:dyDescent="0.25">
      <c r="A51" s="5" t="s">
        <v>35</v>
      </c>
      <c r="B51" t="s">
        <v>49</v>
      </c>
    </row>
    <row r="52" spans="1:2" x14ac:dyDescent="0.25">
      <c r="A52" s="5" t="s">
        <v>6</v>
      </c>
      <c r="B52" t="s">
        <v>50</v>
      </c>
    </row>
    <row r="53" spans="1:2" x14ac:dyDescent="0.25">
      <c r="A53" s="5" t="s">
        <v>7</v>
      </c>
      <c r="B53" t="s">
        <v>51</v>
      </c>
    </row>
    <row r="54" spans="1:2" x14ac:dyDescent="0.25">
      <c r="A54" s="5" t="s">
        <v>46</v>
      </c>
      <c r="B54" t="s">
        <v>52</v>
      </c>
    </row>
    <row r="55" spans="1:2" x14ac:dyDescent="0.25">
      <c r="A55" s="5" t="s">
        <v>9</v>
      </c>
      <c r="B55" t="s">
        <v>53</v>
      </c>
    </row>
  </sheetData>
  <printOptions horizontalCentered="1"/>
  <pageMargins left="1" right="1" top="1" bottom="1" header="0.5" footer="0.5"/>
  <pageSetup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5"/>
  <sheetViews>
    <sheetView topLeftCell="A13" zoomScale="80" zoomScaleNormal="80" workbookViewId="0">
      <selection activeCell="M61" sqref="A7:M61"/>
    </sheetView>
  </sheetViews>
  <sheetFormatPr defaultRowHeight="15" x14ac:dyDescent="0.25"/>
  <cols>
    <col min="1" max="1" width="3.7109375" style="5" customWidth="1"/>
    <col min="2" max="5" width="2.7109375" customWidth="1"/>
    <col min="6" max="6" width="22.7109375" customWidth="1"/>
    <col min="7" max="7" width="2.7109375" customWidth="1"/>
    <col min="8" max="8" width="14.7109375" customWidth="1"/>
    <col min="9" max="9" width="2.7109375" customWidth="1"/>
    <col min="10" max="10" width="18.85546875" customWidth="1"/>
    <col min="11" max="11" width="2.7109375" customWidth="1"/>
    <col min="12" max="12" width="14.7109375" customWidth="1"/>
    <col min="13" max="13" width="2.7109375" customWidth="1"/>
    <col min="14" max="14" width="18.85546875" customWidth="1"/>
    <col min="15" max="15" width="2.7109375" customWidth="1"/>
    <col min="16" max="16" width="14.7109375" customWidth="1"/>
  </cols>
  <sheetData>
    <row r="1" spans="1:16" x14ac:dyDescent="0.25">
      <c r="P1" s="1" t="str">
        <f>'Page 1'!X1</f>
        <v>THE NARRAGANSETT ELECTRIC COMPANY</v>
      </c>
    </row>
    <row r="2" spans="1:16" x14ac:dyDescent="0.25">
      <c r="P2" s="1" t="str">
        <f>'Page 1'!X2</f>
        <v>d/b/a RHODE ISLAND ENERGY</v>
      </c>
    </row>
    <row r="3" spans="1:16" x14ac:dyDescent="0.25">
      <c r="P3" s="1" t="str">
        <f>'Page 1'!X3</f>
        <v>RIPUC Docket No. 25-45-GE</v>
      </c>
    </row>
    <row r="4" spans="1:16" hidden="1" x14ac:dyDescent="0.25">
      <c r="P4" s="1">
        <f>'Page 1'!X4</f>
        <v>0</v>
      </c>
    </row>
    <row r="5" spans="1:16" x14ac:dyDescent="0.25">
      <c r="P5" s="1" t="str">
        <f>'Page 1'!X5</f>
        <v>Schedule SAB- 35</v>
      </c>
    </row>
    <row r="6" spans="1:16" x14ac:dyDescent="0.25">
      <c r="P6" s="1" t="s">
        <v>54</v>
      </c>
    </row>
    <row r="8" spans="1:16" x14ac:dyDescent="0.25">
      <c r="P8" s="1" t="str">
        <f>'Page 1'!X8</f>
        <v xml:space="preserve"> </v>
      </c>
    </row>
    <row r="9" spans="1:16" x14ac:dyDescent="0.25">
      <c r="P9" s="1" t="str">
        <f>'Page 1'!X9</f>
        <v/>
      </c>
    </row>
    <row r="10" spans="1:16" x14ac:dyDescent="0.25">
      <c r="A10" s="3" t="str">
        <f>+'Page 2'!A10</f>
        <v>The Narragansett Electric Company d/b/a Rhode Island Energy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5">
      <c r="A11" s="3" t="str">
        <f>+'Page 2'!A11</f>
        <v>Operating Expenses by Component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25">
      <c r="A12" s="3" t="str">
        <f>+'Page 2'!A12</f>
        <v>Transportation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5" spans="1:16" ht="60" x14ac:dyDescent="0.25">
      <c r="H15" s="12" t="str">
        <f>+'Page 2'!T15</f>
        <v>Rate Year Ending July 31, 2027</v>
      </c>
      <c r="J15" s="12" t="s">
        <v>90</v>
      </c>
      <c r="L15" s="12" t="s">
        <v>86</v>
      </c>
      <c r="N15" s="12" t="s">
        <v>91</v>
      </c>
      <c r="P15" s="12" t="s">
        <v>85</v>
      </c>
    </row>
    <row r="16" spans="1:16" x14ac:dyDescent="0.25">
      <c r="H16" s="6" t="s">
        <v>4</v>
      </c>
      <c r="J16" s="6" t="s">
        <v>4</v>
      </c>
      <c r="L16" s="6" t="s">
        <v>4</v>
      </c>
      <c r="N16" s="6" t="s">
        <v>4</v>
      </c>
      <c r="P16" s="6" t="s">
        <v>4</v>
      </c>
    </row>
    <row r="17" spans="1:16" x14ac:dyDescent="0.25">
      <c r="H17" s="5" t="s">
        <v>35</v>
      </c>
      <c r="J17" s="5" t="s">
        <v>6</v>
      </c>
      <c r="L17" s="5" t="s">
        <v>45</v>
      </c>
      <c r="N17" s="5" t="s">
        <v>46</v>
      </c>
      <c r="P17" s="5" t="s">
        <v>47</v>
      </c>
    </row>
    <row r="18" spans="1:16" x14ac:dyDescent="0.25">
      <c r="B18" t="s">
        <v>14</v>
      </c>
    </row>
    <row r="19" spans="1:16" x14ac:dyDescent="0.25">
      <c r="A19" s="5">
        <v>1</v>
      </c>
      <c r="C19" t="str">
        <f>'Page 1'!C19</f>
        <v>Narragansett Electric Company</v>
      </c>
      <c r="H19" s="2">
        <f>+'Page 2'!X19</f>
        <v>4415836.3138919435</v>
      </c>
      <c r="J19" s="2">
        <f>'Page 5'!M48</f>
        <v>98919.343264652183</v>
      </c>
      <c r="L19" s="2">
        <f>+H19+J19</f>
        <v>4514755.657156596</v>
      </c>
      <c r="N19" s="2">
        <f>'Page 5'!M57</f>
        <v>99239.470589132965</v>
      </c>
      <c r="P19" s="2">
        <f>+N19+L19</f>
        <v>4613995.1277457289</v>
      </c>
    </row>
    <row r="20" spans="1:16" x14ac:dyDescent="0.25">
      <c r="A20" s="5">
        <v>2</v>
      </c>
      <c r="C20" t="str">
        <f>'Page 1'!C20</f>
        <v>PPL Services Corporation</v>
      </c>
      <c r="H20" s="2">
        <f>+'Page 2'!X20</f>
        <v>2009.3686888172383</v>
      </c>
      <c r="J20" s="2">
        <f>'Page 5'!M49</f>
        <v>45.011956274070421</v>
      </c>
      <c r="L20" s="2">
        <f>+H20+J20</f>
        <v>2054.3806450913089</v>
      </c>
      <c r="N20" s="2">
        <f>'Page 5'!M58</f>
        <v>45.157626035475047</v>
      </c>
      <c r="P20" s="2">
        <f>+N20+L20</f>
        <v>2099.5382711267839</v>
      </c>
    </row>
    <row r="21" spans="1:16" x14ac:dyDescent="0.25">
      <c r="A21" s="5">
        <v>3</v>
      </c>
      <c r="C21" t="str">
        <f>'Page 1'!C21</f>
        <v>All Other Companies</v>
      </c>
      <c r="H21" s="2">
        <f>+'Page 2'!X21</f>
        <v>6.3475137362637373</v>
      </c>
      <c r="J21" s="2">
        <f>'Page 5'!M50</f>
        <v>0.14219093406593425</v>
      </c>
      <c r="L21" s="2">
        <f>+H21+J21</f>
        <v>6.4897046703296715</v>
      </c>
      <c r="N21" s="2">
        <f>'Page 5'!M59</f>
        <v>0.14265109890109867</v>
      </c>
      <c r="P21" s="2">
        <f>+N21+L21</f>
        <v>6.6323557692307702</v>
      </c>
    </row>
    <row r="22" spans="1:16" ht="15.75" thickBot="1" x14ac:dyDescent="0.3">
      <c r="A22" s="5">
        <v>4</v>
      </c>
      <c r="D22" t="s">
        <v>2</v>
      </c>
      <c r="H22" s="7">
        <f>SUM(H19:H21)</f>
        <v>4417852.0300944969</v>
      </c>
      <c r="J22" s="7">
        <f>SUM(J19:J21)</f>
        <v>98964.497411860328</v>
      </c>
      <c r="L22" s="7">
        <f>+H22+J22</f>
        <v>4516816.5275063571</v>
      </c>
      <c r="N22" s="7">
        <f>SUM(N19:N21)</f>
        <v>99284.770866267339</v>
      </c>
      <c r="P22" s="7">
        <f>+N22+L22</f>
        <v>4616101.2983726244</v>
      </c>
    </row>
    <row r="23" spans="1:16" ht="15.75" thickTop="1" x14ac:dyDescent="0.25">
      <c r="A23" s="5">
        <v>5</v>
      </c>
      <c r="H23" s="2"/>
      <c r="J23" s="2"/>
      <c r="L23" s="2"/>
      <c r="N23" s="2"/>
      <c r="P23" s="2"/>
    </row>
    <row r="24" spans="1:16" x14ac:dyDescent="0.25">
      <c r="A24" s="5">
        <v>6</v>
      </c>
      <c r="H24" s="2"/>
      <c r="J24" s="2"/>
      <c r="L24" s="2"/>
      <c r="N24" s="2"/>
      <c r="P24" s="2"/>
    </row>
    <row r="25" spans="1:16" x14ac:dyDescent="0.25">
      <c r="A25" s="5">
        <v>7</v>
      </c>
      <c r="B25" t="s">
        <v>15</v>
      </c>
      <c r="H25" s="2"/>
      <c r="J25" s="2"/>
      <c r="L25" s="2"/>
      <c r="N25" s="2"/>
      <c r="P25" s="2"/>
    </row>
    <row r="26" spans="1:16" x14ac:dyDescent="0.25">
      <c r="A26" s="5">
        <v>8</v>
      </c>
      <c r="C26" t="s">
        <v>16</v>
      </c>
      <c r="H26" s="2">
        <f>+'Page 2'!X26</f>
        <v>0</v>
      </c>
      <c r="I26" s="20">
        <f>H26/$H$46</f>
        <v>0</v>
      </c>
      <c r="J26" s="2">
        <f>I26*'Page 5'!$M$52</f>
        <v>0</v>
      </c>
      <c r="L26" s="2">
        <f>+H26+J26</f>
        <v>0</v>
      </c>
      <c r="M26" s="20">
        <f>L26/$L$46</f>
        <v>0</v>
      </c>
      <c r="N26" s="2">
        <f>M26*'Page 5'!$M$61</f>
        <v>0</v>
      </c>
      <c r="P26" s="2">
        <f>+N26+L26</f>
        <v>0</v>
      </c>
    </row>
    <row r="27" spans="1:16" x14ac:dyDescent="0.25">
      <c r="A27" s="5">
        <v>9</v>
      </c>
      <c r="C27" t="s">
        <v>17</v>
      </c>
      <c r="H27" s="2">
        <f>+'Page 2'!X27</f>
        <v>0</v>
      </c>
      <c r="I27" s="20">
        <f t="shared" ref="I27:I43" si="0">H27/$H$46</f>
        <v>0</v>
      </c>
      <c r="J27" s="2">
        <f>I27*'Page 5'!$M$52</f>
        <v>0</v>
      </c>
      <c r="L27" s="2">
        <f>+H27+J27</f>
        <v>0</v>
      </c>
      <c r="M27" s="20">
        <f t="shared" ref="M27:M43" si="1">L27/$L$46</f>
        <v>0</v>
      </c>
      <c r="N27" s="2">
        <f>M27*'Page 5'!$M$61</f>
        <v>0</v>
      </c>
      <c r="P27" s="2">
        <f>+N27+L27</f>
        <v>0</v>
      </c>
    </row>
    <row r="28" spans="1:16" x14ac:dyDescent="0.25">
      <c r="A28" s="5">
        <v>10</v>
      </c>
      <c r="C28" t="s">
        <v>48</v>
      </c>
      <c r="H28" s="2">
        <f>+'Page 2'!X28</f>
        <v>249979.32283882779</v>
      </c>
      <c r="I28" s="20">
        <f t="shared" si="0"/>
        <v>5.658390573879879E-2</v>
      </c>
      <c r="J28" s="2">
        <f>I28*'Page 5'!$M$52</f>
        <v>5599.7977930403013</v>
      </c>
      <c r="L28" s="2">
        <f>+H28+J28</f>
        <v>255579.12063186811</v>
      </c>
      <c r="M28" s="20">
        <f t="shared" si="1"/>
        <v>5.6583905738798797E-2</v>
      </c>
      <c r="N28" s="2">
        <f>M28*'Page 5'!$M$61</f>
        <v>5617.9201159951081</v>
      </c>
      <c r="P28" s="2">
        <f>+N28+L28</f>
        <v>261197.04074786321</v>
      </c>
    </row>
    <row r="29" spans="1:16" x14ac:dyDescent="0.25">
      <c r="A29" s="5">
        <v>11</v>
      </c>
      <c r="D29" t="s">
        <v>19</v>
      </c>
      <c r="H29" s="2"/>
      <c r="I29" s="20">
        <f t="shared" si="0"/>
        <v>0</v>
      </c>
      <c r="J29" s="2"/>
      <c r="L29" s="2"/>
      <c r="M29" s="20"/>
      <c r="N29" s="2"/>
      <c r="P29" s="2"/>
    </row>
    <row r="30" spans="1:16" x14ac:dyDescent="0.25">
      <c r="A30" s="5">
        <v>12</v>
      </c>
      <c r="C30" t="s">
        <v>20</v>
      </c>
      <c r="H30" s="2">
        <f>+'Page 2'!X30</f>
        <v>0</v>
      </c>
      <c r="I30" s="20">
        <f t="shared" si="0"/>
        <v>0</v>
      </c>
      <c r="J30" s="2">
        <f>I30*'Page 5'!$M$52</f>
        <v>0</v>
      </c>
      <c r="L30" s="2">
        <f>+H30+J30</f>
        <v>0</v>
      </c>
      <c r="M30" s="20">
        <f t="shared" si="1"/>
        <v>0</v>
      </c>
      <c r="N30" s="2">
        <f>M30*'Page 5'!$M$61</f>
        <v>0</v>
      </c>
      <c r="P30" s="2">
        <f>+N30+L30</f>
        <v>0</v>
      </c>
    </row>
    <row r="31" spans="1:16" x14ac:dyDescent="0.25">
      <c r="A31" s="5">
        <v>13</v>
      </c>
      <c r="C31" t="s">
        <v>21</v>
      </c>
      <c r="H31" s="2">
        <f>+'Page 2'!X31</f>
        <v>0</v>
      </c>
      <c r="I31" s="20">
        <f t="shared" si="0"/>
        <v>0</v>
      </c>
      <c r="J31" s="2">
        <f>I31*'Page 5'!$M$52</f>
        <v>0</v>
      </c>
      <c r="L31" s="2">
        <f>+H31+J31</f>
        <v>0</v>
      </c>
      <c r="M31" s="20">
        <f t="shared" si="1"/>
        <v>0</v>
      </c>
      <c r="N31" s="2">
        <f>M31*'Page 5'!$M$61</f>
        <v>0</v>
      </c>
      <c r="P31" s="2">
        <f>+N31+L31</f>
        <v>0</v>
      </c>
    </row>
    <row r="32" spans="1:16" x14ac:dyDescent="0.25">
      <c r="A32" s="5">
        <v>14</v>
      </c>
      <c r="C32" t="s">
        <v>22</v>
      </c>
      <c r="H32" s="2">
        <f>+'Page 2'!X32</f>
        <v>2227187.1454441384</v>
      </c>
      <c r="I32" s="20">
        <f t="shared" si="0"/>
        <v>0.50413348619928777</v>
      </c>
      <c r="J32" s="2">
        <f>I32*'Page 5'!$M$52</f>
        <v>49891.317090201541</v>
      </c>
      <c r="L32" s="2">
        <f>+H32+J32</f>
        <v>2277078.4625343401</v>
      </c>
      <c r="M32" s="20">
        <f t="shared" si="1"/>
        <v>0.50413348619928777</v>
      </c>
      <c r="N32" s="2">
        <f>M32*'Page 5'!$M$61</f>
        <v>50052.777663308836</v>
      </c>
      <c r="P32" s="2">
        <f>+N32+L32</f>
        <v>2327131.2401976488</v>
      </c>
    </row>
    <row r="33" spans="1:16" x14ac:dyDescent="0.25">
      <c r="A33" s="5">
        <v>15</v>
      </c>
      <c r="C33" t="s">
        <v>23</v>
      </c>
      <c r="H33" s="2">
        <f>+'Page 2'!X33</f>
        <v>360915.37432155036</v>
      </c>
      <c r="I33" s="20">
        <f t="shared" si="0"/>
        <v>8.1694762944296853E-2</v>
      </c>
      <c r="J33" s="2">
        <f>I33*'Page 5'!$M$52</f>
        <v>8084.8811559634087</v>
      </c>
      <c r="L33" s="2">
        <f>+H33+J33</f>
        <v>369000.25547751377</v>
      </c>
      <c r="M33" s="20">
        <f t="shared" si="1"/>
        <v>8.1694762944296853E-2</v>
      </c>
      <c r="N33" s="2">
        <f>M33*'Page 5'!$M$61</f>
        <v>8111.0458198985407</v>
      </c>
      <c r="P33" s="2">
        <f>+N33+L33</f>
        <v>377111.30129741231</v>
      </c>
    </row>
    <row r="34" spans="1:16" x14ac:dyDescent="0.25">
      <c r="A34" s="5">
        <v>16</v>
      </c>
      <c r="C34" t="s">
        <v>24</v>
      </c>
      <c r="H34" s="2">
        <f>+'Page 2'!X34</f>
        <v>0</v>
      </c>
      <c r="I34" s="20">
        <f t="shared" si="0"/>
        <v>0</v>
      </c>
      <c r="J34" s="2">
        <f>I34*'Page 5'!$M$52</f>
        <v>0</v>
      </c>
      <c r="L34" s="2">
        <f>+H34+J34</f>
        <v>0</v>
      </c>
      <c r="M34" s="20">
        <f t="shared" si="1"/>
        <v>0</v>
      </c>
      <c r="N34" s="2">
        <f>M34*'Page 5'!$M$61</f>
        <v>0</v>
      </c>
      <c r="P34" s="2">
        <f>+N34+L34</f>
        <v>0</v>
      </c>
    </row>
    <row r="35" spans="1:16" x14ac:dyDescent="0.25">
      <c r="A35" s="5">
        <v>17</v>
      </c>
      <c r="D35" t="s">
        <v>25</v>
      </c>
      <c r="H35" s="2"/>
      <c r="I35" s="20">
        <f t="shared" si="0"/>
        <v>0</v>
      </c>
      <c r="J35" s="2"/>
      <c r="L35" s="2"/>
      <c r="M35" s="20"/>
      <c r="N35" s="2"/>
      <c r="P35" s="2"/>
    </row>
    <row r="36" spans="1:16" x14ac:dyDescent="0.25">
      <c r="A36" s="5">
        <v>18</v>
      </c>
      <c r="C36" t="s">
        <v>26</v>
      </c>
      <c r="H36" s="2">
        <f>+'Page 2'!X36</f>
        <v>0</v>
      </c>
      <c r="I36" s="20">
        <f t="shared" si="0"/>
        <v>0</v>
      </c>
      <c r="J36" s="2">
        <f>I36*'Page 5'!$M$52</f>
        <v>0</v>
      </c>
      <c r="L36" s="2">
        <f>+H36+J36</f>
        <v>0</v>
      </c>
      <c r="M36" s="20">
        <f t="shared" si="1"/>
        <v>0</v>
      </c>
      <c r="N36" s="2">
        <f>M36*'Page 5'!$M$61</f>
        <v>0</v>
      </c>
      <c r="P36" s="2">
        <f>+N36+L36</f>
        <v>0</v>
      </c>
    </row>
    <row r="37" spans="1:16" x14ac:dyDescent="0.25">
      <c r="A37" s="5">
        <v>19</v>
      </c>
      <c r="C37" t="s">
        <v>27</v>
      </c>
      <c r="H37" s="2">
        <f>+'Page 2'!X37</f>
        <v>226948.92227935497</v>
      </c>
      <c r="I37" s="20">
        <f t="shared" si="0"/>
        <v>5.1370874518515887E-2</v>
      </c>
      <c r="J37" s="2">
        <f>I37*'Page 5'!$M$52</f>
        <v>5083.8927783326671</v>
      </c>
      <c r="L37" s="2">
        <f>+H37+J37</f>
        <v>232032.81505768764</v>
      </c>
      <c r="M37" s="20">
        <f t="shared" si="1"/>
        <v>5.1370874518515887E-2</v>
      </c>
      <c r="N37" s="2">
        <f>M37*'Page 5'!$M$61</f>
        <v>5100.3455057706215</v>
      </c>
      <c r="P37" s="2">
        <f>+N37+L37</f>
        <v>237133.16056345825</v>
      </c>
    </row>
    <row r="38" spans="1:16" x14ac:dyDescent="0.25">
      <c r="A38" s="5">
        <v>20</v>
      </c>
      <c r="D38" t="s">
        <v>28</v>
      </c>
      <c r="H38" s="8">
        <f>+'Page 2'!X38</f>
        <v>3065030.7648838721</v>
      </c>
      <c r="I38" s="20">
        <f t="shared" si="0"/>
        <v>0.69378302940089942</v>
      </c>
      <c r="J38" s="8">
        <f>SUM(J26:J37)</f>
        <v>68659.888817537911</v>
      </c>
      <c r="L38" s="8">
        <f>+H38+J38</f>
        <v>3133690.6537014102</v>
      </c>
      <c r="M38" s="20">
        <f t="shared" si="1"/>
        <v>0.69378302940089942</v>
      </c>
      <c r="N38" s="8">
        <f>SUM(N26:N37)</f>
        <v>68882.0891049731</v>
      </c>
      <c r="P38" s="8">
        <f>+N38+L38</f>
        <v>3202572.7428063834</v>
      </c>
    </row>
    <row r="39" spans="1:16" x14ac:dyDescent="0.25">
      <c r="A39" s="5">
        <v>21</v>
      </c>
      <c r="H39" s="2"/>
      <c r="I39" s="20">
        <f t="shared" si="0"/>
        <v>0</v>
      </c>
      <c r="J39" s="2"/>
      <c r="L39" s="2"/>
      <c r="M39" s="20">
        <f t="shared" si="1"/>
        <v>0</v>
      </c>
      <c r="N39" s="2"/>
      <c r="P39" s="2"/>
    </row>
    <row r="40" spans="1:16" x14ac:dyDescent="0.25">
      <c r="A40" s="5">
        <v>22</v>
      </c>
      <c r="B40" t="s">
        <v>29</v>
      </c>
      <c r="H40" s="2"/>
      <c r="I40" s="20">
        <f t="shared" si="0"/>
        <v>0</v>
      </c>
      <c r="J40" s="2"/>
      <c r="L40" s="2"/>
      <c r="M40" s="20">
        <f t="shared" si="1"/>
        <v>0</v>
      </c>
      <c r="N40" s="2"/>
      <c r="P40" s="2"/>
    </row>
    <row r="41" spans="1:16" x14ac:dyDescent="0.25">
      <c r="A41" s="5">
        <v>23</v>
      </c>
      <c r="C41" t="s">
        <v>20</v>
      </c>
      <c r="H41" s="2">
        <f>+'Page 2'!X41</f>
        <v>0</v>
      </c>
      <c r="I41" s="20">
        <f t="shared" si="0"/>
        <v>0</v>
      </c>
      <c r="J41" s="2">
        <f>I41*'Page 5'!$M$52</f>
        <v>0</v>
      </c>
      <c r="L41" s="2">
        <f>+H41+J41</f>
        <v>0</v>
      </c>
      <c r="M41" s="20">
        <f t="shared" si="1"/>
        <v>0</v>
      </c>
      <c r="N41" s="2">
        <f>M41*'Page 5'!$M$61</f>
        <v>0</v>
      </c>
      <c r="P41" s="2">
        <f>+N41+L41</f>
        <v>0</v>
      </c>
    </row>
    <row r="42" spans="1:16" x14ac:dyDescent="0.25">
      <c r="A42" s="5">
        <v>24</v>
      </c>
      <c r="C42" t="s">
        <v>22</v>
      </c>
      <c r="H42" s="2">
        <f>+'Page 2'!X42</f>
        <v>1352821.2652106234</v>
      </c>
      <c r="I42" s="20">
        <f t="shared" si="0"/>
        <v>0.30621697059910069</v>
      </c>
      <c r="J42" s="2">
        <f>I42*'Page 5'!$M$52</f>
        <v>30304.60859432241</v>
      </c>
      <c r="L42" s="2">
        <f>+H42+J42</f>
        <v>1383125.8738049457</v>
      </c>
      <c r="M42" s="20">
        <f t="shared" si="1"/>
        <v>0.30621697059910069</v>
      </c>
      <c r="N42" s="2">
        <f>M42*'Page 5'!$M$61</f>
        <v>30402.681761294236</v>
      </c>
      <c r="P42" s="2">
        <f>+N42+L42</f>
        <v>1413528.5555662399</v>
      </c>
    </row>
    <row r="43" spans="1:16" x14ac:dyDescent="0.25">
      <c r="A43" s="5">
        <v>25</v>
      </c>
      <c r="C43" t="s">
        <v>27</v>
      </c>
      <c r="H43" s="2">
        <f>+'Page 2'!X43</f>
        <v>0</v>
      </c>
      <c r="I43" s="20">
        <f t="shared" si="0"/>
        <v>0</v>
      </c>
      <c r="J43" s="2">
        <f>I43*'Page 5'!$M$52</f>
        <v>0</v>
      </c>
      <c r="L43" s="2">
        <f>+H43+J43</f>
        <v>0</v>
      </c>
      <c r="M43" s="20">
        <f t="shared" si="1"/>
        <v>0</v>
      </c>
      <c r="N43" s="2">
        <f>M43*'Page 5'!$M$61</f>
        <v>0</v>
      </c>
      <c r="P43" s="2">
        <f>+N43+L43</f>
        <v>0</v>
      </c>
    </row>
    <row r="44" spans="1:16" x14ac:dyDescent="0.25">
      <c r="A44" s="5">
        <v>26</v>
      </c>
      <c r="D44" t="s">
        <v>28</v>
      </c>
      <c r="H44" s="8">
        <f>+'Page 2'!X44</f>
        <v>1352821.2652106234</v>
      </c>
      <c r="J44" s="8">
        <f>SUM(J41:J43)</f>
        <v>30304.60859432241</v>
      </c>
      <c r="L44" s="8">
        <f>+H44+J44</f>
        <v>1383125.8738049457</v>
      </c>
      <c r="N44" s="8">
        <f>SUM(N41:N43)</f>
        <v>30402.681761294236</v>
      </c>
      <c r="P44" s="8">
        <f>+N44+L44</f>
        <v>1413528.5555662399</v>
      </c>
    </row>
    <row r="45" spans="1:16" x14ac:dyDescent="0.25">
      <c r="A45" s="5">
        <v>27</v>
      </c>
      <c r="H45" s="2"/>
      <c r="J45" s="2"/>
      <c r="L45" s="2"/>
      <c r="N45" s="2"/>
      <c r="P45" s="2"/>
    </row>
    <row r="46" spans="1:16" ht="15.75" thickBot="1" x14ac:dyDescent="0.3">
      <c r="A46" s="5">
        <v>28</v>
      </c>
      <c r="D46" t="s">
        <v>30</v>
      </c>
      <c r="H46" s="9">
        <f>+'Page 2'!X46</f>
        <v>4417852.030094495</v>
      </c>
      <c r="J46" s="9">
        <f>+J44+J38</f>
        <v>98964.497411860328</v>
      </c>
      <c r="L46" s="9">
        <f>+H46+J46</f>
        <v>4516816.5275063552</v>
      </c>
      <c r="N46" s="9">
        <f>+N44+N38</f>
        <v>99284.770866267339</v>
      </c>
      <c r="P46" s="9">
        <f>+N46+L46</f>
        <v>4616101.2983726226</v>
      </c>
    </row>
    <row r="47" spans="1:16" ht="15.75" thickTop="1" x14ac:dyDescent="0.25">
      <c r="H47" s="2"/>
      <c r="J47" s="2"/>
      <c r="L47" s="2"/>
      <c r="N47" s="2"/>
      <c r="P47" s="2"/>
    </row>
    <row r="48" spans="1:16" hidden="1" x14ac:dyDescent="0.25">
      <c r="H48" s="2">
        <f>ROUND(H46,2)-ROUND(H22,2)</f>
        <v>0</v>
      </c>
      <c r="J48" s="2">
        <f>ROUND(J46,2)-ROUND(J22,2)</f>
        <v>0</v>
      </c>
      <c r="L48" s="2">
        <f>ROUND(L46,2)-ROUND(L22,2)</f>
        <v>0</v>
      </c>
      <c r="N48" s="2">
        <f>ROUND(N46,2)-ROUND(N22,2)</f>
        <v>0</v>
      </c>
      <c r="P48" s="2">
        <f>ROUND(P46,2)-ROUND(P22,2)</f>
        <v>0</v>
      </c>
    </row>
    <row r="50" spans="1:2" x14ac:dyDescent="0.25">
      <c r="A50" s="11" t="s">
        <v>31</v>
      </c>
    </row>
    <row r="51" spans="1:2" x14ac:dyDescent="0.25">
      <c r="A51" s="5" t="s">
        <v>35</v>
      </c>
      <c r="B51" t="s">
        <v>49</v>
      </c>
    </row>
    <row r="52" spans="1:2" x14ac:dyDescent="0.25">
      <c r="A52" s="5" t="s">
        <v>6</v>
      </c>
      <c r="B52" t="s">
        <v>50</v>
      </c>
    </row>
    <row r="53" spans="1:2" x14ac:dyDescent="0.25">
      <c r="A53" s="5" t="s">
        <v>7</v>
      </c>
      <c r="B53" t="s">
        <v>51</v>
      </c>
    </row>
    <row r="54" spans="1:2" x14ac:dyDescent="0.25">
      <c r="A54" s="5" t="s">
        <v>46</v>
      </c>
      <c r="B54" t="s">
        <v>52</v>
      </c>
    </row>
    <row r="55" spans="1:2" x14ac:dyDescent="0.25">
      <c r="A55" s="5" t="s">
        <v>9</v>
      </c>
      <c r="B55" t="s">
        <v>53</v>
      </c>
    </row>
  </sheetData>
  <printOptions horizontalCentered="1"/>
  <pageMargins left="1" right="1" top="1" bottom="1" header="0.5" footer="0.5"/>
  <pageSetup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8"/>
  <sheetViews>
    <sheetView topLeftCell="A26" zoomScale="80" zoomScaleNormal="80" workbookViewId="0">
      <selection activeCell="M61" sqref="A7:M61"/>
    </sheetView>
  </sheetViews>
  <sheetFormatPr defaultRowHeight="15" x14ac:dyDescent="0.25"/>
  <cols>
    <col min="1" max="1" width="3.7109375" style="5" customWidth="1"/>
    <col min="2" max="2" width="7.28515625" customWidth="1"/>
    <col min="3" max="3" width="14.7109375" customWidth="1"/>
    <col min="5" max="5" width="12" customWidth="1"/>
    <col min="6" max="6" width="27.28515625" bestFit="1" customWidth="1"/>
    <col min="7" max="7" width="27.140625" bestFit="1" customWidth="1"/>
    <col min="8" max="8" width="2.7109375" customWidth="1"/>
    <col min="9" max="9" width="10.7109375" bestFit="1" customWidth="1"/>
    <col min="10" max="10" width="2.7109375" customWidth="1"/>
    <col min="11" max="11" width="12" bestFit="1" customWidth="1"/>
    <col min="12" max="12" width="2.7109375" customWidth="1"/>
    <col min="13" max="13" width="11" customWidth="1"/>
  </cols>
  <sheetData>
    <row r="1" spans="1:13" x14ac:dyDescent="0.25">
      <c r="M1" s="1" t="str">
        <f>'Page 1'!X1</f>
        <v>THE NARRAGANSETT ELECTRIC COMPANY</v>
      </c>
    </row>
    <row r="2" spans="1:13" x14ac:dyDescent="0.25">
      <c r="M2" s="1" t="str">
        <f>'Page 1'!X2</f>
        <v>d/b/a RHODE ISLAND ENERGY</v>
      </c>
    </row>
    <row r="3" spans="1:13" x14ac:dyDescent="0.25">
      <c r="M3" s="1" t="str">
        <f>'Page 1'!X3</f>
        <v>RIPUC Docket No. 25-45-GE</v>
      </c>
    </row>
    <row r="4" spans="1:13" hidden="1" x14ac:dyDescent="0.25">
      <c r="M4" s="1">
        <f>'Page 1'!X4</f>
        <v>0</v>
      </c>
    </row>
    <row r="5" spans="1:13" x14ac:dyDescent="0.25">
      <c r="M5" s="1" t="str">
        <f>'Page 1'!X5</f>
        <v>Schedule SAB- 35</v>
      </c>
    </row>
    <row r="6" spans="1:13" x14ac:dyDescent="0.25">
      <c r="M6" s="1" t="s">
        <v>55</v>
      </c>
    </row>
    <row r="8" spans="1:13" x14ac:dyDescent="0.25">
      <c r="M8" s="1" t="str">
        <f>'Page 1'!X8</f>
        <v xml:space="preserve"> </v>
      </c>
    </row>
    <row r="9" spans="1:13" x14ac:dyDescent="0.25">
      <c r="M9" s="1" t="str">
        <f>'Page 1'!X9</f>
        <v/>
      </c>
    </row>
    <row r="10" spans="1:13" x14ac:dyDescent="0.25">
      <c r="A10" s="3" t="str">
        <f>'Page 3'!A10</f>
        <v>The Narragansett Electric Company d/b/a Rhode Island Energy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3" t="str">
        <f>'Page 3'!A11</f>
        <v>Operating Expenses by Component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3" t="str">
        <f>+'Page 1'!A12</f>
        <v>Transportation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5" spans="1:13" x14ac:dyDescent="0.25">
      <c r="B15" s="11" t="s">
        <v>56</v>
      </c>
      <c r="F15" s="14" t="s">
        <v>57</v>
      </c>
      <c r="G15" s="14" t="s">
        <v>58</v>
      </c>
      <c r="I15" s="13" t="s">
        <v>2</v>
      </c>
      <c r="K15" s="13" t="s">
        <v>3</v>
      </c>
      <c r="M15" s="13" t="s">
        <v>4</v>
      </c>
    </row>
    <row r="16" spans="1:13" x14ac:dyDescent="0.25">
      <c r="B16" t="s">
        <v>59</v>
      </c>
      <c r="I16" s="5" t="s">
        <v>5</v>
      </c>
      <c r="K16" s="5" t="s">
        <v>6</v>
      </c>
      <c r="M16" s="5" t="s">
        <v>7</v>
      </c>
    </row>
    <row r="17" spans="1:13" x14ac:dyDescent="0.25">
      <c r="A17" s="5">
        <v>1</v>
      </c>
      <c r="D17" t="s">
        <v>60</v>
      </c>
      <c r="E17" t="s">
        <v>61</v>
      </c>
    </row>
    <row r="18" spans="1:13" x14ac:dyDescent="0.25">
      <c r="A18" s="5">
        <f>A17+1</f>
        <v>2</v>
      </c>
      <c r="B18" s="5"/>
      <c r="C18" t="s">
        <v>62</v>
      </c>
      <c r="E18" s="17"/>
      <c r="F18" t="str">
        <f>+'Page 1'!C19</f>
        <v>Narragansett Electric Company</v>
      </c>
      <c r="G18" t="s">
        <v>63</v>
      </c>
      <c r="I18" s="2">
        <f>K18+M18</f>
        <v>-172313.63656744998</v>
      </c>
      <c r="K18" s="2">
        <v>-172313.63656744998</v>
      </c>
      <c r="M18" s="2">
        <v>0</v>
      </c>
    </row>
    <row r="19" spans="1:13" x14ac:dyDescent="0.25">
      <c r="A19" s="5">
        <f t="shared" ref="A19:A61" si="0">A18+1</f>
        <v>3</v>
      </c>
      <c r="B19" s="5"/>
      <c r="C19" t="s">
        <v>62</v>
      </c>
      <c r="E19" s="17"/>
      <c r="F19" t="str">
        <f>+'Page 1'!C20</f>
        <v>PPL Services Corporation</v>
      </c>
      <c r="G19" t="s">
        <v>64</v>
      </c>
      <c r="I19" s="2">
        <f t="shared" ref="I19:I20" si="1">K19+M19</f>
        <v>-490.57180078804214</v>
      </c>
      <c r="K19" s="2">
        <v>-490.57180078804214</v>
      </c>
      <c r="M19" s="2">
        <v>0</v>
      </c>
    </row>
    <row r="20" spans="1:13" x14ac:dyDescent="0.25">
      <c r="A20" s="5">
        <f t="shared" si="0"/>
        <v>4</v>
      </c>
      <c r="B20" s="5"/>
      <c r="C20" t="s">
        <v>62</v>
      </c>
      <c r="E20" s="17"/>
      <c r="F20" t="str">
        <f>+'Page 1'!C21</f>
        <v>All Other Companies</v>
      </c>
      <c r="G20" t="s">
        <v>65</v>
      </c>
      <c r="I20" s="2">
        <f t="shared" si="1"/>
        <v>-242.58</v>
      </c>
      <c r="K20" s="2">
        <v>-242.58</v>
      </c>
      <c r="M20" s="2">
        <v>0</v>
      </c>
    </row>
    <row r="21" spans="1:13" x14ac:dyDescent="0.25">
      <c r="A21" s="5">
        <f t="shared" si="0"/>
        <v>5</v>
      </c>
      <c r="I21" s="2">
        <f t="shared" ref="I21:I28" si="2">K21+M21</f>
        <v>0</v>
      </c>
      <c r="K21" s="2">
        <v>0</v>
      </c>
      <c r="M21" s="2">
        <v>0</v>
      </c>
    </row>
    <row r="22" spans="1:13" x14ac:dyDescent="0.25">
      <c r="A22" s="5">
        <f t="shared" si="0"/>
        <v>6</v>
      </c>
      <c r="C22" t="s">
        <v>66</v>
      </c>
      <c r="F22" t="str">
        <f>'Page 1'!C19</f>
        <v>Narragansett Electric Company</v>
      </c>
      <c r="G22" t="s">
        <v>67</v>
      </c>
      <c r="I22" s="2">
        <f t="shared" si="2"/>
        <v>-18022</v>
      </c>
      <c r="K22" s="2">
        <v>-18022</v>
      </c>
      <c r="M22" s="2">
        <v>0</v>
      </c>
    </row>
    <row r="23" spans="1:13" x14ac:dyDescent="0.25">
      <c r="A23" s="5">
        <f t="shared" si="0"/>
        <v>7</v>
      </c>
      <c r="C23" t="s">
        <v>68</v>
      </c>
      <c r="F23" t="s">
        <v>69</v>
      </c>
      <c r="G23" t="s">
        <v>70</v>
      </c>
      <c r="I23" s="2">
        <f t="shared" si="2"/>
        <v>-27534.499999999975</v>
      </c>
      <c r="K23" s="22">
        <v>-27534.499999999975</v>
      </c>
      <c r="M23" s="2">
        <v>0</v>
      </c>
    </row>
    <row r="24" spans="1:13" x14ac:dyDescent="0.25">
      <c r="A24" s="5">
        <f t="shared" si="0"/>
        <v>8</v>
      </c>
      <c r="C24" t="s">
        <v>71</v>
      </c>
      <c r="F24" t="s">
        <v>69</v>
      </c>
      <c r="G24" t="s">
        <v>72</v>
      </c>
      <c r="I24" s="2">
        <f t="shared" ref="I24" si="3">K24+M24</f>
        <v>-60642.85</v>
      </c>
      <c r="K24" s="22">
        <v>-60642.85</v>
      </c>
      <c r="M24" s="2">
        <v>0</v>
      </c>
    </row>
    <row r="25" spans="1:13" x14ac:dyDescent="0.25">
      <c r="A25" s="5">
        <f t="shared" si="0"/>
        <v>9</v>
      </c>
      <c r="I25" s="2">
        <f t="shared" si="2"/>
        <v>0</v>
      </c>
      <c r="K25" s="2">
        <v>0</v>
      </c>
      <c r="M25" s="2">
        <v>0</v>
      </c>
    </row>
    <row r="26" spans="1:13" x14ac:dyDescent="0.25">
      <c r="A26" s="5">
        <f t="shared" si="0"/>
        <v>10</v>
      </c>
      <c r="I26" s="2"/>
      <c r="K26" s="2"/>
      <c r="M26" s="2"/>
    </row>
    <row r="27" spans="1:13" x14ac:dyDescent="0.25">
      <c r="A27" s="5">
        <f t="shared" si="0"/>
        <v>11</v>
      </c>
      <c r="I27" s="2"/>
      <c r="K27" s="2"/>
      <c r="M27" s="2"/>
    </row>
    <row r="28" spans="1:13" x14ac:dyDescent="0.25">
      <c r="A28" s="5">
        <f t="shared" si="0"/>
        <v>12</v>
      </c>
      <c r="C28" t="s">
        <v>73</v>
      </c>
      <c r="F28" t="s">
        <v>69</v>
      </c>
      <c r="G28" t="s">
        <v>72</v>
      </c>
      <c r="I28" s="2">
        <f t="shared" si="2"/>
        <v>-73932</v>
      </c>
      <c r="K28" s="2">
        <v>0</v>
      </c>
      <c r="M28" s="2">
        <v>-73932</v>
      </c>
    </row>
    <row r="29" spans="1:13" x14ac:dyDescent="0.25">
      <c r="A29" s="5">
        <f t="shared" si="0"/>
        <v>13</v>
      </c>
      <c r="I29" s="2"/>
      <c r="K29" s="2"/>
      <c r="M29" s="2"/>
    </row>
    <row r="30" spans="1:13" x14ac:dyDescent="0.25">
      <c r="A30" s="5">
        <f t="shared" si="0"/>
        <v>14</v>
      </c>
      <c r="I30" s="2"/>
      <c r="K30" s="2"/>
      <c r="M30" s="2"/>
    </row>
    <row r="31" spans="1:13" x14ac:dyDescent="0.25">
      <c r="A31" s="5">
        <f t="shared" si="0"/>
        <v>15</v>
      </c>
      <c r="I31" s="2"/>
      <c r="K31" s="2"/>
      <c r="M31" s="2"/>
    </row>
    <row r="32" spans="1:13" x14ac:dyDescent="0.25">
      <c r="A32" s="5">
        <f t="shared" si="0"/>
        <v>16</v>
      </c>
      <c r="I32" s="2"/>
      <c r="K32" s="2"/>
      <c r="M32" s="2"/>
    </row>
    <row r="33" spans="1:13" x14ac:dyDescent="0.25">
      <c r="A33" s="5">
        <f t="shared" si="0"/>
        <v>17</v>
      </c>
      <c r="I33" s="2"/>
      <c r="K33" s="2"/>
      <c r="M33" s="2"/>
    </row>
    <row r="34" spans="1:13" ht="15.75" thickBot="1" x14ac:dyDescent="0.3">
      <c r="A34" s="5">
        <f t="shared" si="0"/>
        <v>18</v>
      </c>
      <c r="E34" t="s">
        <v>30</v>
      </c>
      <c r="I34" s="7">
        <f>SUM(I18:I33)</f>
        <v>-353178.138368238</v>
      </c>
      <c r="K34" s="7">
        <f>SUM(K18:K33)</f>
        <v>-279246.138368238</v>
      </c>
      <c r="M34" s="7">
        <f>SUM(M18:M33)</f>
        <v>-73932</v>
      </c>
    </row>
    <row r="35" spans="1:13" ht="15.75" thickTop="1" x14ac:dyDescent="0.25">
      <c r="A35" s="5">
        <f t="shared" si="0"/>
        <v>19</v>
      </c>
    </row>
    <row r="36" spans="1:13" x14ac:dyDescent="0.25">
      <c r="A36" s="5">
        <f t="shared" si="0"/>
        <v>20</v>
      </c>
    </row>
    <row r="37" spans="1:13" x14ac:dyDescent="0.25">
      <c r="A37" s="5">
        <f t="shared" si="0"/>
        <v>21</v>
      </c>
      <c r="E37" s="15"/>
      <c r="I37" s="2"/>
      <c r="K37" s="2"/>
      <c r="M37" s="2"/>
    </row>
    <row r="38" spans="1:13" x14ac:dyDescent="0.25">
      <c r="A38" s="5">
        <f t="shared" si="0"/>
        <v>22</v>
      </c>
      <c r="E38" t="s">
        <v>74</v>
      </c>
      <c r="I38" s="2"/>
      <c r="K38" s="2"/>
      <c r="M38" s="2"/>
    </row>
    <row r="39" spans="1:13" x14ac:dyDescent="0.25">
      <c r="A39" s="5">
        <f t="shared" si="0"/>
        <v>23</v>
      </c>
    </row>
    <row r="40" spans="1:13" x14ac:dyDescent="0.25">
      <c r="A40" s="5">
        <f t="shared" si="0"/>
        <v>24</v>
      </c>
      <c r="E40" t="s">
        <v>75</v>
      </c>
      <c r="F40" t="str">
        <f>+F18</f>
        <v>Narragansett Electric Company</v>
      </c>
      <c r="I40" s="2">
        <f t="shared" ref="I40:I42" si="4">K40+M40</f>
        <v>491669.85860565526</v>
      </c>
      <c r="K40" s="2">
        <f>+'Page 2'!J19*'Page 5'!$E$41</f>
        <v>270782.00471371354</v>
      </c>
      <c r="L40" s="2"/>
      <c r="M40" s="2">
        <f>+'Page 2'!L19*'Page 5'!$E$41</f>
        <v>220887.85389194169</v>
      </c>
    </row>
    <row r="41" spans="1:13" x14ac:dyDescent="0.25">
      <c r="A41" s="5">
        <f t="shared" si="0"/>
        <v>25</v>
      </c>
      <c r="C41" t="s">
        <v>76</v>
      </c>
      <c r="E41" s="16">
        <v>5.2655677655677705E-2</v>
      </c>
      <c r="F41" t="str">
        <f t="shared" ref="F41:F42" si="5">+F19</f>
        <v>PPL Services Corporation</v>
      </c>
      <c r="I41" s="2">
        <f t="shared" si="4"/>
        <v>-1175.4001406092602</v>
      </c>
      <c r="K41" s="2">
        <f>+'Page 2'!J20*'Page 5'!$E$41</f>
        <v>-1275.9122759785437</v>
      </c>
      <c r="L41" s="2"/>
      <c r="M41" s="2">
        <f>+'Page 2'!L20*'Page 5'!$E$41</f>
        <v>100.51213536928343</v>
      </c>
    </row>
    <row r="42" spans="1:13" x14ac:dyDescent="0.25">
      <c r="A42" s="5">
        <f t="shared" si="0"/>
        <v>26</v>
      </c>
      <c r="F42" t="str">
        <f t="shared" si="5"/>
        <v>All Other Companies</v>
      </c>
      <c r="I42" s="2">
        <f t="shared" si="4"/>
        <v>-3167.6786858974388</v>
      </c>
      <c r="K42" s="2">
        <f>+'Page 2'!J21*'Page 5'!$E$41</f>
        <v>-3167.9961996337024</v>
      </c>
      <c r="L42" s="2"/>
      <c r="M42" s="2">
        <f>+'Page 2'!L21*'Page 5'!$E$41</f>
        <v>0.31751373626373658</v>
      </c>
    </row>
    <row r="43" spans="1:13" x14ac:dyDescent="0.25">
      <c r="A43" s="5">
        <f t="shared" si="0"/>
        <v>27</v>
      </c>
      <c r="I43" s="2"/>
      <c r="K43" s="2"/>
      <c r="L43" s="2"/>
      <c r="M43" s="2"/>
    </row>
    <row r="44" spans="1:13" ht="15.75" thickBot="1" x14ac:dyDescent="0.3">
      <c r="A44" s="5">
        <f t="shared" si="0"/>
        <v>28</v>
      </c>
      <c r="E44" t="s">
        <v>30</v>
      </c>
      <c r="I44" s="7">
        <f>SUM(I40:I42)</f>
        <v>487326.77977914858</v>
      </c>
      <c r="K44" s="7">
        <f>SUM(K40:K42)</f>
        <v>266338.09623810131</v>
      </c>
      <c r="M44" s="7">
        <f>SUM(M40:M42)</f>
        <v>220988.68354104724</v>
      </c>
    </row>
    <row r="45" spans="1:13" ht="15.75" thickTop="1" x14ac:dyDescent="0.25">
      <c r="A45" s="5">
        <f t="shared" si="0"/>
        <v>29</v>
      </c>
      <c r="B45" t="s">
        <v>77</v>
      </c>
      <c r="E45" t="s">
        <v>78</v>
      </c>
    </row>
    <row r="46" spans="1:13" x14ac:dyDescent="0.25">
      <c r="A46" s="5">
        <f t="shared" si="0"/>
        <v>30</v>
      </c>
    </row>
    <row r="47" spans="1:13" x14ac:dyDescent="0.25">
      <c r="A47" s="5">
        <f t="shared" si="0"/>
        <v>31</v>
      </c>
      <c r="E47" t="s">
        <v>75</v>
      </c>
    </row>
    <row r="48" spans="1:13" x14ac:dyDescent="0.25">
      <c r="A48" s="5">
        <f t="shared" si="0"/>
        <v>32</v>
      </c>
      <c r="C48" t="s">
        <v>76</v>
      </c>
      <c r="E48" s="19">
        <v>2.2401043932144437E-2</v>
      </c>
      <c r="F48" t="str">
        <f>+'Page 1'!C19</f>
        <v>Narragansett Electric Company</v>
      </c>
      <c r="I48" s="2">
        <f>SUM(K48:M48)</f>
        <v>220182.58874824486</v>
      </c>
      <c r="K48" s="2">
        <f>$E$48*'Page 3'!H19</f>
        <v>121263.24548359269</v>
      </c>
      <c r="M48" s="2">
        <f>$E$48*'Page 4'!H19</f>
        <v>98919.343264652183</v>
      </c>
    </row>
    <row r="49" spans="1:13" x14ac:dyDescent="0.25">
      <c r="A49" s="5">
        <f t="shared" si="0"/>
        <v>33</v>
      </c>
      <c r="E49" s="15"/>
      <c r="F49" t="str">
        <f>+'Page 1'!C20</f>
        <v>PPL Services Corporation</v>
      </c>
      <c r="I49" s="2">
        <f>SUM(K49:M49)</f>
        <v>-526.37479459289534</v>
      </c>
      <c r="K49" s="2">
        <f>$E$48*'Page 3'!H20</f>
        <v>-571.38675086696571</v>
      </c>
      <c r="M49" s="2">
        <f>$E$48*'Page 4'!H20</f>
        <v>45.011956274070421</v>
      </c>
    </row>
    <row r="50" spans="1:13" x14ac:dyDescent="0.25">
      <c r="A50" s="5">
        <f t="shared" si="0"/>
        <v>34</v>
      </c>
      <c r="F50" t="str">
        <f>+'Page 1'!C21</f>
        <v>All Other Companies</v>
      </c>
      <c r="I50" s="2">
        <f>SUM(K50:M50)</f>
        <v>-1418.5692357731998</v>
      </c>
      <c r="K50" s="2">
        <f>$E$48*'Page 3'!H21</f>
        <v>-1418.7114267072657</v>
      </c>
      <c r="M50" s="2">
        <f>$E$48*'Page 4'!H21</f>
        <v>0.14219093406593425</v>
      </c>
    </row>
    <row r="51" spans="1:13" x14ac:dyDescent="0.25">
      <c r="A51" s="5">
        <f t="shared" si="0"/>
        <v>35</v>
      </c>
      <c r="I51" s="2"/>
      <c r="K51" s="2"/>
      <c r="M51" s="2"/>
    </row>
    <row r="52" spans="1:13" ht="15.75" thickBot="1" x14ac:dyDescent="0.3">
      <c r="A52" s="5">
        <f t="shared" si="0"/>
        <v>36</v>
      </c>
      <c r="E52" t="s">
        <v>30</v>
      </c>
      <c r="I52" s="7">
        <f>SUM(I48:I51)</f>
        <v>218237.64471787875</v>
      </c>
      <c r="K52" s="7">
        <f>SUM(K48:K51)</f>
        <v>119273.14730601847</v>
      </c>
      <c r="M52" s="7">
        <f>SUM(M48:M51)</f>
        <v>98964.497411860328</v>
      </c>
    </row>
    <row r="53" spans="1:13" ht="15.75" thickTop="1" x14ac:dyDescent="0.25">
      <c r="A53" s="5">
        <f t="shared" si="0"/>
        <v>37</v>
      </c>
    </row>
    <row r="54" spans="1:13" x14ac:dyDescent="0.25">
      <c r="A54" s="5">
        <f t="shared" si="0"/>
        <v>38</v>
      </c>
      <c r="B54" t="s">
        <v>79</v>
      </c>
      <c r="E54" t="s">
        <v>80</v>
      </c>
    </row>
    <row r="55" spans="1:13" x14ac:dyDescent="0.25">
      <c r="A55" s="5">
        <f t="shared" si="0"/>
        <v>39</v>
      </c>
    </row>
    <row r="56" spans="1:13" x14ac:dyDescent="0.25">
      <c r="A56" s="5">
        <f t="shared" si="0"/>
        <v>40</v>
      </c>
      <c r="E56" t="s">
        <v>75</v>
      </c>
    </row>
    <row r="57" spans="1:13" x14ac:dyDescent="0.25">
      <c r="A57" s="5">
        <f t="shared" si="0"/>
        <v>41</v>
      </c>
      <c r="C57" t="s">
        <v>76</v>
      </c>
      <c r="E57" s="19">
        <v>2.1981138764801775E-2</v>
      </c>
      <c r="F57" t="str">
        <f>+'Page 1'!C19</f>
        <v>Narragansett Electric Company</v>
      </c>
      <c r="I57" s="2">
        <f>SUM(K57:M57)</f>
        <v>220895.15376037447</v>
      </c>
      <c r="K57" s="2">
        <f>$E$57*'Page 3'!L19</f>
        <v>121655.6831712415</v>
      </c>
      <c r="M57" s="2">
        <f>$E$57*'Page 4'!L19</f>
        <v>99239.470589132965</v>
      </c>
    </row>
    <row r="58" spans="1:13" x14ac:dyDescent="0.25">
      <c r="A58" s="5">
        <f t="shared" si="0"/>
        <v>42</v>
      </c>
      <c r="E58" s="15"/>
      <c r="F58" t="str">
        <f>+'Page 1'!C20</f>
        <v>PPL Services Corporation</v>
      </c>
      <c r="I58" s="2">
        <f>SUM(K58:M58)</f>
        <v>-528.07827289254703</v>
      </c>
      <c r="K58" s="2">
        <f>$E$57*'Page 3'!L20</f>
        <v>-573.23589892802204</v>
      </c>
      <c r="M58" s="2">
        <f>$E$57*'Page 4'!L20</f>
        <v>45.157626035475047</v>
      </c>
    </row>
    <row r="59" spans="1:13" x14ac:dyDescent="0.25">
      <c r="A59" s="5">
        <f t="shared" si="0"/>
        <v>43</v>
      </c>
      <c r="F59" t="str">
        <f>+'Page 1'!C21</f>
        <v>All Other Companies</v>
      </c>
      <c r="I59" s="2">
        <f>SUM(K59:M59)</f>
        <v>-1423.1600747239179</v>
      </c>
      <c r="K59" s="2">
        <f>$E$57*'Page 3'!L21</f>
        <v>-1423.302725822819</v>
      </c>
      <c r="M59" s="2">
        <f>$E$57*'Page 4'!L21</f>
        <v>0.14265109890109867</v>
      </c>
    </row>
    <row r="60" spans="1:13" x14ac:dyDescent="0.25">
      <c r="A60" s="5">
        <f t="shared" si="0"/>
        <v>44</v>
      </c>
      <c r="I60" s="2"/>
      <c r="K60" s="2"/>
      <c r="M60" s="2"/>
    </row>
    <row r="61" spans="1:13" ht="15.75" thickBot="1" x14ac:dyDescent="0.3">
      <c r="A61" s="5">
        <f t="shared" si="0"/>
        <v>45</v>
      </c>
      <c r="E61" t="s">
        <v>30</v>
      </c>
      <c r="I61" s="7">
        <f>SUM(I57:I60)</f>
        <v>218943.91541275801</v>
      </c>
      <c r="K61" s="7">
        <f>SUM(K57:K60)</f>
        <v>119659.14454649066</v>
      </c>
      <c r="M61" s="7">
        <f>SUM(M57:M60)</f>
        <v>99284.770866267339</v>
      </c>
    </row>
    <row r="62" spans="1:13" ht="15.75" thickTop="1" x14ac:dyDescent="0.25"/>
    <row r="63" spans="1:13" ht="18.75" hidden="1" customHeight="1" x14ac:dyDescent="0.25">
      <c r="A63" s="21"/>
    </row>
    <row r="64" spans="1:13" hidden="1" x14ac:dyDescent="0.25"/>
    <row r="65" hidden="1" x14ac:dyDescent="0.25"/>
    <row r="66" hidden="1" x14ac:dyDescent="0.25"/>
    <row r="67" hidden="1" x14ac:dyDescent="0.25"/>
    <row r="68" hidden="1" x14ac:dyDescent="0.25"/>
  </sheetData>
  <printOptions horizontalCentered="1"/>
  <pageMargins left="1" right="1" top="1" bottom="1" header="0.5" footer="0.5"/>
  <pageSetup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a704af-1093-41df-910a-e362277c20fd" xsi:nil="true"/>
    <Searchable xmlns="06a704af-1093-41df-910a-e362277c20fd">false</Searchable>
    <_ip_UnifiedCompliancePolicyUIAction xmlns="http://schemas.microsoft.com/sharepoint/v3" xsi:nil="true"/>
    <_ip_UnifiedCompliancePolicyProperties xmlns="http://schemas.microsoft.com/sharepoint/v3" xsi:nil="true"/>
    <e81e820a66454e4dae05b8cd72e410dc xmlns="06a704af-1093-41df-910a-e362277c20fd">
      <Terms xmlns="http://schemas.microsoft.com/office/infopath/2007/PartnerControls"/>
    </e81e820a66454e4dae05b8cd72e410dc>
    <lcf76f155ced4ddcb4097134ff3c332f xmlns="12207773-f8de-4d1c-9b23-15a1acc5427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6D7463B7963A458DEBC890CC57F453" ma:contentTypeVersion="15" ma:contentTypeDescription="Create a new document." ma:contentTypeScope="" ma:versionID="18475ce4ff24437ab50aa5a3255664c3">
  <xsd:schema xmlns:xsd="http://www.w3.org/2001/XMLSchema" xmlns:xs="http://www.w3.org/2001/XMLSchema" xmlns:p="http://schemas.microsoft.com/office/2006/metadata/properties" xmlns:ns1="http://schemas.microsoft.com/sharepoint/v3" xmlns:ns2="06a704af-1093-41df-910a-e362277c20fd" xmlns:ns3="12207773-f8de-4d1c-9b23-15a1acc5427a" targetNamespace="http://schemas.microsoft.com/office/2006/metadata/properties" ma:root="true" ma:fieldsID="64c896677f50ae8a8cba4b9486aa64ab" ns1:_="" ns2:_="" ns3:_="">
    <xsd:import namespace="http://schemas.microsoft.com/sharepoint/v3"/>
    <xsd:import namespace="06a704af-1093-41df-910a-e362277c20fd"/>
    <xsd:import namespace="12207773-f8de-4d1c-9b23-15a1acc5427a"/>
    <xsd:element name="properties">
      <xsd:complexType>
        <xsd:sequence>
          <xsd:element name="documentManagement">
            <xsd:complexType>
              <xsd:all>
                <xsd:element ref="ns2:Searchable" minOccurs="0"/>
                <xsd:element ref="ns2:e81e820a66454e4dae05b8cd72e410d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704af-1093-41df-910a-e362277c20fd" elementFormDefault="qualified">
    <xsd:import namespace="http://schemas.microsoft.com/office/2006/documentManagement/types"/>
    <xsd:import namespace="http://schemas.microsoft.com/office/infopath/2007/PartnerControls"/>
    <xsd:element name="Searchable" ma:index="8" nillable="true" ma:displayName="Searchable" ma:default="0" ma:internalName="Searchable">
      <xsd:simpleType>
        <xsd:restriction base="dms:Boolean"/>
      </xsd:simpleType>
    </xsd:element>
    <xsd:element name="e81e820a66454e4dae05b8cd72e410dc" ma:index="9" nillable="true" ma:taxonomy="true" ma:internalName="e81e820a66454e4dae05b8cd72e410dc" ma:taxonomyFieldName="SearchContentClass" ma:displayName="SearchContentClass" ma:default="" ma:fieldId="{e81e820a-6645-4e4d-ae05-b8cd72e410dc}" ma:sspId="5fb71415-aff0-46ac-ad8a-1a0b343c080f" ma:termSetId="d06009ad-cab7-4623-a608-cc47ab75a0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98c6b672-c429-4d84-96a3-c505823677f8}" ma:internalName="TaxCatchAll" ma:showField="CatchAllData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98c6b672-c429-4d84-96a3-c505823677f8}" ma:internalName="TaxCatchAllLabel" ma:readOnly="true" ma:showField="CatchAllDataLabel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07773-f8de-4d1c-9b23-15a1acc54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fb71415-aff0-46ac-ad8a-1a0b343c08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5fb71415-aff0-46ac-ad8a-1a0b343c080f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913405-0697-49E4-81AC-79D4A9A747A9}">
  <ds:schemaRefs>
    <ds:schemaRef ds:uri="http://schemas.microsoft.com/office/2006/metadata/properties"/>
    <ds:schemaRef ds:uri="http://schemas.microsoft.com/office/infopath/2007/PartnerControls"/>
    <ds:schemaRef ds:uri="ce726fb3-e133-4ef6-8771-0a37d7804ccc"/>
    <ds:schemaRef ds:uri="06a704af-1093-41df-910a-e362277c20f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C512CE5-0BB0-49EB-8083-0005C08B5DD0}"/>
</file>

<file path=customXml/itemProps3.xml><?xml version="1.0" encoding="utf-8"?>
<ds:datastoreItem xmlns:ds="http://schemas.openxmlformats.org/officeDocument/2006/customXml" ds:itemID="{812F266E-DE14-4E1E-8F36-F10B7CA9938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E5007EA9-46B0-42B3-B381-AD9F8D02A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Page 1</vt:lpstr>
      <vt:lpstr>Page 2</vt:lpstr>
      <vt:lpstr>Page 3</vt:lpstr>
      <vt:lpstr>Page 4</vt:lpstr>
      <vt:lpstr>Page 5</vt:lpstr>
      <vt:lpstr>'Page 1'!Print_Area</vt:lpstr>
      <vt:lpstr>'Page 2'!Print_Area</vt:lpstr>
      <vt:lpstr>'Page 3'!Print_Area</vt:lpstr>
      <vt:lpstr>'Page 4'!Print_Area</vt:lpstr>
      <vt:lpstr>'Page 5'!Print_Area</vt:lpstr>
    </vt:vector>
  </TitlesOfParts>
  <Manager/>
  <Company>National Grid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Ronald LaRiviere</dc:creator>
  <cp:keywords/>
  <dc:description/>
  <cp:lastModifiedBy>Briggs, Stephanie</cp:lastModifiedBy>
  <cp:revision/>
  <dcterms:created xsi:type="dcterms:W3CDTF">2017-06-15T12:31:29Z</dcterms:created>
  <dcterms:modified xsi:type="dcterms:W3CDTF">2026-01-05T19:10:41Z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{2E919454-A71E-4625-B9FA-D4A11405F178}</vt:lpwstr>
  </property>
  <property fmtid="{D5CDD505-2E9C-101B-9397-08002B2CF9AE}" pid="3" name="ContentTypeId">
    <vt:lpwstr>0x010100506D7463B7963A458DEBC890CC57F453</vt:lpwstr>
  </property>
  <property fmtid="{D5CDD505-2E9C-101B-9397-08002B2CF9AE}" pid="4" name="MediaServiceImageTags">
    <vt:lpwstr/>
  </property>
  <property fmtid="{D5CDD505-2E9C-101B-9397-08002B2CF9AE}" pid="5" name="SearchContentClass">
    <vt:lpwstr/>
  </property>
  <property fmtid="{D5CDD505-2E9C-101B-9397-08002B2CF9AE}" pid="6" name="_ExtendedDescription">
    <vt:lpwstr/>
  </property>
  <property fmtid="{D5CDD505-2E9C-101B-9397-08002B2CF9AE}" pid="7" name="MSIP_Label_e0c8e74a-db15-49f1-980d-3d74f2e3ff07_Enabled">
    <vt:lpwstr>true</vt:lpwstr>
  </property>
  <property fmtid="{D5CDD505-2E9C-101B-9397-08002B2CF9AE}" pid="8" name="MSIP_Label_e0c8e74a-db15-49f1-980d-3d74f2e3ff07_SetDate">
    <vt:lpwstr>2025-09-19T12:58:03Z</vt:lpwstr>
  </property>
  <property fmtid="{D5CDD505-2E9C-101B-9397-08002B2CF9AE}" pid="9" name="MSIP_Label_e0c8e74a-db15-49f1-980d-3d74f2e3ff07_Method">
    <vt:lpwstr>Privileged</vt:lpwstr>
  </property>
  <property fmtid="{D5CDD505-2E9C-101B-9397-08002B2CF9AE}" pid="10" name="MSIP_Label_e0c8e74a-db15-49f1-980d-3d74f2e3ff07_Name">
    <vt:lpwstr>376d9127-3fad-41bb7-827b-657efc89d923</vt:lpwstr>
  </property>
  <property fmtid="{D5CDD505-2E9C-101B-9397-08002B2CF9AE}" pid="11" name="MSIP_Label_e0c8e74a-db15-49f1-980d-3d74f2e3ff07_SiteId">
    <vt:lpwstr>25b79aa0-07c6-4d65-9c80-df92aacdc157</vt:lpwstr>
  </property>
  <property fmtid="{D5CDD505-2E9C-101B-9397-08002B2CF9AE}" pid="12" name="MSIP_Label_e0c8e74a-db15-49f1-980d-3d74f2e3ff07_ActionId">
    <vt:lpwstr>867090cb-b158-4f0d-85ae-4c5a546e8db3</vt:lpwstr>
  </property>
  <property fmtid="{D5CDD505-2E9C-101B-9397-08002B2CF9AE}" pid="13" name="MSIP_Label_e0c8e74a-db15-49f1-980d-3d74f2e3ff07_ContentBits">
    <vt:lpwstr>2</vt:lpwstr>
  </property>
  <property fmtid="{D5CDD505-2E9C-101B-9397-08002B2CF9AE}" pid="14" name="MSIP_Label_e0c8e74a-db15-49f1-980d-3d74f2e3ff07_Tag">
    <vt:lpwstr>10, 0, 1, 1</vt:lpwstr>
  </property>
</Properties>
</file>