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6 Active Case Load\0-281 RI PU&amp;C Rhode Island Energy BRC Electric &amp; Gas\006 Testimony\DPU&amp;C\Mugrace Revenue Requirements\Discovery on Direct Testimony\Van Reen adjustments\"/>
    </mc:Choice>
  </mc:AlternateContent>
  <xr:revisionPtr revIDLastSave="0" documentId="13_ncr:1_{49EE4382-B94C-4B7B-87C1-74B9A26B0C51}" xr6:coauthVersionLast="47" xr6:coauthVersionMax="47" xr10:uidLastSave="{00000000-0000-0000-0000-000000000000}"/>
  <bookViews>
    <workbookView xWindow="13890" yWindow="240" windowWidth="15135" windowHeight="15060" tabRatio="802" xr2:uid="{707B9720-E877-4A92-858C-260DD6F92B3A}"/>
  </bookViews>
  <sheets>
    <sheet name="RR Electric Summary RY1" sheetId="1" r:id="rId1"/>
    <sheet name="Rate of Return" sheetId="2" r:id="rId2"/>
    <sheet name="Rate Base Electric RY1" sheetId="3" r:id="rId3"/>
    <sheet name="Electric Oper Inc Statement " sheetId="4" r:id="rId4"/>
    <sheet name="Electric Utility Plant in Serv " sheetId="5" r:id="rId5"/>
    <sheet name="Electric AD" sheetId="6" r:id="rId6"/>
    <sheet name="Electric ADIT" sheetId="7" r:id="rId7"/>
    <sheet name="Electric CWC" sheetId="8" r:id="rId8"/>
    <sheet name="Electric Revenues" sheetId="9" r:id="rId9"/>
    <sheet name="O&amp;M Expenses RY 1" sheetId="10" r:id="rId10"/>
    <sheet name="Labor RY 1" sheetId="11" r:id="rId11"/>
    <sheet name="Health Other Benefits" sheetId="12" r:id="rId12"/>
    <sheet name="Consultants" sheetId="13" r:id="rId13"/>
    <sheet name="Contractors" sheetId="14" r:id="rId14"/>
    <sheet name="Employee Expenses " sheetId="15" r:id="rId15"/>
    <sheet name="Allocated Deprec" sheetId="16" r:id="rId16"/>
    <sheet name="Rents" sheetId="17" r:id="rId17"/>
    <sheet name="Uninsured Claims" sheetId="18" r:id="rId18"/>
    <sheet name="Insurance Premiums" sheetId="19" r:id="rId19"/>
    <sheet name="Reg. Assess Fees" sheetId="20" r:id="rId20"/>
    <sheet name="Uncollectible" sheetId="21" r:id="rId21"/>
    <sheet name="Postage" sheetId="22" r:id="rId22"/>
    <sheet name="Software Maint." sheetId="23" r:id="rId23"/>
    <sheet name="Environ Resp Fund" sheetId="24" r:id="rId24"/>
    <sheet name="Paperless Bill Cr." sheetId="25" r:id="rId25"/>
    <sheet name="PBOP" sheetId="26" r:id="rId26"/>
    <sheet name="Pension" sheetId="27" r:id="rId27"/>
    <sheet name="Other O&amp;M" sheetId="28" r:id="rId28"/>
    <sheet name="Storm Cost Recovery" sheetId="29" r:id="rId29"/>
    <sheet name="Materials" sheetId="30" r:id="rId30"/>
    <sheet name="Materials Stores Handl." sheetId="31" r:id="rId31"/>
    <sheet name="Transportation" sheetId="32" r:id="rId32"/>
    <sheet name="Info. Tech." sheetId="33" r:id="rId33"/>
    <sheet name="Pavings" sheetId="34" r:id="rId34"/>
    <sheet name="Other Benefits" sheetId="35" r:id="rId35"/>
    <sheet name="Construct Reimburse." sheetId="36" r:id="rId36"/>
    <sheet name="Amort. of Reg Deferrals" sheetId="37" r:id="rId37"/>
    <sheet name="Depreciation " sheetId="38" r:id="rId38"/>
    <sheet name="Muni Taxes" sheetId="39" r:id="rId39"/>
    <sheet name="Payroll Taxes" sheetId="40" r:id="rId40"/>
    <sheet name="Income Taxes" sheetId="42" r:id="rId4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22" l="1"/>
  <c r="F11" i="22"/>
  <c r="G11" i="22"/>
  <c r="G25" i="22"/>
  <c r="F25" i="17"/>
  <c r="F11" i="17"/>
  <c r="G11" i="17"/>
  <c r="G25" i="17"/>
  <c r="F11" i="15"/>
  <c r="G11" i="15"/>
  <c r="F25" i="15"/>
  <c r="G25" i="15"/>
  <c r="F23" i="13"/>
  <c r="F11" i="13"/>
  <c r="G11" i="13"/>
  <c r="G23" i="13"/>
  <c r="E46" i="11"/>
  <c r="F29" i="15"/>
  <c r="D59" i="11"/>
  <c r="F30" i="13"/>
  <c r="F9" i="23"/>
  <c r="E15" i="1"/>
  <c r="E35" i="1"/>
  <c r="E34" i="1"/>
  <c r="E33" i="1"/>
  <c r="E32" i="1"/>
  <c r="E30" i="1"/>
  <c r="D23" i="2"/>
  <c r="I26" i="10" l="1"/>
  <c r="I21" i="10"/>
  <c r="I17" i="10"/>
  <c r="I15" i="10"/>
  <c r="I8" i="10"/>
  <c r="H33" i="10" l="1"/>
  <c r="H34" i="10"/>
  <c r="H32" i="10"/>
  <c r="H30" i="10"/>
  <c r="H29" i="10"/>
  <c r="H28" i="10"/>
  <c r="H25" i="10"/>
  <c r="H10" i="10"/>
  <c r="D27" i="38"/>
  <c r="E27" i="38"/>
  <c r="E11" i="38" l="1"/>
  <c r="D11" i="38"/>
  <c r="E18" i="5"/>
  <c r="E16" i="5"/>
  <c r="E15" i="5"/>
  <c r="E29" i="21"/>
  <c r="D29" i="21" l="1"/>
  <c r="D25" i="21"/>
  <c r="E25" i="21"/>
  <c r="E24" i="21"/>
  <c r="D23" i="21"/>
  <c r="E23" i="21"/>
  <c r="J15" i="4"/>
  <c r="I15" i="4" s="1"/>
  <c r="E21" i="38"/>
  <c r="G17" i="10"/>
  <c r="F17" i="10" s="1"/>
  <c r="D18" i="7"/>
  <c r="E15" i="7"/>
  <c r="D13" i="7"/>
  <c r="D21" i="38" l="1"/>
  <c r="E16" i="6" l="1"/>
  <c r="C29" i="38" l="1"/>
  <c r="G30" i="8"/>
  <c r="G29" i="8"/>
  <c r="D14" i="5" l="1"/>
  <c r="H29" i="3"/>
  <c r="H28" i="3"/>
  <c r="D15" i="7"/>
  <c r="E14" i="7"/>
  <c r="E11" i="6"/>
  <c r="E10" i="6"/>
  <c r="E7" i="6"/>
  <c r="H9" i="3"/>
  <c r="E11" i="5"/>
  <c r="E12" i="5" s="1"/>
  <c r="E10" i="5"/>
  <c r="E8" i="5"/>
  <c r="E17" i="5"/>
  <c r="E14" i="5"/>
  <c r="E20" i="5" l="1"/>
  <c r="E24" i="5" s="1"/>
  <c r="G15" i="8"/>
  <c r="G14" i="8"/>
  <c r="G13" i="8"/>
  <c r="H7" i="3" l="1"/>
  <c r="G7" i="3" s="1"/>
  <c r="D15" i="38"/>
  <c r="E15" i="38" s="1"/>
  <c r="E16" i="38" s="1"/>
  <c r="D16" i="38" s="1"/>
  <c r="F25" i="33"/>
  <c r="F8" i="33"/>
  <c r="E18" i="1"/>
  <c r="J10" i="4"/>
  <c r="G27" i="42"/>
  <c r="G25" i="42"/>
  <c r="G8" i="42"/>
  <c r="J16" i="4"/>
  <c r="E14" i="39"/>
  <c r="E12" i="39"/>
  <c r="E11" i="39"/>
  <c r="E10" i="39"/>
  <c r="E7" i="39"/>
  <c r="H12" i="37"/>
  <c r="G12" i="37" s="1"/>
  <c r="H9" i="37"/>
  <c r="E22" i="1"/>
  <c r="H23" i="3"/>
  <c r="H22" i="3"/>
  <c r="H21" i="3"/>
  <c r="H20" i="3"/>
  <c r="H19" i="3"/>
  <c r="H18" i="3"/>
  <c r="G8" i="37"/>
  <c r="H8" i="37"/>
  <c r="F34" i="10"/>
  <c r="G34" i="10"/>
  <c r="G26" i="36"/>
  <c r="G24" i="36"/>
  <c r="G23" i="36"/>
  <c r="G21" i="36"/>
  <c r="G17" i="36"/>
  <c r="F26" i="36"/>
  <c r="F24" i="36"/>
  <c r="F23" i="36"/>
  <c r="F21" i="36"/>
  <c r="F17" i="36"/>
  <c r="G11" i="36"/>
  <c r="F11" i="36"/>
  <c r="G8" i="36"/>
  <c r="F8" i="36"/>
  <c r="F21" i="35"/>
  <c r="F10" i="35"/>
  <c r="G10" i="35" s="1"/>
  <c r="F9" i="35"/>
  <c r="F8" i="35"/>
  <c r="G21" i="35"/>
  <c r="G26" i="35" s="1"/>
  <c r="G33" i="10" s="1"/>
  <c r="F33" i="10" s="1"/>
  <c r="F26" i="35"/>
  <c r="G25" i="35"/>
  <c r="G24" i="35"/>
  <c r="G23" i="35"/>
  <c r="G19" i="35"/>
  <c r="G18" i="35"/>
  <c r="G17" i="35"/>
  <c r="G15" i="35"/>
  <c r="G9" i="35"/>
  <c r="G8" i="35"/>
  <c r="F32" i="10"/>
  <c r="G32" i="10"/>
  <c r="G26" i="34"/>
  <c r="F26" i="34"/>
  <c r="G24" i="34"/>
  <c r="F24" i="34"/>
  <c r="G17" i="34"/>
  <c r="F17" i="34"/>
  <c r="G11" i="34"/>
  <c r="F11" i="34"/>
  <c r="G8" i="34"/>
  <c r="F8" i="34"/>
  <c r="D37" i="33"/>
  <c r="D36" i="33"/>
  <c r="D35" i="33"/>
  <c r="C37" i="33"/>
  <c r="C38" i="33"/>
  <c r="C36" i="33"/>
  <c r="C35" i="33"/>
  <c r="F31" i="33"/>
  <c r="C31" i="33"/>
  <c r="F30" i="33"/>
  <c r="C30" i="33"/>
  <c r="G30" i="33" s="1"/>
  <c r="F29" i="33"/>
  <c r="C29" i="33"/>
  <c r="G29" i="33" s="1"/>
  <c r="J14" i="4" l="1"/>
  <c r="I14" i="4" s="1"/>
  <c r="E9" i="6"/>
  <c r="E12" i="6" s="1"/>
  <c r="D9" i="7"/>
  <c r="E9" i="7" s="1"/>
  <c r="E10" i="7" s="1"/>
  <c r="F11" i="35"/>
  <c r="G11" i="35"/>
  <c r="G31" i="33"/>
  <c r="G32" i="33" s="1"/>
  <c r="E17" i="7" l="1"/>
  <c r="D10" i="7"/>
  <c r="E14" i="6"/>
  <c r="D12" i="6"/>
  <c r="F30" i="10"/>
  <c r="G30" i="10"/>
  <c r="G26" i="32"/>
  <c r="G25" i="32"/>
  <c r="G24" i="32"/>
  <c r="G23" i="32"/>
  <c r="G21" i="32"/>
  <c r="G18" i="32"/>
  <c r="G17" i="32"/>
  <c r="G15" i="32"/>
  <c r="G14" i="32"/>
  <c r="F26" i="32"/>
  <c r="F25" i="32"/>
  <c r="F24" i="32"/>
  <c r="F23" i="32"/>
  <c r="F21" i="32"/>
  <c r="F18" i="32"/>
  <c r="F17" i="32"/>
  <c r="F15" i="32"/>
  <c r="F14" i="32"/>
  <c r="G11" i="32"/>
  <c r="G10" i="32"/>
  <c r="G9" i="32"/>
  <c r="G8" i="32"/>
  <c r="F11" i="32"/>
  <c r="F10" i="32"/>
  <c r="F9" i="32"/>
  <c r="F8" i="32"/>
  <c r="F29" i="10"/>
  <c r="G29" i="10"/>
  <c r="G26" i="31"/>
  <c r="G24" i="31"/>
  <c r="G23" i="31"/>
  <c r="G21" i="31"/>
  <c r="G17" i="31"/>
  <c r="G15" i="31"/>
  <c r="F26" i="31"/>
  <c r="F24" i="31"/>
  <c r="F23" i="31"/>
  <c r="F21" i="31"/>
  <c r="F17" i="31"/>
  <c r="F15" i="31"/>
  <c r="G11" i="31"/>
  <c r="G9" i="31"/>
  <c r="G8" i="31"/>
  <c r="F11" i="31"/>
  <c r="F9" i="31"/>
  <c r="F8" i="31"/>
  <c r="D14" i="6" l="1"/>
  <c r="E19" i="7"/>
  <c r="D17" i="7"/>
  <c r="F28" i="10"/>
  <c r="G28" i="10"/>
  <c r="G26" i="30"/>
  <c r="G25" i="30"/>
  <c r="G24" i="30"/>
  <c r="G23" i="30"/>
  <c r="G21" i="30"/>
  <c r="G19" i="30"/>
  <c r="G18" i="30"/>
  <c r="G17" i="30"/>
  <c r="G15" i="30"/>
  <c r="F26" i="30"/>
  <c r="F25" i="30"/>
  <c r="F24" i="30"/>
  <c r="F23" i="30"/>
  <c r="F21" i="30"/>
  <c r="F19" i="30"/>
  <c r="F18" i="30"/>
  <c r="F17" i="30"/>
  <c r="F15" i="30"/>
  <c r="G11" i="30"/>
  <c r="G10" i="30"/>
  <c r="G9" i="30"/>
  <c r="G8" i="30"/>
  <c r="F11" i="30"/>
  <c r="F10" i="30"/>
  <c r="F9" i="30"/>
  <c r="F8" i="30"/>
  <c r="F26" i="10"/>
  <c r="G26" i="10"/>
  <c r="G26" i="29"/>
  <c r="G24" i="29"/>
  <c r="F26" i="29"/>
  <c r="F24" i="29"/>
  <c r="F11" i="29"/>
  <c r="G11" i="29"/>
  <c r="G8" i="29"/>
  <c r="F25" i="10"/>
  <c r="G25" i="10"/>
  <c r="G26" i="28"/>
  <c r="G25" i="28"/>
  <c r="G24" i="28"/>
  <c r="G23" i="28"/>
  <c r="G21" i="28"/>
  <c r="G20" i="28"/>
  <c r="G19" i="28"/>
  <c r="G18" i="28"/>
  <c r="G17" i="28"/>
  <c r="G16" i="28"/>
  <c r="G15" i="28"/>
  <c r="G14" i="28"/>
  <c r="F26" i="28"/>
  <c r="F25" i="28"/>
  <c r="F24" i="28"/>
  <c r="F23" i="28"/>
  <c r="F21" i="28"/>
  <c r="F20" i="28"/>
  <c r="F19" i="28"/>
  <c r="F18" i="28"/>
  <c r="F17" i="28"/>
  <c r="F16" i="28"/>
  <c r="F15" i="28"/>
  <c r="F14" i="28"/>
  <c r="G11" i="28"/>
  <c r="G10" i="28"/>
  <c r="G9" i="28"/>
  <c r="G8" i="28"/>
  <c r="F11" i="28"/>
  <c r="F10" i="28"/>
  <c r="F9" i="28"/>
  <c r="F8" i="28"/>
  <c r="G23" i="10"/>
  <c r="G25" i="27"/>
  <c r="G24" i="27"/>
  <c r="G23" i="27"/>
  <c r="G22" i="27"/>
  <c r="G20" i="27"/>
  <c r="G18" i="27"/>
  <c r="G17" i="27"/>
  <c r="G16" i="27"/>
  <c r="G15" i="27"/>
  <c r="G11" i="27"/>
  <c r="G10" i="27"/>
  <c r="G9" i="27"/>
  <c r="G8" i="27"/>
  <c r="G22" i="10"/>
  <c r="G25" i="26"/>
  <c r="G24" i="26"/>
  <c r="G23" i="26"/>
  <c r="G22" i="26"/>
  <c r="G20" i="26"/>
  <c r="G18" i="26"/>
  <c r="G17" i="26"/>
  <c r="G16" i="26"/>
  <c r="G15" i="26"/>
  <c r="G11" i="26"/>
  <c r="G9" i="26"/>
  <c r="G8" i="26"/>
  <c r="F21" i="10"/>
  <c r="G21" i="10"/>
  <c r="E32" i="25"/>
  <c r="D29" i="25"/>
  <c r="D34" i="25"/>
  <c r="F8" i="25" s="1"/>
  <c r="D32" i="25"/>
  <c r="E34" i="25"/>
  <c r="C34" i="25"/>
  <c r="C32" i="25"/>
  <c r="D19" i="7" l="1"/>
  <c r="H26" i="3"/>
  <c r="D17" i="6"/>
  <c r="H10" i="3"/>
  <c r="G8" i="25"/>
  <c r="G11" i="25" s="1"/>
  <c r="F11" i="25"/>
  <c r="F18" i="25" s="1"/>
  <c r="G10" i="3" l="1"/>
  <c r="H12" i="3"/>
  <c r="H30" i="3"/>
  <c r="G30" i="3" s="1"/>
  <c r="G26" i="3"/>
  <c r="G18" i="25"/>
  <c r="G25" i="25" s="1"/>
  <c r="F25" i="25"/>
  <c r="G12" i="3" l="1"/>
  <c r="G20" i="10"/>
  <c r="G25" i="24"/>
  <c r="G24" i="23" l="1"/>
  <c r="G23" i="23"/>
  <c r="G22" i="23"/>
  <c r="G20" i="23"/>
  <c r="G19" i="23"/>
  <c r="G17" i="23"/>
  <c r="G16" i="23"/>
  <c r="G15" i="23"/>
  <c r="G9" i="23"/>
  <c r="G25" i="23" l="1"/>
  <c r="G19" i="10" s="1"/>
  <c r="F19" i="10" s="1"/>
  <c r="I19" i="10" s="1"/>
  <c r="F25" i="23"/>
  <c r="G11" i="23"/>
  <c r="F11" i="23" s="1"/>
  <c r="G18" i="10" l="1"/>
  <c r="F18" i="10" s="1"/>
  <c r="G24" i="22"/>
  <c r="G23" i="22"/>
  <c r="G22" i="22"/>
  <c r="G20" i="22"/>
  <c r="G18" i="22"/>
  <c r="G17" i="22"/>
  <c r="G16" i="22"/>
  <c r="G15" i="22"/>
  <c r="F24" i="22"/>
  <c r="F23" i="22"/>
  <c r="F22" i="22"/>
  <c r="F20" i="22"/>
  <c r="F18" i="22"/>
  <c r="F17" i="22"/>
  <c r="F16" i="22"/>
  <c r="F15" i="22"/>
  <c r="G10" i="22"/>
  <c r="G9" i="22"/>
  <c r="G8" i="22"/>
  <c r="F10" i="22"/>
  <c r="F9" i="22"/>
  <c r="F8" i="22"/>
  <c r="F16" i="10"/>
  <c r="G16" i="10"/>
  <c r="G25" i="20"/>
  <c r="G11" i="20"/>
  <c r="F15" i="10" l="1"/>
  <c r="G15" i="10"/>
  <c r="G8" i="19"/>
  <c r="G11" i="19"/>
  <c r="F8" i="19"/>
  <c r="F11" i="19" s="1"/>
  <c r="F20" i="19" s="1"/>
  <c r="G9" i="19"/>
  <c r="F25" i="19" l="1"/>
  <c r="G20" i="19"/>
  <c r="G25" i="19" s="1"/>
  <c r="G14" i="10" l="1"/>
  <c r="G25" i="18"/>
  <c r="G13" i="10"/>
  <c r="F13" i="10" s="1"/>
  <c r="G24" i="17" l="1"/>
  <c r="G23" i="17"/>
  <c r="G22" i="17"/>
  <c r="G20" i="17"/>
  <c r="G19" i="17"/>
  <c r="G18" i="17"/>
  <c r="G17" i="17"/>
  <c r="G16" i="17"/>
  <c r="G15" i="17"/>
  <c r="F24" i="17"/>
  <c r="F23" i="17"/>
  <c r="F22" i="17"/>
  <c r="F20" i="17"/>
  <c r="F19" i="17"/>
  <c r="F18" i="17"/>
  <c r="F17" i="17"/>
  <c r="F16" i="17"/>
  <c r="F15" i="17"/>
  <c r="G10" i="17"/>
  <c r="G9" i="17"/>
  <c r="G8" i="17"/>
  <c r="F10" i="17"/>
  <c r="F9" i="17"/>
  <c r="F8" i="17"/>
  <c r="G12" i="10" l="1"/>
  <c r="G25" i="16"/>
  <c r="G20" i="16"/>
  <c r="G11" i="16"/>
  <c r="G9" i="16"/>
  <c r="G11" i="10"/>
  <c r="F11" i="10" s="1"/>
  <c r="G10" i="15" l="1"/>
  <c r="G9" i="15"/>
  <c r="G24" i="15" l="1"/>
  <c r="G23" i="15"/>
  <c r="G22" i="15"/>
  <c r="G20" i="15"/>
  <c r="G18" i="15"/>
  <c r="G17" i="15"/>
  <c r="G16" i="15"/>
  <c r="G15" i="15"/>
  <c r="F20" i="15"/>
  <c r="F24" i="15"/>
  <c r="F23" i="15"/>
  <c r="F22" i="15"/>
  <c r="F18" i="15"/>
  <c r="F17" i="15"/>
  <c r="F16" i="15"/>
  <c r="F15" i="15"/>
  <c r="G8" i="15"/>
  <c r="F10" i="15"/>
  <c r="F9" i="15"/>
  <c r="F8" i="15"/>
  <c r="F10" i="10"/>
  <c r="G10" i="10"/>
  <c r="G25" i="14"/>
  <c r="G24" i="14"/>
  <c r="G23" i="14"/>
  <c r="G22" i="14"/>
  <c r="G20" i="14"/>
  <c r="G19" i="14"/>
  <c r="G18" i="14"/>
  <c r="G17" i="14"/>
  <c r="G16" i="14"/>
  <c r="G15" i="14"/>
  <c r="G14" i="14"/>
  <c r="G10" i="14"/>
  <c r="G11" i="14"/>
  <c r="G9" i="14"/>
  <c r="G8" i="14"/>
  <c r="F25" i="14"/>
  <c r="F24" i="14"/>
  <c r="F23" i="14"/>
  <c r="F22" i="14"/>
  <c r="F20" i="14"/>
  <c r="F19" i="14"/>
  <c r="F18" i="14"/>
  <c r="F17" i="14"/>
  <c r="F16" i="14"/>
  <c r="F15" i="14"/>
  <c r="F14" i="14"/>
  <c r="F11" i="14"/>
  <c r="F10" i="14"/>
  <c r="F9" i="14"/>
  <c r="F8" i="14"/>
  <c r="G9" i="10"/>
  <c r="F9" i="10" s="1"/>
  <c r="G22" i="13"/>
  <c r="G21" i="13"/>
  <c r="G20" i="13"/>
  <c r="G18" i="13"/>
  <c r="G17" i="13"/>
  <c r="G16" i="13"/>
  <c r="G15" i="13"/>
  <c r="G14" i="13"/>
  <c r="G9" i="13"/>
  <c r="G8" i="13"/>
  <c r="F8" i="10"/>
  <c r="G8" i="10"/>
  <c r="F22" i="13"/>
  <c r="F21" i="13"/>
  <c r="F20" i="13"/>
  <c r="F18" i="13"/>
  <c r="F17" i="13"/>
  <c r="F16" i="13"/>
  <c r="F15" i="13"/>
  <c r="F14" i="13"/>
  <c r="F9" i="13"/>
  <c r="F8" i="13"/>
  <c r="H38" i="10" l="1"/>
  <c r="F38" i="10"/>
  <c r="D23" i="12"/>
  <c r="E23" i="12"/>
  <c r="D22" i="12"/>
  <c r="D21" i="12"/>
  <c r="D20" i="12"/>
  <c r="E22" i="12"/>
  <c r="E21" i="12"/>
  <c r="E20" i="12"/>
  <c r="D16" i="12"/>
  <c r="E16" i="12"/>
  <c r="E15" i="12"/>
  <c r="D15" i="12"/>
  <c r="E14" i="12"/>
  <c r="D14" i="12"/>
  <c r="E13" i="12"/>
  <c r="D13" i="12"/>
  <c r="D36" i="11"/>
  <c r="D23" i="11"/>
  <c r="D11" i="11"/>
  <c r="D50" i="11" l="1"/>
  <c r="D40" i="11"/>
  <c r="D27" i="11"/>
  <c r="E40" i="11" l="1"/>
  <c r="D37" i="11"/>
  <c r="E37" i="11" s="1"/>
  <c r="E36" i="11"/>
  <c r="E27" i="11"/>
  <c r="E11" i="11"/>
  <c r="E23" i="11"/>
  <c r="D15" i="11"/>
  <c r="E15" i="11" s="1"/>
  <c r="D24" i="11"/>
  <c r="E24" i="11" s="1"/>
  <c r="D12" i="11"/>
  <c r="E12" i="11" s="1"/>
  <c r="C27" i="21"/>
  <c r="C29" i="21" s="1"/>
  <c r="E27" i="42"/>
  <c r="E25" i="42"/>
  <c r="C19" i="40"/>
  <c r="C18" i="40"/>
  <c r="C17" i="40"/>
  <c r="C16" i="40"/>
  <c r="C12" i="40"/>
  <c r="C11" i="40"/>
  <c r="C10" i="40"/>
  <c r="C9" i="40"/>
  <c r="C14" i="39"/>
  <c r="C12" i="39"/>
  <c r="C11" i="39"/>
  <c r="C10" i="39"/>
  <c r="C27" i="38"/>
  <c r="C21" i="38"/>
  <c r="C16" i="38"/>
  <c r="E11" i="37"/>
  <c r="F8" i="37"/>
  <c r="F29" i="37"/>
  <c r="E12" i="37"/>
  <c r="F11" i="37"/>
  <c r="F12" i="37" s="1"/>
  <c r="F10" i="37"/>
  <c r="F9" i="37"/>
  <c r="D26" i="36"/>
  <c r="C26" i="36"/>
  <c r="E25" i="36"/>
  <c r="E24" i="36"/>
  <c r="E23" i="36"/>
  <c r="E21" i="36"/>
  <c r="E20" i="36"/>
  <c r="E19" i="36"/>
  <c r="E18" i="36"/>
  <c r="E17" i="36"/>
  <c r="E16" i="36"/>
  <c r="E15" i="36"/>
  <c r="E14" i="36"/>
  <c r="D11" i="36"/>
  <c r="C11" i="36"/>
  <c r="E10" i="36"/>
  <c r="E9" i="36"/>
  <c r="E8" i="36"/>
  <c r="E11" i="36" s="1"/>
  <c r="D26" i="35"/>
  <c r="C26" i="35"/>
  <c r="E25" i="35"/>
  <c r="E24" i="35"/>
  <c r="E23" i="35"/>
  <c r="E21" i="35"/>
  <c r="E20" i="35"/>
  <c r="E19" i="35"/>
  <c r="E18" i="35"/>
  <c r="E17" i="35"/>
  <c r="E16" i="35"/>
  <c r="E15" i="35"/>
  <c r="E14" i="35"/>
  <c r="D11" i="35"/>
  <c r="C11" i="35"/>
  <c r="E10" i="35"/>
  <c r="E9" i="35"/>
  <c r="E8" i="35"/>
  <c r="D26" i="34"/>
  <c r="C26" i="34"/>
  <c r="E25" i="34"/>
  <c r="E24" i="34"/>
  <c r="E23" i="34"/>
  <c r="E21" i="34"/>
  <c r="E20" i="34"/>
  <c r="E19" i="34"/>
  <c r="E18" i="34"/>
  <c r="E17" i="34"/>
  <c r="E16" i="34"/>
  <c r="E15" i="34"/>
  <c r="E14" i="34"/>
  <c r="D11" i="34"/>
  <c r="C11" i="34"/>
  <c r="E10" i="34"/>
  <c r="E9" i="34"/>
  <c r="E8" i="34"/>
  <c r="E11" i="34" s="1"/>
  <c r="D26" i="33"/>
  <c r="C26" i="33"/>
  <c r="E25" i="33"/>
  <c r="E23" i="33"/>
  <c r="E21" i="33"/>
  <c r="E20" i="33"/>
  <c r="E19" i="33"/>
  <c r="E18" i="33"/>
  <c r="E17" i="33"/>
  <c r="E16" i="33"/>
  <c r="E15" i="33"/>
  <c r="E14" i="33"/>
  <c r="D11" i="33"/>
  <c r="C11" i="33"/>
  <c r="E10" i="33"/>
  <c r="E9" i="33"/>
  <c r="E8" i="33"/>
  <c r="E11" i="33" s="1"/>
  <c r="D26" i="32"/>
  <c r="C26" i="32"/>
  <c r="E25" i="32"/>
  <c r="E24" i="32"/>
  <c r="E23" i="32"/>
  <c r="E21" i="32"/>
  <c r="E20" i="32"/>
  <c r="E19" i="32"/>
  <c r="E18" i="32"/>
  <c r="E17" i="32"/>
  <c r="E16" i="32"/>
  <c r="E15" i="32"/>
  <c r="E14" i="32"/>
  <c r="D11" i="32"/>
  <c r="C11" i="32"/>
  <c r="E10" i="32"/>
  <c r="E9" i="32"/>
  <c r="E8" i="32"/>
  <c r="D26" i="31"/>
  <c r="C26" i="31"/>
  <c r="E25" i="31"/>
  <c r="E24" i="31"/>
  <c r="E23" i="31"/>
  <c r="E21" i="31"/>
  <c r="E20" i="31"/>
  <c r="E19" i="31"/>
  <c r="E18" i="31"/>
  <c r="E17" i="31"/>
  <c r="E16" i="31"/>
  <c r="E15" i="31"/>
  <c r="E14" i="31"/>
  <c r="D11" i="31"/>
  <c r="C11" i="31"/>
  <c r="E10" i="31"/>
  <c r="E9" i="31"/>
  <c r="E8" i="31"/>
  <c r="D26" i="30"/>
  <c r="C26" i="30"/>
  <c r="E25" i="30"/>
  <c r="E24" i="30"/>
  <c r="E23" i="30"/>
  <c r="E21" i="30"/>
  <c r="E20" i="30"/>
  <c r="E19" i="30"/>
  <c r="E18" i="30"/>
  <c r="E17" i="30"/>
  <c r="E16" i="30"/>
  <c r="E15" i="30"/>
  <c r="E14" i="30"/>
  <c r="D11" i="30"/>
  <c r="C11" i="30"/>
  <c r="E10" i="30"/>
  <c r="E9" i="30"/>
  <c r="E8" i="30"/>
  <c r="D26" i="29"/>
  <c r="C26" i="29"/>
  <c r="E25" i="29"/>
  <c r="E24" i="29"/>
  <c r="E23" i="29"/>
  <c r="E21" i="29"/>
  <c r="E20" i="29"/>
  <c r="E19" i="29"/>
  <c r="E18" i="29"/>
  <c r="E17" i="29"/>
  <c r="E16" i="29"/>
  <c r="E15" i="29"/>
  <c r="E14" i="29"/>
  <c r="D11" i="29"/>
  <c r="C11" i="29"/>
  <c r="E10" i="29"/>
  <c r="E9" i="29"/>
  <c r="E8" i="29"/>
  <c r="E20" i="28"/>
  <c r="E16" i="28"/>
  <c r="E14" i="28"/>
  <c r="D26" i="28"/>
  <c r="C26" i="28"/>
  <c r="E25" i="28"/>
  <c r="E24" i="28"/>
  <c r="E23" i="28"/>
  <c r="E21" i="28"/>
  <c r="E19" i="28"/>
  <c r="E18" i="28"/>
  <c r="E17" i="28"/>
  <c r="E15" i="28"/>
  <c r="D11" i="28"/>
  <c r="C11" i="28"/>
  <c r="E10" i="28"/>
  <c r="E9" i="28"/>
  <c r="E8" i="28"/>
  <c r="E25" i="27"/>
  <c r="E24" i="27"/>
  <c r="E23" i="27"/>
  <c r="E22" i="27"/>
  <c r="E20" i="27"/>
  <c r="E18" i="27"/>
  <c r="E17" i="27"/>
  <c r="E16" i="27"/>
  <c r="E15" i="27"/>
  <c r="D25" i="27"/>
  <c r="C25" i="27"/>
  <c r="E11" i="27"/>
  <c r="E10" i="27"/>
  <c r="E9" i="27"/>
  <c r="E8" i="27"/>
  <c r="D11" i="27"/>
  <c r="C11" i="27"/>
  <c r="E25" i="26"/>
  <c r="E24" i="26"/>
  <c r="E23" i="26"/>
  <c r="E22" i="26"/>
  <c r="E20" i="26"/>
  <c r="E18" i="26"/>
  <c r="E17" i="26"/>
  <c r="E16" i="26"/>
  <c r="E15" i="26"/>
  <c r="D25" i="26"/>
  <c r="C25" i="26"/>
  <c r="E11" i="26"/>
  <c r="E9" i="26"/>
  <c r="E8" i="26"/>
  <c r="D11" i="26"/>
  <c r="C11" i="26"/>
  <c r="E25" i="25"/>
  <c r="E18" i="25"/>
  <c r="D25" i="25"/>
  <c r="C25" i="25"/>
  <c r="E11" i="25"/>
  <c r="E8" i="25"/>
  <c r="D11" i="25"/>
  <c r="C11" i="25"/>
  <c r="E25" i="24"/>
  <c r="E20" i="24"/>
  <c r="C25" i="24"/>
  <c r="E11" i="24"/>
  <c r="E8" i="24"/>
  <c r="C11" i="24"/>
  <c r="E24" i="23"/>
  <c r="E25" i="23" s="1"/>
  <c r="E23" i="23"/>
  <c r="E22" i="23"/>
  <c r="E20" i="23"/>
  <c r="E19" i="23"/>
  <c r="E17" i="23"/>
  <c r="E16" i="23"/>
  <c r="E15" i="23"/>
  <c r="D25" i="23"/>
  <c r="C25" i="23"/>
  <c r="E10" i="23"/>
  <c r="E9" i="23"/>
  <c r="E11" i="23" s="1"/>
  <c r="E8" i="23"/>
  <c r="D11" i="23"/>
  <c r="C11" i="23"/>
  <c r="E14" i="22"/>
  <c r="E15" i="22"/>
  <c r="E16" i="22"/>
  <c r="E17" i="22"/>
  <c r="E18" i="22"/>
  <c r="E19" i="22"/>
  <c r="E20" i="22"/>
  <c r="E22" i="22"/>
  <c r="E23" i="22"/>
  <c r="E24" i="22"/>
  <c r="D25" i="22"/>
  <c r="C25" i="22"/>
  <c r="E25" i="22" s="1"/>
  <c r="E10" i="22"/>
  <c r="E9" i="22"/>
  <c r="E8" i="22"/>
  <c r="E11" i="22" s="1"/>
  <c r="D11" i="22"/>
  <c r="C11" i="22"/>
  <c r="C25" i="21"/>
  <c r="C24" i="21"/>
  <c r="C23" i="21"/>
  <c r="C21" i="21"/>
  <c r="C18" i="21"/>
  <c r="C16" i="21"/>
  <c r="C13" i="21"/>
  <c r="C9" i="21"/>
  <c r="E20" i="20"/>
  <c r="E25" i="20" s="1"/>
  <c r="C25" i="20"/>
  <c r="E11" i="20"/>
  <c r="E8" i="20"/>
  <c r="C11" i="20"/>
  <c r="E20" i="19"/>
  <c r="E25" i="19" s="1"/>
  <c r="D25" i="19"/>
  <c r="E9" i="19"/>
  <c r="E8" i="19"/>
  <c r="D11" i="19"/>
  <c r="C25" i="19"/>
  <c r="C11" i="19"/>
  <c r="E11" i="19" s="1"/>
  <c r="E20" i="18"/>
  <c r="E25" i="18" s="1"/>
  <c r="E11" i="18"/>
  <c r="E8" i="18"/>
  <c r="D25" i="18"/>
  <c r="C25" i="18"/>
  <c r="C11" i="18"/>
  <c r="E24" i="17"/>
  <c r="E23" i="17"/>
  <c r="E22" i="17"/>
  <c r="E20" i="17"/>
  <c r="E25" i="17" s="1"/>
  <c r="E17" i="17"/>
  <c r="E16" i="17"/>
  <c r="E15" i="17"/>
  <c r="D25" i="17"/>
  <c r="E10" i="17"/>
  <c r="E9" i="17"/>
  <c r="E8" i="17"/>
  <c r="E11" i="17" s="1"/>
  <c r="D11" i="17"/>
  <c r="C25" i="17"/>
  <c r="C11" i="17"/>
  <c r="E25" i="16"/>
  <c r="D25" i="16"/>
  <c r="E11" i="16"/>
  <c r="E9" i="16"/>
  <c r="E20" i="16"/>
  <c r="C25" i="16"/>
  <c r="C11" i="16"/>
  <c r="E24" i="15"/>
  <c r="E23" i="15"/>
  <c r="E22" i="15"/>
  <c r="E20" i="15"/>
  <c r="E18" i="15"/>
  <c r="E25" i="15" s="1"/>
  <c r="E17" i="15"/>
  <c r="E16" i="15"/>
  <c r="E15" i="15"/>
  <c r="D25" i="15"/>
  <c r="E10" i="15"/>
  <c r="E9" i="15"/>
  <c r="E8" i="15"/>
  <c r="E11" i="15" s="1"/>
  <c r="D11" i="15"/>
  <c r="C25" i="15"/>
  <c r="C11" i="15"/>
  <c r="E24" i="14"/>
  <c r="E23" i="14"/>
  <c r="E22" i="14"/>
  <c r="E25" i="14" s="1"/>
  <c r="E20" i="14"/>
  <c r="E19" i="14"/>
  <c r="E18" i="14"/>
  <c r="E17" i="14"/>
  <c r="E16" i="14"/>
  <c r="E15" i="14"/>
  <c r="E14" i="14"/>
  <c r="D25" i="14"/>
  <c r="C25" i="14"/>
  <c r="E10" i="14"/>
  <c r="E9" i="14"/>
  <c r="E8" i="14"/>
  <c r="E11" i="14" s="1"/>
  <c r="D11" i="14"/>
  <c r="C11" i="14"/>
  <c r="E22" i="13"/>
  <c r="E21" i="13"/>
  <c r="E20" i="13"/>
  <c r="E18" i="13"/>
  <c r="E17" i="13"/>
  <c r="E16" i="13"/>
  <c r="E15" i="13"/>
  <c r="E23" i="13" s="1"/>
  <c r="E14" i="13"/>
  <c r="D23" i="13"/>
  <c r="E10" i="13"/>
  <c r="E9" i="13"/>
  <c r="E8" i="13"/>
  <c r="E11" i="13" s="1"/>
  <c r="D11" i="13"/>
  <c r="C23" i="13"/>
  <c r="C11" i="13"/>
  <c r="C23" i="12"/>
  <c r="C22" i="12"/>
  <c r="C21" i="12"/>
  <c r="C20" i="12"/>
  <c r="C16" i="12"/>
  <c r="C10" i="12"/>
  <c r="C33" i="11"/>
  <c r="C34" i="11" s="1"/>
  <c r="C20" i="11"/>
  <c r="C21" i="11" s="1"/>
  <c r="C8" i="11"/>
  <c r="C9" i="11" s="1"/>
  <c r="E37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D37" i="10"/>
  <c r="C37" i="10"/>
  <c r="G12" i="4"/>
  <c r="G21" i="4" s="1"/>
  <c r="G23" i="4" s="1"/>
  <c r="G27" i="4" s="1"/>
  <c r="E26" i="9"/>
  <c r="E25" i="9"/>
  <c r="E24" i="9"/>
  <c r="E23" i="9"/>
  <c r="E22" i="9"/>
  <c r="E21" i="9"/>
  <c r="E20" i="9"/>
  <c r="E19" i="9"/>
  <c r="E18" i="9"/>
  <c r="E14" i="9"/>
  <c r="E13" i="9"/>
  <c r="E12" i="9"/>
  <c r="E9" i="9"/>
  <c r="E8" i="9"/>
  <c r="C27" i="9"/>
  <c r="C31" i="9" s="1"/>
  <c r="C14" i="9"/>
  <c r="C10" i="9"/>
  <c r="C16" i="9" s="1"/>
  <c r="E30" i="8"/>
  <c r="E32" i="8" s="1"/>
  <c r="D32" i="8"/>
  <c r="E29" i="8"/>
  <c r="E27" i="8"/>
  <c r="E26" i="8"/>
  <c r="E25" i="8"/>
  <c r="E24" i="8"/>
  <c r="E21" i="8"/>
  <c r="E20" i="8"/>
  <c r="E19" i="8"/>
  <c r="E18" i="8"/>
  <c r="E15" i="8"/>
  <c r="E14" i="8"/>
  <c r="E13" i="8"/>
  <c r="E9" i="8"/>
  <c r="C10" i="7"/>
  <c r="C17" i="6"/>
  <c r="C16" i="6"/>
  <c r="C14" i="6"/>
  <c r="C12" i="6"/>
  <c r="C22" i="5"/>
  <c r="C18" i="5"/>
  <c r="C12" i="5"/>
  <c r="C20" i="5" s="1"/>
  <c r="H29" i="4"/>
  <c r="H31" i="4" s="1"/>
  <c r="F29" i="4"/>
  <c r="C13" i="42" s="1"/>
  <c r="C14" i="42" s="1"/>
  <c r="E14" i="42" s="1"/>
  <c r="H25" i="4"/>
  <c r="E21" i="4"/>
  <c r="E23" i="4" s="1"/>
  <c r="D21" i="4"/>
  <c r="D23" i="4" s="1"/>
  <c r="F20" i="4"/>
  <c r="H20" i="4" s="1"/>
  <c r="F19" i="4"/>
  <c r="H19" i="4" s="1"/>
  <c r="F17" i="4"/>
  <c r="H17" i="4" s="1"/>
  <c r="F16" i="4"/>
  <c r="H16" i="4" s="1"/>
  <c r="F15" i="4"/>
  <c r="H15" i="4" s="1"/>
  <c r="F14" i="4"/>
  <c r="H14" i="4" s="1"/>
  <c r="F12" i="4"/>
  <c r="G10" i="4"/>
  <c r="D7" i="9" s="1"/>
  <c r="E10" i="4"/>
  <c r="D10" i="4"/>
  <c r="H9" i="4"/>
  <c r="F7" i="4"/>
  <c r="H7" i="4" s="1"/>
  <c r="H10" i="4" s="1"/>
  <c r="E8" i="42" s="1"/>
  <c r="E32" i="3"/>
  <c r="F32" i="3"/>
  <c r="D32" i="3"/>
  <c r="F30" i="3"/>
  <c r="D30" i="3"/>
  <c r="E29" i="3"/>
  <c r="E30" i="3" s="1"/>
  <c r="E28" i="3"/>
  <c r="E26" i="3"/>
  <c r="F24" i="3"/>
  <c r="E24" i="3"/>
  <c r="D24" i="3"/>
  <c r="E23" i="3"/>
  <c r="E22" i="3"/>
  <c r="E21" i="3"/>
  <c r="E20" i="3"/>
  <c r="E19" i="3"/>
  <c r="E18" i="3"/>
  <c r="E17" i="3"/>
  <c r="E16" i="3"/>
  <c r="E15" i="3"/>
  <c r="E14" i="3"/>
  <c r="F12" i="3"/>
  <c r="E12" i="3"/>
  <c r="D12" i="3"/>
  <c r="E10" i="3"/>
  <c r="E9" i="3"/>
  <c r="E7" i="3"/>
  <c r="C21" i="2"/>
  <c r="E20" i="2"/>
  <c r="E19" i="2"/>
  <c r="E18" i="2"/>
  <c r="E17" i="2"/>
  <c r="E11" i="2"/>
  <c r="E10" i="2"/>
  <c r="E9" i="2"/>
  <c r="E8" i="2"/>
  <c r="E7" i="2"/>
  <c r="C11" i="2"/>
  <c r="C32" i="1"/>
  <c r="C33" i="1" s="1"/>
  <c r="C11" i="1"/>
  <c r="C14" i="1" s="1"/>
  <c r="C13" i="11" l="1"/>
  <c r="C16" i="11" s="1"/>
  <c r="D9" i="11"/>
  <c r="D34" i="11"/>
  <c r="E34" i="11" s="1"/>
  <c r="E38" i="11" s="1"/>
  <c r="E41" i="11" s="1"/>
  <c r="C38" i="11"/>
  <c r="C41" i="11" s="1"/>
  <c r="E9" i="11"/>
  <c r="D21" i="11"/>
  <c r="E21" i="11" s="1"/>
  <c r="E25" i="11" s="1"/>
  <c r="E28" i="11" s="1"/>
  <c r="E13" i="11"/>
  <c r="E16" i="11" s="1"/>
  <c r="C25" i="11"/>
  <c r="C28" i="11" s="1"/>
  <c r="D49" i="11"/>
  <c r="D20" i="5"/>
  <c r="C24" i="5"/>
  <c r="D24" i="5" s="1"/>
  <c r="E13" i="42"/>
  <c r="E15" i="42" s="1"/>
  <c r="D24" i="2"/>
  <c r="D25" i="2" s="1"/>
  <c r="E35" i="33" s="1"/>
  <c r="G14" i="42"/>
  <c r="F21" i="4"/>
  <c r="C9" i="42" s="1"/>
  <c r="F10" i="4"/>
  <c r="C13" i="7"/>
  <c r="C15" i="7" s="1"/>
  <c r="C17" i="7" s="1"/>
  <c r="C19" i="7" s="1"/>
  <c r="E26" i="36"/>
  <c r="E26" i="35"/>
  <c r="E11" i="35"/>
  <c r="E26" i="34"/>
  <c r="E26" i="33"/>
  <c r="E26" i="32"/>
  <c r="E11" i="32"/>
  <c r="E26" i="31"/>
  <c r="E11" i="31"/>
  <c r="E26" i="30"/>
  <c r="E11" i="30"/>
  <c r="E26" i="29"/>
  <c r="E11" i="29"/>
  <c r="E26" i="28"/>
  <c r="E11" i="28"/>
  <c r="E7" i="9"/>
  <c r="E10" i="9" s="1"/>
  <c r="D10" i="9"/>
  <c r="D16" i="9" s="1"/>
  <c r="H12" i="4"/>
  <c r="C34" i="1"/>
  <c r="C35" i="1" s="1"/>
  <c r="C16" i="1"/>
  <c r="C20" i="1" s="1"/>
  <c r="C23" i="1" s="1"/>
  <c r="E21" i="2"/>
  <c r="D41" i="11" l="1"/>
  <c r="D28" i="11"/>
  <c r="C46" i="11"/>
  <c r="D16" i="11"/>
  <c r="G7" i="10"/>
  <c r="D25" i="11"/>
  <c r="C45" i="11"/>
  <c r="E45" i="11" s="1"/>
  <c r="E7" i="40" s="1"/>
  <c r="F35" i="33"/>
  <c r="G35" i="33" s="1"/>
  <c r="E36" i="33"/>
  <c r="J30" i="4"/>
  <c r="E9" i="1"/>
  <c r="F23" i="4"/>
  <c r="F27" i="4" s="1"/>
  <c r="F30" i="4" s="1"/>
  <c r="F31" i="4" s="1"/>
  <c r="G31" i="4" s="1"/>
  <c r="C8" i="42"/>
  <c r="C10" i="42" s="1"/>
  <c r="C17" i="42" s="1"/>
  <c r="H21" i="4"/>
  <c r="D27" i="9"/>
  <c r="D31" i="9" s="1"/>
  <c r="E16" i="9"/>
  <c r="E27" i="9" s="1"/>
  <c r="E31" i="9" s="1"/>
  <c r="C47" i="11" l="1"/>
  <c r="E47" i="11"/>
  <c r="D47" i="11" s="1"/>
  <c r="E11" i="40"/>
  <c r="E10" i="40"/>
  <c r="E9" i="40"/>
  <c r="D46" i="11"/>
  <c r="E14" i="40"/>
  <c r="F36" i="33"/>
  <c r="G36" i="33" s="1"/>
  <c r="E37" i="33"/>
  <c r="F37" i="33" s="1"/>
  <c r="G37" i="33" s="1"/>
  <c r="F7" i="10"/>
  <c r="I7" i="10" s="1"/>
  <c r="H23" i="4"/>
  <c r="H27" i="4" s="1"/>
  <c r="E9" i="42"/>
  <c r="E10" i="42" s="1"/>
  <c r="E17" i="42" s="1"/>
  <c r="C21" i="42"/>
  <c r="C23" i="42" s="1"/>
  <c r="C29" i="42" s="1"/>
  <c r="C19" i="42"/>
  <c r="C28" i="42" s="1"/>
  <c r="E12" i="40" l="1"/>
  <c r="D14" i="40"/>
  <c r="E18" i="40"/>
  <c r="E16" i="40"/>
  <c r="E17" i="40"/>
  <c r="G38" i="33"/>
  <c r="G11" i="33" s="1"/>
  <c r="F11" i="33"/>
  <c r="G26" i="33"/>
  <c r="C30" i="42"/>
  <c r="E21" i="42"/>
  <c r="E23" i="42" s="1"/>
  <c r="E29" i="42" s="1"/>
  <c r="E30" i="42" s="1"/>
  <c r="E19" i="42"/>
  <c r="G18" i="8" l="1"/>
  <c r="F18" i="8" s="1"/>
  <c r="D17" i="40"/>
  <c r="E19" i="40"/>
  <c r="D16" i="40"/>
  <c r="G19" i="8"/>
  <c r="F19" i="8" s="1"/>
  <c r="D18" i="40"/>
  <c r="G31" i="10"/>
  <c r="F26" i="33"/>
  <c r="G21" i="8" l="1"/>
  <c r="F21" i="8" s="1"/>
  <c r="J17" i="4"/>
  <c r="I17" i="4" s="1"/>
  <c r="D19" i="40"/>
  <c r="G20" i="8"/>
  <c r="F20" i="8" s="1"/>
  <c r="F31" i="10"/>
  <c r="I31" i="10" s="1"/>
  <c r="G37" i="10"/>
  <c r="J12" i="4" s="1"/>
  <c r="G39" i="10" l="1"/>
  <c r="G9" i="8" s="1"/>
  <c r="F37" i="10"/>
  <c r="I12" i="4" l="1"/>
  <c r="F9" i="8"/>
  <c r="G32" i="8"/>
  <c r="H17" i="3" l="1"/>
  <c r="F32" i="8"/>
  <c r="G17" i="3" l="1"/>
  <c r="H24" i="3"/>
  <c r="G24" i="3" l="1"/>
  <c r="H32" i="3"/>
  <c r="G32" i="3" l="1"/>
  <c r="E8" i="1"/>
  <c r="J29" i="4" s="1"/>
  <c r="J31" i="4" l="1"/>
  <c r="G13" i="42"/>
  <c r="D8" i="1"/>
  <c r="E11" i="1"/>
  <c r="F13" i="42" l="1"/>
  <c r="G15" i="42"/>
  <c r="F15" i="42" s="1"/>
  <c r="D11" i="1"/>
  <c r="J13" i="4"/>
  <c r="J21" i="4" s="1"/>
  <c r="I21" i="4" s="1"/>
  <c r="G9" i="42" l="1"/>
  <c r="J23" i="4"/>
  <c r="I23" i="4" s="1"/>
  <c r="G10" i="42" l="1"/>
  <c r="G17" i="42" s="1"/>
  <c r="F9" i="42"/>
  <c r="G21" i="42" l="1"/>
  <c r="F17" i="42"/>
  <c r="G23" i="42" l="1"/>
  <c r="F21" i="42"/>
  <c r="G29" i="42" l="1"/>
  <c r="F23" i="42"/>
  <c r="G30" i="42" l="1"/>
  <c r="J25" i="4" s="1"/>
  <c r="F29" i="42"/>
  <c r="I25" i="4" l="1"/>
  <c r="J27" i="4"/>
  <c r="E12" i="1" l="1"/>
  <c r="I27" i="4"/>
  <c r="D12" i="1" l="1"/>
  <c r="E14" i="1"/>
  <c r="D14" i="1" l="1"/>
  <c r="E16" i="1"/>
  <c r="E21" i="1" l="1"/>
  <c r="E25" i="1" s="1"/>
  <c r="D16" i="1"/>
  <c r="E23" i="1" l="1"/>
  <c r="D20" i="1"/>
</calcChain>
</file>

<file path=xl/sharedStrings.xml><?xml version="1.0" encoding="utf-8"?>
<sst xmlns="http://schemas.openxmlformats.org/spreadsheetml/2006/main" count="1408" uniqueCount="513">
  <si>
    <t xml:space="preserve">REVENUE REQUIREMENT SUMMARY </t>
  </si>
  <si>
    <t>RATE YEAR 1 - JULY 31, 2027</t>
  </si>
  <si>
    <t>(1)</t>
  </si>
  <si>
    <t xml:space="preserve">Company </t>
  </si>
  <si>
    <t>Proposed</t>
  </si>
  <si>
    <t xml:space="preserve">Adjustments </t>
  </si>
  <si>
    <t>Recommended</t>
  </si>
  <si>
    <t xml:space="preserve">DPU&amp;C </t>
  </si>
  <si>
    <t xml:space="preserve">Rate Base </t>
  </si>
  <si>
    <t xml:space="preserve">Rate of Return </t>
  </si>
  <si>
    <t>Operating Income Requirement</t>
  </si>
  <si>
    <t xml:space="preserve">Present Operating Income </t>
  </si>
  <si>
    <t xml:space="preserve">References </t>
  </si>
  <si>
    <t xml:space="preserve">Operating Income Deficiency </t>
  </si>
  <si>
    <t xml:space="preserve">Revenue Conversion Factor </t>
  </si>
  <si>
    <t>Revenue Requirement Increase RY 1</t>
  </si>
  <si>
    <t xml:space="preserve">Hold Harmless Adjustment </t>
  </si>
  <si>
    <t xml:space="preserve">Net Revenue Requirement Increase </t>
  </si>
  <si>
    <t xml:space="preserve">Current Revenues </t>
  </si>
  <si>
    <t xml:space="preserve">% Increase </t>
  </si>
  <si>
    <t>(2)</t>
  </si>
  <si>
    <t xml:space="preserve">Gross Revenue Conversion Factor </t>
  </si>
  <si>
    <t xml:space="preserve">Gross Revenues </t>
  </si>
  <si>
    <t xml:space="preserve">Uncollectible Expense </t>
  </si>
  <si>
    <t xml:space="preserve">Revenues net of Uncollectible </t>
  </si>
  <si>
    <t>Composite Income Tax Rate</t>
  </si>
  <si>
    <t xml:space="preserve">Net Income effect </t>
  </si>
  <si>
    <t xml:space="preserve">Gross Revenue Factor </t>
  </si>
  <si>
    <t xml:space="preserve">RATE OF RETURN /COST OF CAPITAL </t>
  </si>
  <si>
    <t>Short Term Debt</t>
  </si>
  <si>
    <t>Capital Structure</t>
  </si>
  <si>
    <t xml:space="preserve">Cost Rate </t>
  </si>
  <si>
    <t xml:space="preserve">Weighted Return </t>
  </si>
  <si>
    <t>Long-Term Debt</t>
  </si>
  <si>
    <t xml:space="preserve">Preferred Stock </t>
  </si>
  <si>
    <t>Common Equity</t>
  </si>
  <si>
    <t xml:space="preserve">Total Capitalization </t>
  </si>
  <si>
    <t xml:space="preserve">DPU&amp;C Recommended </t>
  </si>
  <si>
    <t>ELECTRIC RATE BASE BALANCE</t>
  </si>
  <si>
    <t>Company Proposed (1)</t>
  </si>
  <si>
    <t xml:space="preserve">Company Schedule SAB-1 Electric </t>
  </si>
  <si>
    <t>Company Schedule SAB-1 Electric</t>
  </si>
  <si>
    <t>Company Test Year</t>
  </si>
  <si>
    <t>Adjustments</t>
  </si>
  <si>
    <t>Company Rate Year 1</t>
  </si>
  <si>
    <t>References</t>
  </si>
  <si>
    <t>Utility Plant In Service</t>
  </si>
  <si>
    <t xml:space="preserve">Contribution in Aid of Construction </t>
  </si>
  <si>
    <t xml:space="preserve">Accumulated Depreciation </t>
  </si>
  <si>
    <t xml:space="preserve">Net Electric Plant in Service </t>
  </si>
  <si>
    <t xml:space="preserve">Materials &amp; Supplies </t>
  </si>
  <si>
    <t>Prepayments</t>
  </si>
  <si>
    <t>Loss on Reacquired Debt</t>
  </si>
  <si>
    <t>Cash Working Capital</t>
  </si>
  <si>
    <t>Unamortized Issuance Costs $300 M</t>
  </si>
  <si>
    <t>Unamortized Issuance Costs $250 M</t>
  </si>
  <si>
    <t>Unamortized Issuance Costs $350 M</t>
  </si>
  <si>
    <t>Unamortized Issuance Costs $500 M</t>
  </si>
  <si>
    <t>Unamortized Issuance Costs $600 M</t>
  </si>
  <si>
    <t>Unamortized Issuance Costs $400 M</t>
  </si>
  <si>
    <t xml:space="preserve">Sub-Total </t>
  </si>
  <si>
    <t xml:space="preserve">Accumulated Deferred Income Taxes </t>
  </si>
  <si>
    <t>Accumulated Deferred Income Taxes - Loss on Reacquired Debt</t>
  </si>
  <si>
    <t xml:space="preserve">Customer Deposits </t>
  </si>
  <si>
    <t xml:space="preserve">Rate Base Balance </t>
  </si>
  <si>
    <t xml:space="preserve">ELECTRIC OPERATING INCOME </t>
  </si>
  <si>
    <t xml:space="preserve">Company Schedule SAB-11 Electric </t>
  </si>
  <si>
    <t>DPU&amp;C</t>
  </si>
  <si>
    <t xml:space="preserve">Recommended </t>
  </si>
  <si>
    <t>Revenues w/ Normalized Adjustments</t>
  </si>
  <si>
    <t>Base Revenue</t>
  </si>
  <si>
    <t>Increase  Required</t>
  </si>
  <si>
    <t xml:space="preserve">Proposed </t>
  </si>
  <si>
    <t>Revenue Requirement</t>
  </si>
  <si>
    <t>Net Distribution Revenues</t>
  </si>
  <si>
    <t xml:space="preserve">O&amp;M Expenses </t>
  </si>
  <si>
    <t xml:space="preserve">Amort. of Regulatory Deferrals </t>
  </si>
  <si>
    <t xml:space="preserve">Depreciation </t>
  </si>
  <si>
    <t>Municipal Taxes</t>
  </si>
  <si>
    <t>Payroll Taxes</t>
  </si>
  <si>
    <t xml:space="preserve">Gross Receipts Taxes </t>
  </si>
  <si>
    <t xml:space="preserve">Other Taxes </t>
  </si>
  <si>
    <t xml:space="preserve">Interest on Customer Deposits </t>
  </si>
  <si>
    <t>Proforma</t>
  </si>
  <si>
    <t xml:space="preserve">Total Operating &amp; Maintenance Expenses </t>
  </si>
  <si>
    <t>Operating Income Before FIT</t>
  </si>
  <si>
    <t xml:space="preserve">Income Taxes </t>
  </si>
  <si>
    <t>Operating Income After FIT</t>
  </si>
  <si>
    <t xml:space="preserve">Return Requirement </t>
  </si>
  <si>
    <t xml:space="preserve">ELECTRIC UTILITY PLANT IN SERVICE </t>
  </si>
  <si>
    <t>Rate Year - 1 July 31, 2027</t>
  </si>
  <si>
    <t>Electric Plant in Service Balance 8/31/2025</t>
  </si>
  <si>
    <t>Less: ARO</t>
  </si>
  <si>
    <t xml:space="preserve">Less: Other Capital Adjustments </t>
  </si>
  <si>
    <t>Adjusted Balance at 8/31/2025</t>
  </si>
  <si>
    <t>Plus: Plant Additions 11 Months 7/31/2026</t>
  </si>
  <si>
    <t>Plus: Plant Retirements 11 Months 7/31/2026</t>
  </si>
  <si>
    <t xml:space="preserve">Net Increase </t>
  </si>
  <si>
    <t xml:space="preserve"> Balance 7/31/2026</t>
  </si>
  <si>
    <t>Thirteen Month Average Balance Adjustment</t>
  </si>
  <si>
    <t xml:space="preserve">Rate Year 1 Electric Plant in Service </t>
  </si>
  <si>
    <t xml:space="preserve">ACCUMULATED DEPRECIATION </t>
  </si>
  <si>
    <t>Balance at 8/31/2025</t>
  </si>
  <si>
    <t>Depreciation Expense 9/1/2025-7/31/2026</t>
  </si>
  <si>
    <t>Less: Cost of Removal/Salvage</t>
  </si>
  <si>
    <t xml:space="preserve">Less: Retirements </t>
  </si>
  <si>
    <t xml:space="preserve">Net Adjustment - Increase </t>
  </si>
  <si>
    <t>Balance at 7/31/2026</t>
  </si>
  <si>
    <t xml:space="preserve">Thirteen Month Avg. Balance </t>
  </si>
  <si>
    <t xml:space="preserve">Rate Year 1 Accumulated Depreciation </t>
  </si>
  <si>
    <t xml:space="preserve">Company Schedule SAB-11-Electric </t>
  </si>
  <si>
    <t>ACCUMULATED DEFERRED INCOME TAXES</t>
  </si>
  <si>
    <t>Company</t>
  </si>
  <si>
    <t>(ADIT)</t>
  </si>
  <si>
    <t>ADIT Balance 8/31/2025</t>
  </si>
  <si>
    <t>Increase (Decrease) 11 Month Ended</t>
  </si>
  <si>
    <t>ADIT Balance 7/31/2026</t>
  </si>
  <si>
    <t>Increase/(Decrease) in Deferred Tax Liab.:</t>
  </si>
  <si>
    <t xml:space="preserve">Annual Deferred Tax Activity on Plant </t>
  </si>
  <si>
    <t>Excess DIT Amortization</t>
  </si>
  <si>
    <t>Net Annual Increase/Decrease in Excess ADIT</t>
  </si>
  <si>
    <t>Rate Year 1 ADIT 7/31/2027</t>
  </si>
  <si>
    <t xml:space="preserve">Deferred Tax Liability Proration Adj. </t>
  </si>
  <si>
    <t>Rate Year 1 ADIT Prorated Balance 7/31/2027</t>
  </si>
  <si>
    <t xml:space="preserve">Company Schedule NH-3 -Electric </t>
  </si>
  <si>
    <t xml:space="preserve">CASH WORKING CAPITAL </t>
  </si>
  <si>
    <t>C o m p a n y   P r o p o s e d</t>
  </si>
  <si>
    <t>Net Lag /Lead</t>
  </si>
  <si>
    <t>Total Dollars</t>
  </si>
  <si>
    <t>CWC Dollars</t>
  </si>
  <si>
    <t>Purchased Power</t>
  </si>
  <si>
    <t xml:space="preserve">Transmission </t>
  </si>
  <si>
    <t xml:space="preserve">Federal Income Taxes </t>
  </si>
  <si>
    <t xml:space="preserve">Municipal Taxes </t>
  </si>
  <si>
    <t>Sales &amp; Use Tax</t>
  </si>
  <si>
    <t>Gross Earnings Tax</t>
  </si>
  <si>
    <t>Employer Federal Unemployment Tax</t>
  </si>
  <si>
    <t>Employer State Unemployment Tax</t>
  </si>
  <si>
    <t>FICA Expense - Weekly</t>
  </si>
  <si>
    <t>FICA Expense - BiWeekly</t>
  </si>
  <si>
    <t>Payroll Taxes -Company Portion</t>
  </si>
  <si>
    <t xml:space="preserve">Payroll Taxes - Other </t>
  </si>
  <si>
    <t>Employer FICA /Federal Withholding - Weekly</t>
  </si>
  <si>
    <t>Employer FICA/Federal Withholding - BiWeekly</t>
  </si>
  <si>
    <t xml:space="preserve">Employee State Income Tax - Weekly </t>
  </si>
  <si>
    <t>Employee State Income Tax - BiWeekly</t>
  </si>
  <si>
    <t xml:space="preserve">Total CWC Requirement - Distribution </t>
  </si>
  <si>
    <t>Temporary Disability Insurance - Weekly</t>
  </si>
  <si>
    <t>Temporary Disability Insurance - BiWeekly</t>
  </si>
  <si>
    <t xml:space="preserve">Company Schedule JSW-1 Electric </t>
  </si>
  <si>
    <t>ELECTRIC OPERATING REVENUES</t>
  </si>
  <si>
    <t>Rate Year 1</t>
  </si>
  <si>
    <t xml:space="preserve">Firm Customer Revenues </t>
  </si>
  <si>
    <t xml:space="preserve">Firm Distribution Revenues </t>
  </si>
  <si>
    <t xml:space="preserve">Revenue Decoupling Revenues </t>
  </si>
  <si>
    <t xml:space="preserve">Annual Target Revenues </t>
  </si>
  <si>
    <t xml:space="preserve">Infrastructure, Safety &amp; Reliability Capital </t>
  </si>
  <si>
    <t xml:space="preserve">Infrastructure, Safety &amp; Reliability Adj. </t>
  </si>
  <si>
    <t xml:space="preserve">Total Base Distribution Revenues </t>
  </si>
  <si>
    <t xml:space="preserve">Forfeited Discount - Electric </t>
  </si>
  <si>
    <t xml:space="preserve">Misc. Service Revenue- Electric </t>
  </si>
  <si>
    <t>Rent from Electric Property</t>
  </si>
  <si>
    <t>Other Electric Rev-Misc</t>
  </si>
  <si>
    <t xml:space="preserve">Transmission Wheeling </t>
  </si>
  <si>
    <t xml:space="preserve">Energy Efficiency Incentive </t>
  </si>
  <si>
    <t>AMR/AMF Opt Out Fee</t>
  </si>
  <si>
    <t xml:space="preserve">Borderline Sales Net Revenue </t>
  </si>
  <si>
    <t xml:space="preserve">M-1 Distribution </t>
  </si>
  <si>
    <t xml:space="preserve">Total Other Operating Revenues </t>
  </si>
  <si>
    <t xml:space="preserve">Total Operating Revenues </t>
  </si>
  <si>
    <t xml:space="preserve">Company Schedule SAB-2 Electric </t>
  </si>
  <si>
    <t xml:space="preserve">Any differences between Company balances and DOU&amp;C balances are due to rounding issues </t>
  </si>
  <si>
    <t>SAB-22 - p6</t>
  </si>
  <si>
    <t xml:space="preserve">SUMMARY OPERATION &amp; MAINTENANCE EXPENSES </t>
  </si>
  <si>
    <t xml:space="preserve">C o m p a n y  P r o p o s a l </t>
  </si>
  <si>
    <t xml:space="preserve">Test Year </t>
  </si>
  <si>
    <t xml:space="preserve">Additional Uncollectible Accounts </t>
  </si>
  <si>
    <t xml:space="preserve">Labor </t>
  </si>
  <si>
    <t xml:space="preserve">Health Insurance, Thrift &amp; Other Benefits </t>
  </si>
  <si>
    <t xml:space="preserve">Consultants </t>
  </si>
  <si>
    <t xml:space="preserve">Contractors </t>
  </si>
  <si>
    <t xml:space="preserve">Employee Expenses </t>
  </si>
  <si>
    <t xml:space="preserve">Allocated Depreciation </t>
  </si>
  <si>
    <t xml:space="preserve">Rents </t>
  </si>
  <si>
    <t xml:space="preserve">Uninsured Claims </t>
  </si>
  <si>
    <t>Insurance Premiums</t>
  </si>
  <si>
    <t>Regulatory Assessments</t>
  </si>
  <si>
    <t xml:space="preserve">Uncollectible Accounts </t>
  </si>
  <si>
    <t>Postage</t>
  </si>
  <si>
    <t xml:space="preserve">Software Maintenance </t>
  </si>
  <si>
    <t xml:space="preserve">Environmental Response Fund </t>
  </si>
  <si>
    <t xml:space="preserve">Paperless Bill Credit </t>
  </si>
  <si>
    <t>PBOP</t>
  </si>
  <si>
    <t xml:space="preserve">Pension </t>
  </si>
  <si>
    <t xml:space="preserve">Energy Efficiency Program </t>
  </si>
  <si>
    <t>Other O&amp;M</t>
  </si>
  <si>
    <t xml:space="preserve">Storm Cost Recovery </t>
  </si>
  <si>
    <t>Gas Commodity OM</t>
  </si>
  <si>
    <t xml:space="preserve">Materials </t>
  </si>
  <si>
    <t xml:space="preserve">Materials Stores Handling </t>
  </si>
  <si>
    <t xml:space="preserve">Transportation </t>
  </si>
  <si>
    <t>Information Technology</t>
  </si>
  <si>
    <t xml:space="preserve">Paving </t>
  </si>
  <si>
    <t xml:space="preserve">Other Benefits </t>
  </si>
  <si>
    <t>Construction Reimbursements</t>
  </si>
  <si>
    <t xml:space="preserve">Wheeling </t>
  </si>
  <si>
    <t xml:space="preserve">Company Schedule SAB-3 Electric </t>
  </si>
  <si>
    <t xml:space="preserve">Total O&amp;M Expenses </t>
  </si>
  <si>
    <t xml:space="preserve">Electric </t>
  </si>
  <si>
    <t xml:space="preserve">LABOR EXPENSE </t>
  </si>
  <si>
    <t xml:space="preserve">Test Year Base Wages </t>
  </si>
  <si>
    <t xml:space="preserve">Test Year Capitalized Wages </t>
  </si>
  <si>
    <t>Test Year O&amp;M Wages - 51.67%</t>
  </si>
  <si>
    <t xml:space="preserve">Test Year Variable Pay </t>
  </si>
  <si>
    <t>Test Year Overtime Pay</t>
  </si>
  <si>
    <t>Rate Year 1 July 31, 2027- Adjustment</t>
  </si>
  <si>
    <t>Test Year O&amp;M Wages - 68.23%</t>
  </si>
  <si>
    <t>Test Year PPL Services Corp Wages</t>
  </si>
  <si>
    <t xml:space="preserve">Rate Year 1 July 31, 2027 - Adjustment </t>
  </si>
  <si>
    <t>Total PPL Service Corp Wages Rate Year 1</t>
  </si>
  <si>
    <t xml:space="preserve">Total Naragassett Wages Rate Year 1 </t>
  </si>
  <si>
    <t>Test Year Naragassett Electric Wages</t>
  </si>
  <si>
    <t>Test Year Base Wages - Naragassett Share</t>
  </si>
  <si>
    <t>Test Year Base Wages - Naragansett Share</t>
  </si>
  <si>
    <t>Test Year - O&amp;M Wages 18.48%</t>
  </si>
  <si>
    <t xml:space="preserve">Test Year Overtime Pay </t>
  </si>
  <si>
    <t xml:space="preserve">Test Year Other Companies Wages </t>
  </si>
  <si>
    <t>Total Other Companies Wages Rate Year 1</t>
  </si>
  <si>
    <t>Total Test Year Labor - August 31, 2025</t>
  </si>
  <si>
    <t>Total Rate Year Labor - July 31, 2027</t>
  </si>
  <si>
    <t xml:space="preserve">Difference </t>
  </si>
  <si>
    <t xml:space="preserve">vacancies </t>
  </si>
  <si>
    <t xml:space="preserve">variable incentive </t>
  </si>
  <si>
    <t>Company Schedule SAB-12</t>
  </si>
  <si>
    <t>HEALTH, INSURANCE, THRIFT &amp; OTHER BENEFITS</t>
  </si>
  <si>
    <t>Test Year Health &amp; Insurance - Narragansett</t>
  </si>
  <si>
    <t>Test Year Health Insurance - PPL</t>
  </si>
  <si>
    <t xml:space="preserve">Test Year Health Insurance - Other </t>
  </si>
  <si>
    <t xml:space="preserve">Total </t>
  </si>
  <si>
    <t>Total - Test Year August 31, 2025</t>
  </si>
  <si>
    <t>Adjustments - Rate Year 1 - July 31, 2027</t>
  </si>
  <si>
    <t xml:space="preserve">Narragansett - 3.51% Electric </t>
  </si>
  <si>
    <t>Total Adjustments</t>
  </si>
  <si>
    <t>Rate Year Health &amp; Insurance-Narragansett</t>
  </si>
  <si>
    <t>Rate Year Health &amp; Insurance - PPL</t>
  </si>
  <si>
    <t xml:space="preserve">Rate Year Health &amp; Insurance - Other </t>
  </si>
  <si>
    <t>Total Rate Year 1 - July 31, 2027</t>
  </si>
  <si>
    <t xml:space="preserve">Company Schedule SAB-13 </t>
  </si>
  <si>
    <t>CONSULTANTS</t>
  </si>
  <si>
    <t>Operations:</t>
  </si>
  <si>
    <t xml:space="preserve">Other </t>
  </si>
  <si>
    <t>Maintenance:</t>
  </si>
  <si>
    <t>Naragansett Electric - 5.27%</t>
  </si>
  <si>
    <t>PPL - 5.27%</t>
  </si>
  <si>
    <t>ProForma</t>
  </si>
  <si>
    <t>Transmission - 5.27%</t>
  </si>
  <si>
    <t>Distribution - 5.27%</t>
  </si>
  <si>
    <t>Customer Accounts - 5.27%</t>
  </si>
  <si>
    <t>Customer Service &amp; Info - 5.27%</t>
  </si>
  <si>
    <t>Admin. &amp; Gen. - 5.27%</t>
  </si>
  <si>
    <t>Company Schedule SAB-14</t>
  </si>
  <si>
    <t xml:space="preserve">CONTRACTORS </t>
  </si>
  <si>
    <t>TY 8/31/2025</t>
  </si>
  <si>
    <t xml:space="preserve">RY 1 </t>
  </si>
  <si>
    <t xml:space="preserve">ProForma </t>
  </si>
  <si>
    <t>Other - 5.27%</t>
  </si>
  <si>
    <t>Production - 5.27%</t>
  </si>
  <si>
    <t>Sales Expense - 5.27%</t>
  </si>
  <si>
    <t>Company Schedule SAB-16</t>
  </si>
  <si>
    <t xml:space="preserve">ALLOCATED DEPRECIATION </t>
  </si>
  <si>
    <t xml:space="preserve">EMPLOYEE EXPENSES </t>
  </si>
  <si>
    <t xml:space="preserve">Naragansett Electric </t>
  </si>
  <si>
    <t xml:space="preserve">PPL </t>
  </si>
  <si>
    <t xml:space="preserve">Production </t>
  </si>
  <si>
    <t xml:space="preserve">Distribution </t>
  </si>
  <si>
    <t xml:space="preserve">Customer Accounts </t>
  </si>
  <si>
    <t xml:space="preserve">Customer Service &amp; Info </t>
  </si>
  <si>
    <t xml:space="preserve">Sales Expense </t>
  </si>
  <si>
    <t xml:space="preserve">Admin. &amp; Gen. </t>
  </si>
  <si>
    <t xml:space="preserve">RENTS </t>
  </si>
  <si>
    <t>Company Schedule SAB-17</t>
  </si>
  <si>
    <t>Company Schedule SAB-18</t>
  </si>
  <si>
    <t>RY 1</t>
  </si>
  <si>
    <t>DPU&amp;C RY 1</t>
  </si>
  <si>
    <t xml:space="preserve">DPU&amp;C    </t>
  </si>
  <si>
    <t xml:space="preserve">DPU&amp;C   </t>
  </si>
  <si>
    <t>UNINSURED CLAIMS</t>
  </si>
  <si>
    <t>Company Schedule SAB-19</t>
  </si>
  <si>
    <t xml:space="preserve">INSURANCE CLAIMS </t>
  </si>
  <si>
    <t>PPL - 16.82%</t>
  </si>
  <si>
    <t>Company Schedule SAB-20</t>
  </si>
  <si>
    <t>See Page 7 of 7</t>
  </si>
  <si>
    <t>REGULATORY ASSESSMENT FEES</t>
  </si>
  <si>
    <t>Company Schedule SAB-21</t>
  </si>
  <si>
    <t xml:space="preserve">UNCOLLECTIBLE ACCOUNTS </t>
  </si>
  <si>
    <t xml:space="preserve">2025 Revenues </t>
  </si>
  <si>
    <t>Net Write Offs</t>
  </si>
  <si>
    <t xml:space="preserve">% of Write Offs to 2025 Revenues </t>
  </si>
  <si>
    <t xml:space="preserve">TY Normalized Revenues </t>
  </si>
  <si>
    <t xml:space="preserve">Current Write Offs </t>
  </si>
  <si>
    <t>Allowable Write Offs in Rates</t>
  </si>
  <si>
    <t xml:space="preserve">Test Year Bad Debts </t>
  </si>
  <si>
    <t xml:space="preserve">Test Year Normalized Bad Debt </t>
  </si>
  <si>
    <t xml:space="preserve">Proforma Adjustments </t>
  </si>
  <si>
    <t xml:space="preserve">Total Rate Year Revenues </t>
  </si>
  <si>
    <t xml:space="preserve">Forecasted Write Offs </t>
  </si>
  <si>
    <t xml:space="preserve">Rate Year Allowable Bad Debt </t>
  </si>
  <si>
    <t xml:space="preserve">Adjusted Test Year Bad Debt </t>
  </si>
  <si>
    <t xml:space="preserve">Proforma Bad Debt Adjustments </t>
  </si>
  <si>
    <t xml:space="preserve">Company Schedule SAB-22 </t>
  </si>
  <si>
    <t xml:space="preserve">POSTAGE </t>
  </si>
  <si>
    <t>Company Schedule SAB-23</t>
  </si>
  <si>
    <t xml:space="preserve">SOFTWARE MAINTENANCE </t>
  </si>
  <si>
    <t>Company Schedule SAB-24</t>
  </si>
  <si>
    <t>ENVIRONMENTAL DEFENSE FUND</t>
  </si>
  <si>
    <t xml:space="preserve">PAPERLESS BILL CREDIT </t>
  </si>
  <si>
    <t>Company Schedule SAB-26</t>
  </si>
  <si>
    <t>Company Schedule SAB-27</t>
  </si>
  <si>
    <t xml:space="preserve">PENSION </t>
  </si>
  <si>
    <t>Company Schedule SAB-28</t>
  </si>
  <si>
    <t xml:space="preserve">OTHER O&amp;M EXPENSES </t>
  </si>
  <si>
    <t xml:space="preserve">Regional Markets </t>
  </si>
  <si>
    <t>Regional Markets - 5.27%</t>
  </si>
  <si>
    <t>Company Schedule SAB-30</t>
  </si>
  <si>
    <t xml:space="preserve">STORM COST RECOVERY </t>
  </si>
  <si>
    <t>Company Schedule SAB-31</t>
  </si>
  <si>
    <t xml:space="preserve">MATERIALS </t>
  </si>
  <si>
    <t xml:space="preserve">MATERIALS STORES HANDLING </t>
  </si>
  <si>
    <t xml:space="preserve">TRANSPORTATION </t>
  </si>
  <si>
    <t>INFORMATION TECHNOLOGY</t>
  </si>
  <si>
    <t>Company Schedule SAB-36</t>
  </si>
  <si>
    <t xml:space="preserve">PAVING </t>
  </si>
  <si>
    <t>Company Schedule SAB-37</t>
  </si>
  <si>
    <t xml:space="preserve">OTHER BENEFITS </t>
  </si>
  <si>
    <t>Naragansett Electric - 3.51%</t>
  </si>
  <si>
    <t>PPL - 11.88%</t>
  </si>
  <si>
    <t>Other - 3.51%</t>
  </si>
  <si>
    <t>Production - 3.51%</t>
  </si>
  <si>
    <t>Transmission - 3.51%</t>
  </si>
  <si>
    <t>Distribution - 3.51%</t>
  </si>
  <si>
    <t>Customer Accounts - 3.51%</t>
  </si>
  <si>
    <t>Customer Service &amp; Info - 3.51%</t>
  </si>
  <si>
    <t>Sales Expense - 3.51%</t>
  </si>
  <si>
    <t>Admin. &amp; Gen. - 3.51%</t>
  </si>
  <si>
    <t>Company Schedule SAB-38</t>
  </si>
  <si>
    <t xml:space="preserve">CONSTRUCTION REIMBURSEMENTS </t>
  </si>
  <si>
    <t xml:space="preserve">PPL - </t>
  </si>
  <si>
    <t>Company Schedule SAB-39</t>
  </si>
  <si>
    <t>AMORTIZATION OF REGULATORY DEFERRALS</t>
  </si>
  <si>
    <t xml:space="preserve">Rate Case Amortization </t>
  </si>
  <si>
    <t xml:space="preserve">Credit Card Fee Deferral Amortization </t>
  </si>
  <si>
    <t xml:space="preserve">Low Income Discount Change Costs </t>
  </si>
  <si>
    <t xml:space="preserve">TVR Implementation Cost Amortization </t>
  </si>
  <si>
    <t xml:space="preserve">Rate Case Expenses </t>
  </si>
  <si>
    <t xml:space="preserve">Gannett Fleming - Depreciation </t>
  </si>
  <si>
    <t xml:space="preserve">Concentric Energy - Revenue Requirement, Cost of Service and Rate Design </t>
  </si>
  <si>
    <t xml:space="preserve">Concentric Energy - Return on Equity </t>
  </si>
  <si>
    <t>Hinckly Allen - Legal</t>
  </si>
  <si>
    <t xml:space="preserve">Scott Madden - Tariff Review </t>
  </si>
  <si>
    <t xml:space="preserve">Towers Watson - Compensation </t>
  </si>
  <si>
    <t xml:space="preserve">Accenture - Low Income Discount </t>
  </si>
  <si>
    <t>GridX - Time Varying Rates</t>
  </si>
  <si>
    <t xml:space="preserve">Ligistics - Printing </t>
  </si>
  <si>
    <t xml:space="preserve">Court Reporters </t>
  </si>
  <si>
    <t xml:space="preserve">PPU&amp;C - Rate Case Assessment </t>
  </si>
  <si>
    <t xml:space="preserve">Company Schedule SAB-4-Electric </t>
  </si>
  <si>
    <t xml:space="preserve">DEPRECIATION </t>
  </si>
  <si>
    <t xml:space="preserve">Intangible Plant </t>
  </si>
  <si>
    <t xml:space="preserve">Transmission Plant </t>
  </si>
  <si>
    <t xml:space="preserve">Test Year Book Depreciation </t>
  </si>
  <si>
    <t xml:space="preserve">Less: Test Year Transmission Depreciation </t>
  </si>
  <si>
    <t xml:space="preserve">Less; ARO and Other </t>
  </si>
  <si>
    <t xml:space="preserve">Adjusted Test Year Depreciation </t>
  </si>
  <si>
    <t xml:space="preserve">Meters: Bare Cost Domestic </t>
  </si>
  <si>
    <t xml:space="preserve">Meters: Install Cost Domestic </t>
  </si>
  <si>
    <t xml:space="preserve">Company Rate Year 1 Depreciation </t>
  </si>
  <si>
    <t>Company Schedule SAB-6- Electric</t>
  </si>
  <si>
    <t>Distribution Plant - 2.807%</t>
  </si>
  <si>
    <t>Energy Storage - 2.0399%</t>
  </si>
  <si>
    <t>General Plant - 3.2834%</t>
  </si>
  <si>
    <t xml:space="preserve">Total - Test Year Depreciation </t>
  </si>
  <si>
    <t>MUNICIPAL TAXES</t>
  </si>
  <si>
    <t>Test Year August 31, 2025</t>
  </si>
  <si>
    <t xml:space="preserve">Adjustments: </t>
  </si>
  <si>
    <t>Proforma Adjustments - 2026</t>
  </si>
  <si>
    <t>Proforma Adjustments - 2027</t>
  </si>
  <si>
    <t>Difference</t>
  </si>
  <si>
    <t xml:space="preserve">Company Schedule SAB-7 Electric </t>
  </si>
  <si>
    <t>PAYROLL TAXES</t>
  </si>
  <si>
    <t>FICA - 8.892%</t>
  </si>
  <si>
    <t>FUTA - .1111%</t>
  </si>
  <si>
    <t>SUTA - .0444%</t>
  </si>
  <si>
    <t xml:space="preserve">Total Test Year Payroll Taxes </t>
  </si>
  <si>
    <t>Labor - Test Year Balance 8/31/2025</t>
  </si>
  <si>
    <t>Labor - Rate Year 1 - Balance 7/31/2027</t>
  </si>
  <si>
    <t>SUTA  - .0444%</t>
  </si>
  <si>
    <t xml:space="preserve">Total Rate Year 1 Payroll Taxes </t>
  </si>
  <si>
    <t xml:space="preserve">Company Schedule SAB-8 Electric </t>
  </si>
  <si>
    <t xml:space="preserve">INCOME TAXES </t>
  </si>
  <si>
    <t>Current Rates</t>
  </si>
  <si>
    <t>Proposed Rates</t>
  </si>
  <si>
    <t xml:space="preserve">Revenues </t>
  </si>
  <si>
    <t xml:space="preserve">Expenses </t>
  </si>
  <si>
    <t>Pre-Tax Operataing Income Before Interest</t>
  </si>
  <si>
    <t>Synchronized Interest Expense:</t>
  </si>
  <si>
    <t xml:space="preserve">Weighted Debt Component </t>
  </si>
  <si>
    <t xml:space="preserve">Synchronized Interest Expense </t>
  </si>
  <si>
    <t xml:space="preserve">Pre-Tax Income - State </t>
  </si>
  <si>
    <t>State Income Tax</t>
  </si>
  <si>
    <t xml:space="preserve">Normalized State Income Tax </t>
  </si>
  <si>
    <t xml:space="preserve">Pre-Tax Income - Federal </t>
  </si>
  <si>
    <t>Federal Income Tax Rate - 21%</t>
  </si>
  <si>
    <t xml:space="preserve">Normalized Federal Income Tax </t>
  </si>
  <si>
    <t xml:space="preserve">Amortization of Excess ADIT </t>
  </si>
  <si>
    <t>Equity AFUDC</t>
  </si>
  <si>
    <t xml:space="preserve">AFUDC Amortization </t>
  </si>
  <si>
    <t xml:space="preserve">Income Taxes at Current Rates </t>
  </si>
  <si>
    <t>Company Schedule SAB-10-Electric</t>
  </si>
  <si>
    <t xml:space="preserve">Company Schedule NH-2-Electric </t>
  </si>
  <si>
    <t>Company Schedule SAB-15</t>
  </si>
  <si>
    <t>PPL Services 3.51% Electric</t>
  </si>
  <si>
    <t>Other Companies - 3.51%</t>
  </si>
  <si>
    <t xml:space="preserve">Rate Year 1 Revenue Requirement </t>
  </si>
  <si>
    <t xml:space="preserve">Uncollectible Rate </t>
  </si>
  <si>
    <t xml:space="preserve">Rate Year 1 Uncollectible </t>
  </si>
  <si>
    <t>Company Schedule SAB-25</t>
  </si>
  <si>
    <t>Company Schedule SAB-33</t>
  </si>
  <si>
    <t>Company Schedule SAB-34</t>
  </si>
  <si>
    <t>Company Schedule SAB-35</t>
  </si>
  <si>
    <t>DIV-3-61</t>
  </si>
  <si>
    <t>DIV-3-17</t>
  </si>
  <si>
    <t>DIV-3-47</t>
  </si>
  <si>
    <t>DIV-3-46/DIV-3-47</t>
  </si>
  <si>
    <t>DIV-3-51</t>
  </si>
  <si>
    <t>DIV-3-49</t>
  </si>
  <si>
    <t>DIV-3-46/DIV-3-48</t>
  </si>
  <si>
    <t>Payroll Inflator</t>
  </si>
  <si>
    <t xml:space="preserve">Payroll Inflator </t>
  </si>
  <si>
    <t>Payroll Inflation</t>
  </si>
  <si>
    <t>DIV-3-63</t>
  </si>
  <si>
    <t>DIV-3-64</t>
  </si>
  <si>
    <t>DIV-3-13</t>
  </si>
  <si>
    <t>DIV-3-65</t>
  </si>
  <si>
    <t>DIV-3-66</t>
  </si>
  <si>
    <t>DIV-3-67</t>
  </si>
  <si>
    <t>DIV-3-68</t>
  </si>
  <si>
    <t>DIV-3-69</t>
  </si>
  <si>
    <t>DIV-3-70</t>
  </si>
  <si>
    <t>DIV-3-71</t>
  </si>
  <si>
    <t>DIV-3-73</t>
  </si>
  <si>
    <t>DIV-3-74</t>
  </si>
  <si>
    <t>DIV-3-75</t>
  </si>
  <si>
    <t xml:space="preserve">Company Proposed </t>
  </si>
  <si>
    <t>DPUC Recommended</t>
  </si>
  <si>
    <t xml:space="preserve">Rate Year Credit </t>
  </si>
  <si>
    <t xml:space="preserve">Test Year Credit </t>
  </si>
  <si>
    <t xml:space="preserve">Increase </t>
  </si>
  <si>
    <t>DIV-3-76</t>
  </si>
  <si>
    <t>50% of Proposed Credit</t>
  </si>
  <si>
    <t>DIV-3-78</t>
  </si>
  <si>
    <t>DIV-3-79</t>
  </si>
  <si>
    <t>DIV-3-80</t>
  </si>
  <si>
    <t>DIV-3-77</t>
  </si>
  <si>
    <t>DIV-3-81</t>
  </si>
  <si>
    <t xml:space="preserve">5-Year Assets </t>
  </si>
  <si>
    <t>10-Year Assets</t>
  </si>
  <si>
    <t xml:space="preserve">15-Year Assets </t>
  </si>
  <si>
    <t>DIV-3-82</t>
  </si>
  <si>
    <t>DIV-3-84</t>
  </si>
  <si>
    <t>WACC</t>
  </si>
  <si>
    <t xml:space="preserve">Average Balance </t>
  </si>
  <si>
    <t xml:space="preserve">Return </t>
  </si>
  <si>
    <t>Monthly Balance*12</t>
  </si>
  <si>
    <t xml:space="preserve">RY 1 Balance </t>
  </si>
  <si>
    <t xml:space="preserve">DPUC Recommended </t>
  </si>
  <si>
    <t xml:space="preserve">Pre-Tax Return </t>
  </si>
  <si>
    <t>LT Debt</t>
  </si>
  <si>
    <t xml:space="preserve">10-Year Assets </t>
  </si>
  <si>
    <t>DIV-3-85</t>
  </si>
  <si>
    <t>DIV-3-86</t>
  </si>
  <si>
    <t xml:space="preserve">Labor Wages </t>
  </si>
  <si>
    <t>Variable Pay</t>
  </si>
  <si>
    <t>DIV-3-92</t>
  </si>
  <si>
    <t>Present Rates</t>
  </si>
  <si>
    <t>DIV-3-35</t>
  </si>
  <si>
    <t>DIV-3-40</t>
  </si>
  <si>
    <t xml:space="preserve">Inflation Adjustments </t>
  </si>
  <si>
    <t>Retention Expenses - RIE</t>
  </si>
  <si>
    <t>Retention Expenses - PPL</t>
  </si>
  <si>
    <t>DIV-8-17</t>
  </si>
  <si>
    <t>SAB-1-ELEC</t>
  </si>
  <si>
    <t>Normalized Federal Income Tax</t>
  </si>
  <si>
    <t xml:space="preserve">Total Revenue Requirement </t>
  </si>
  <si>
    <t>DM-21</t>
  </si>
  <si>
    <t xml:space="preserve">Van Reen </t>
  </si>
  <si>
    <t>Normalized  / Out of Period Adjustments PPL</t>
  </si>
  <si>
    <t xml:space="preserve">Electric Distribution Control Center - Lincoln to Cumberland </t>
  </si>
  <si>
    <t>Interconnection of Distribution Generation Plants</t>
  </si>
  <si>
    <t xml:space="preserve">Watson </t>
  </si>
  <si>
    <t>Other Adjustments</t>
  </si>
  <si>
    <t xml:space="preserve">Rationale for Other </t>
  </si>
  <si>
    <t xml:space="preserve">Disallowance for Inflation </t>
  </si>
  <si>
    <t>Labor Vacancy Rate Ratio</t>
  </si>
  <si>
    <t>See SAB-20 Page 7- Insurance premium and Mugrace testimony page 41</t>
  </si>
  <si>
    <t>As per Mr. Bell Recommendation to maintain the Uncollectible rate at 1.30%</t>
  </si>
  <si>
    <t>Adjustment to amortized expenses over a three year period.  See PUC question 2-3 response</t>
  </si>
  <si>
    <t xml:space="preserve">See Mugrace Testimony page 49. Allow 50% of the Company's proposed bill credit adjustment. </t>
  </si>
  <si>
    <t>Adjust Storm Recovery as per response to DIV-3-78</t>
  </si>
  <si>
    <t xml:space="preserve">Adjusted the Pre-Tax Return based upon the recommendation of DPUC Witness Mr. Rothschild.  See also update revenue requirement </t>
  </si>
  <si>
    <t>Ms. Pou Supplemental Testimony</t>
  </si>
  <si>
    <t>Labor Vacancy Rate (Labor and Variable Pay); Retention Expenses (RIE and PPL): Nornalized Out of Period Adjustments (Ms. Pou's adjustments)</t>
  </si>
  <si>
    <t>Ms. Pou Adjustments</t>
  </si>
  <si>
    <t>Ms. Pou's Adjustments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</si>
</sst>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164" formatCode="0_);\(0\)"/>
    <numFmt numFmtId="165" formatCode="0.000000_);\(0.000000\)"/>
    <numFmt numFmtId="166" formatCode="0.0000%"/>
    <numFmt numFmtId="167" formatCode="0.0000000_);\(0.0000000\)"/>
    <numFmt numFmtId="168" formatCode="0.000%"/>
    <numFmt numFmtId="169" formatCode="_(&quot;$&quot;* #,##0.000_);_(&quot;$&quot;* \(#,##0.000\);_(&quot;$&quot;* &quot;-&quot;???_);_(@_)"/>
  </numFmts>
  <fonts count="7" x14ac:knownFonts="1"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u val="singleAccounting"/>
      <sz val="12"/>
      <color theme="1"/>
      <name val="Arial Narrow"/>
      <family val="2"/>
    </font>
    <font>
      <u val="singleAccounting"/>
      <sz val="12"/>
      <color theme="1"/>
      <name val="Arial Narrow"/>
      <family val="2"/>
    </font>
    <font>
      <b/>
      <sz val="12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42" fontId="0" fillId="0" borderId="0" xfId="0" applyNumberFormat="1"/>
    <xf numFmtId="164" fontId="0" fillId="0" borderId="0" xfId="0" applyNumberFormat="1" applyAlignment="1">
      <alignment horizontal="center"/>
    </xf>
    <xf numFmtId="42" fontId="0" fillId="0" borderId="0" xfId="0" applyNumberFormat="1" applyAlignment="1">
      <alignment horizontal="center"/>
    </xf>
    <xf numFmtId="42" fontId="1" fillId="0" borderId="0" xfId="0" applyNumberFormat="1" applyFont="1" applyAlignment="1">
      <alignment horizontal="center"/>
    </xf>
    <xf numFmtId="42" fontId="1" fillId="0" borderId="1" xfId="0" applyNumberFormat="1" applyFont="1" applyBorder="1" applyAlignment="1">
      <alignment horizontal="center"/>
    </xf>
    <xf numFmtId="42" fontId="0" fillId="0" borderId="0" xfId="0" quotePrefix="1" applyNumberFormat="1" applyAlignment="1">
      <alignment horizontal="center"/>
    </xf>
    <xf numFmtId="42" fontId="0" fillId="0" borderId="1" xfId="0" applyNumberFormat="1" applyBorder="1"/>
    <xf numFmtId="42" fontId="1" fillId="0" borderId="0" xfId="0" applyNumberFormat="1" applyFont="1"/>
    <xf numFmtId="42" fontId="2" fillId="0" borderId="0" xfId="0" applyNumberFormat="1" applyFont="1"/>
    <xf numFmtId="42" fontId="3" fillId="0" borderId="0" xfId="0" applyNumberFormat="1" applyFont="1" applyAlignment="1">
      <alignment horizontal="center"/>
    </xf>
    <xf numFmtId="42" fontId="3" fillId="0" borderId="1" xfId="0" applyNumberFormat="1" applyFont="1" applyBorder="1" applyAlignment="1">
      <alignment horizontal="center"/>
    </xf>
    <xf numFmtId="42" fontId="1" fillId="0" borderId="1" xfId="0" applyNumberFormat="1" applyFont="1" applyBorder="1"/>
    <xf numFmtId="165" fontId="0" fillId="0" borderId="0" xfId="0" applyNumberFormat="1"/>
    <xf numFmtId="165" fontId="0" fillId="0" borderId="1" xfId="0" applyNumberFormat="1" applyBorder="1"/>
    <xf numFmtId="166" fontId="0" fillId="0" borderId="1" xfId="0" applyNumberFormat="1" applyBorder="1"/>
    <xf numFmtId="42" fontId="1" fillId="0" borderId="2" xfId="0" applyNumberFormat="1" applyFont="1" applyBorder="1"/>
    <xf numFmtId="10" fontId="1" fillId="0" borderId="0" xfId="0" applyNumberFormat="1" applyFont="1"/>
    <xf numFmtId="10" fontId="1" fillId="2" borderId="0" xfId="0" applyNumberFormat="1" applyFont="1" applyFill="1"/>
    <xf numFmtId="42" fontId="1" fillId="2" borderId="1" xfId="0" applyNumberFormat="1" applyFont="1" applyFill="1" applyBorder="1"/>
    <xf numFmtId="164" fontId="0" fillId="0" borderId="0" xfId="0" quotePrefix="1" applyNumberFormat="1" applyAlignment="1">
      <alignment horizontal="center"/>
    </xf>
    <xf numFmtId="42" fontId="4" fillId="0" borderId="0" xfId="0" applyNumberFormat="1" applyFont="1"/>
    <xf numFmtId="168" fontId="0" fillId="0" borderId="0" xfId="0" applyNumberFormat="1"/>
    <xf numFmtId="168" fontId="0" fillId="0" borderId="1" xfId="0" applyNumberFormat="1" applyBorder="1"/>
    <xf numFmtId="168" fontId="1" fillId="0" borderId="0" xfId="0" applyNumberFormat="1" applyFont="1"/>
    <xf numFmtId="168" fontId="0" fillId="2" borderId="1" xfId="0" applyNumberFormat="1" applyFill="1" applyBorder="1"/>
    <xf numFmtId="42" fontId="0" fillId="3" borderId="0" xfId="0" applyNumberFormat="1" applyFill="1"/>
    <xf numFmtId="168" fontId="0" fillId="3" borderId="0" xfId="0" applyNumberFormat="1" applyFill="1"/>
    <xf numFmtId="14" fontId="1" fillId="0" borderId="1" xfId="0" applyNumberFormat="1" applyFont="1" applyBorder="1" applyAlignment="1">
      <alignment horizontal="center"/>
    </xf>
    <xf numFmtId="42" fontId="1" fillId="2" borderId="0" xfId="0" applyNumberFormat="1" applyFont="1" applyFill="1"/>
    <xf numFmtId="42" fontId="0" fillId="0" borderId="0" xfId="0" applyNumberFormat="1" applyAlignment="1">
      <alignment wrapText="1"/>
    </xf>
    <xf numFmtId="42" fontId="1" fillId="2" borderId="2" xfId="0" applyNumberFormat="1" applyFont="1" applyFill="1" applyBorder="1"/>
    <xf numFmtId="42" fontId="0" fillId="4" borderId="0" xfId="0" applyNumberFormat="1" applyFill="1"/>
    <xf numFmtId="168" fontId="0" fillId="4" borderId="0" xfId="0" applyNumberFormat="1" applyFill="1"/>
    <xf numFmtId="42" fontId="0" fillId="2" borderId="0" xfId="0" applyNumberFormat="1" applyFill="1"/>
    <xf numFmtId="42" fontId="5" fillId="0" borderId="0" xfId="0" applyNumberFormat="1" applyFont="1"/>
    <xf numFmtId="168" fontId="1" fillId="0" borderId="0" xfId="0" applyNumberFormat="1" applyFont="1" applyAlignment="1">
      <alignment horizontal="center"/>
    </xf>
    <xf numFmtId="42" fontId="0" fillId="2" borderId="1" xfId="0" applyNumberFormat="1" applyFill="1" applyBorder="1"/>
    <xf numFmtId="42" fontId="0" fillId="5" borderId="0" xfId="0" applyNumberFormat="1" applyFill="1"/>
    <xf numFmtId="42" fontId="2" fillId="0" borderId="0" xfId="0" applyNumberFormat="1" applyFont="1" applyAlignment="1">
      <alignment horizontal="center"/>
    </xf>
    <xf numFmtId="42" fontId="1" fillId="0" borderId="1" xfId="0" applyNumberFormat="1" applyFont="1" applyBorder="1" applyAlignment="1">
      <alignment horizontal="center" wrapText="1"/>
    </xf>
    <xf numFmtId="42" fontId="1" fillId="6" borderId="1" xfId="0" applyNumberFormat="1" applyFont="1" applyFill="1" applyBorder="1"/>
    <xf numFmtId="42" fontId="0" fillId="5" borderId="1" xfId="0" applyNumberFormat="1" applyFill="1" applyBorder="1"/>
    <xf numFmtId="42" fontId="5" fillId="0" borderId="0" xfId="0" applyNumberFormat="1" applyFont="1" applyAlignment="1">
      <alignment horizontal="center"/>
    </xf>
    <xf numFmtId="42" fontId="0" fillId="7" borderId="0" xfId="0" applyNumberFormat="1" applyFill="1"/>
    <xf numFmtId="42" fontId="6" fillId="7" borderId="0" xfId="0" applyNumberFormat="1" applyFont="1" applyFill="1"/>
    <xf numFmtId="42" fontId="1" fillId="7" borderId="0" xfId="0" applyNumberFormat="1" applyFont="1" applyFill="1"/>
    <xf numFmtId="42" fontId="4" fillId="0" borderId="0" xfId="0" applyNumberFormat="1" applyFont="1" applyAlignment="1">
      <alignment horizontal="center"/>
    </xf>
    <xf numFmtId="42" fontId="0" fillId="0" borderId="0" xfId="0" applyNumberFormat="1" applyAlignment="1">
      <alignment horizontal="left"/>
    </xf>
    <xf numFmtId="42" fontId="0" fillId="0" borderId="2" xfId="0" applyNumberFormat="1" applyBorder="1"/>
    <xf numFmtId="168" fontId="1" fillId="0" borderId="2" xfId="0" applyNumberFormat="1" applyFont="1" applyBorder="1"/>
    <xf numFmtId="168" fontId="1" fillId="2" borderId="2" xfId="0" applyNumberFormat="1" applyFont="1" applyFill="1" applyBorder="1"/>
    <xf numFmtId="164" fontId="0" fillId="0" borderId="0" xfId="0" applyNumberFormat="1"/>
    <xf numFmtId="42" fontId="0" fillId="8" borderId="1" xfId="0" applyNumberFormat="1" applyFill="1" applyBorder="1"/>
    <xf numFmtId="169" fontId="0" fillId="0" borderId="0" xfId="0" applyNumberFormat="1"/>
    <xf numFmtId="42" fontId="0" fillId="0" borderId="1" xfId="0" applyNumberFormat="1" applyBorder="1" applyAlignment="1">
      <alignment horizontal="center"/>
    </xf>
    <xf numFmtId="10" fontId="0" fillId="0" borderId="0" xfId="0" applyNumberFormat="1"/>
    <xf numFmtId="10" fontId="0" fillId="0" borderId="1" xfId="0" applyNumberFormat="1" applyBorder="1"/>
    <xf numFmtId="168" fontId="0" fillId="9" borderId="0" xfId="0" applyNumberFormat="1" applyFill="1"/>
    <xf numFmtId="42" fontId="1" fillId="9" borderId="0" xfId="0" applyNumberFormat="1" applyFont="1" applyFill="1"/>
    <xf numFmtId="42" fontId="1" fillId="9" borderId="3" xfId="0" applyNumberFormat="1" applyFont="1" applyFill="1" applyBorder="1"/>
    <xf numFmtId="42" fontId="2" fillId="0" borderId="0" xfId="0" quotePrefix="1" applyNumberFormat="1" applyFont="1" applyAlignment="1">
      <alignment horizontal="center"/>
    </xf>
    <xf numFmtId="42" fontId="1" fillId="5" borderId="1" xfId="0" applyNumberFormat="1" applyFont="1" applyFill="1" applyBorder="1"/>
    <xf numFmtId="165" fontId="0" fillId="7" borderId="0" xfId="0" applyNumberFormat="1" applyFill="1"/>
    <xf numFmtId="165" fontId="0" fillId="7" borderId="1" xfId="0" applyNumberFormat="1" applyFill="1" applyBorder="1"/>
    <xf numFmtId="167" fontId="0" fillId="7" borderId="2" xfId="0" applyNumberFormat="1" applyFill="1" applyBorder="1"/>
    <xf numFmtId="167" fontId="0" fillId="7" borderId="0" xfId="0" applyNumberFormat="1" applyFill="1"/>
    <xf numFmtId="42" fontId="1" fillId="7" borderId="2" xfId="0" applyNumberFormat="1" applyFont="1" applyFill="1" applyBorder="1"/>
    <xf numFmtId="42" fontId="0" fillId="7" borderId="1" xfId="0" applyNumberFormat="1" applyFill="1" applyBorder="1"/>
    <xf numFmtId="10" fontId="1" fillId="7" borderId="0" xfId="0" applyNumberFormat="1" applyFont="1" applyFill="1"/>
    <xf numFmtId="42" fontId="1" fillId="10" borderId="0" xfId="0" applyNumberFormat="1" applyFont="1" applyFill="1"/>
    <xf numFmtId="42" fontId="2" fillId="5" borderId="0" xfId="0" applyNumberFormat="1" applyFont="1" applyFill="1" applyAlignment="1">
      <alignment horizontal="center"/>
    </xf>
    <xf numFmtId="42" fontId="1" fillId="5" borderId="2" xfId="0" applyNumberFormat="1" applyFont="1" applyFill="1" applyBorder="1"/>
    <xf numFmtId="42" fontId="2" fillId="0" borderId="1" xfId="0" applyNumberFormat="1" applyFont="1" applyBorder="1" applyAlignment="1">
      <alignment horizontal="center"/>
    </xf>
    <xf numFmtId="42" fontId="2" fillId="10" borderId="1" xfId="0" applyNumberFormat="1" applyFont="1" applyFill="1" applyBorder="1" applyAlignment="1">
      <alignment horizontal="center" wrapText="1"/>
    </xf>
    <xf numFmtId="42" fontId="0" fillId="11" borderId="1" xfId="0" applyNumberFormat="1" applyFill="1" applyBorder="1"/>
    <xf numFmtId="167" fontId="0" fillId="0" borderId="0" xfId="0" applyNumberFormat="1"/>
    <xf numFmtId="167" fontId="0" fillId="0" borderId="1" xfId="0" applyNumberFormat="1" applyBorder="1"/>
    <xf numFmtId="42" fontId="0" fillId="0" borderId="4" xfId="0" applyNumberFormat="1" applyBorder="1"/>
    <xf numFmtId="42" fontId="0" fillId="0" borderId="5" xfId="0" applyNumberFormat="1" applyBorder="1"/>
    <xf numFmtId="42" fontId="1" fillId="5" borderId="6" xfId="0" applyNumberFormat="1" applyFont="1" applyFill="1" applyBorder="1"/>
    <xf numFmtId="42" fontId="0" fillId="0" borderId="6" xfId="0" applyNumberFormat="1" applyBorder="1"/>
    <xf numFmtId="42" fontId="0" fillId="5" borderId="3" xfId="0" applyNumberFormat="1" applyFill="1" applyBorder="1"/>
    <xf numFmtId="42" fontId="0" fillId="0" borderId="0" xfId="0" applyNumberFormat="1" applyAlignment="1">
      <alignment horizontal="center" wrapText="1"/>
    </xf>
    <xf numFmtId="42" fontId="0" fillId="8" borderId="1" xfId="0" applyNumberFormat="1" applyFill="1" applyBorder="1" applyAlignment="1">
      <alignment horizontal="center" wrapText="1"/>
    </xf>
    <xf numFmtId="42" fontId="0" fillId="0" borderId="1" xfId="0" applyNumberFormat="1" applyBorder="1" applyAlignment="1">
      <alignment horizontal="center" wrapText="1"/>
    </xf>
    <xf numFmtId="42" fontId="1" fillId="0" borderId="1" xfId="0" applyNumberFormat="1" applyFont="1" applyBorder="1" applyAlignment="1">
      <alignment horizontal="center"/>
    </xf>
    <xf numFmtId="42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B02B5-F6A9-48A3-B9DD-3719C62FCB3F}">
  <sheetPr>
    <pageSetUpPr fitToPage="1"/>
  </sheetPr>
  <dimension ref="A2:F36"/>
  <sheetViews>
    <sheetView tabSelected="1" view="pageLayout" topLeftCell="A5" zoomScale="90" zoomScaleNormal="100" zoomScalePageLayoutView="90" workbookViewId="0">
      <selection activeCell="E21" sqref="E21"/>
    </sheetView>
  </sheetViews>
  <sheetFormatPr defaultRowHeight="16.5" x14ac:dyDescent="0.3"/>
  <cols>
    <col min="1" max="1" width="6.7109375" style="2" customWidth="1"/>
    <col min="2" max="2" width="40.7109375" style="1" customWidth="1"/>
    <col min="3" max="5" width="18.7109375" style="1" customWidth="1"/>
    <col min="6" max="6" width="18.7109375" style="10" customWidth="1"/>
    <col min="7" max="11" width="18.7109375" style="1" customWidth="1"/>
    <col min="12" max="16384" width="9.140625" style="1"/>
  </cols>
  <sheetData>
    <row r="2" spans="1:6" x14ac:dyDescent="0.3">
      <c r="B2" s="4" t="s">
        <v>0</v>
      </c>
    </row>
    <row r="3" spans="1:6" x14ac:dyDescent="0.3">
      <c r="B3" s="5" t="s">
        <v>1</v>
      </c>
    </row>
    <row r="4" spans="1:6" x14ac:dyDescent="0.3">
      <c r="C4" s="6" t="s">
        <v>2</v>
      </c>
    </row>
    <row r="5" spans="1:6" x14ac:dyDescent="0.3">
      <c r="C5" s="4" t="s">
        <v>3</v>
      </c>
      <c r="D5" s="4"/>
      <c r="E5" s="4" t="s">
        <v>7</v>
      </c>
    </row>
    <row r="6" spans="1:6" x14ac:dyDescent="0.3">
      <c r="C6" s="5" t="s">
        <v>4</v>
      </c>
      <c r="D6" s="5" t="s">
        <v>5</v>
      </c>
      <c r="E6" s="5" t="s">
        <v>6</v>
      </c>
      <c r="F6" s="11" t="s">
        <v>12</v>
      </c>
    </row>
    <row r="8" spans="1:6" x14ac:dyDescent="0.3">
      <c r="B8" s="8" t="s">
        <v>8</v>
      </c>
      <c r="C8" s="8">
        <v>1429069150</v>
      </c>
      <c r="D8" s="8">
        <f>+E8-C8</f>
        <v>-28094088.666769505</v>
      </c>
      <c r="E8" s="8">
        <f>+'Rate Base Electric RY1'!H32</f>
        <v>1400975061.3332305</v>
      </c>
    </row>
    <row r="9" spans="1:6" x14ac:dyDescent="0.3">
      <c r="B9" s="1" t="s">
        <v>9</v>
      </c>
      <c r="C9" s="15">
        <v>8.1799999999999998E-2</v>
      </c>
      <c r="D9" s="7"/>
      <c r="E9" s="23">
        <f>+'Rate of Return'!E21</f>
        <v>6.4752000000000004E-2</v>
      </c>
    </row>
    <row r="11" spans="1:6" x14ac:dyDescent="0.3">
      <c r="B11" s="1" t="s">
        <v>10</v>
      </c>
      <c r="C11" s="1">
        <f>+C8*C9</f>
        <v>116897856.47</v>
      </c>
      <c r="D11" s="1">
        <f>+E11-C11</f>
        <v>-26181919.29855065</v>
      </c>
      <c r="E11" s="1">
        <f>+E8*E9</f>
        <v>90715937.171449348</v>
      </c>
    </row>
    <row r="12" spans="1:6" x14ac:dyDescent="0.3">
      <c r="B12" s="1" t="s">
        <v>11</v>
      </c>
      <c r="C12" s="12">
        <v>56057063</v>
      </c>
      <c r="D12" s="12">
        <f>+E12-C12</f>
        <v>19003886.556701392</v>
      </c>
      <c r="E12" s="12">
        <f>+'Electric Oper Inc Statement '!J27</f>
        <v>75060949.556701392</v>
      </c>
    </row>
    <row r="14" spans="1:6" x14ac:dyDescent="0.3">
      <c r="B14" s="1" t="s">
        <v>13</v>
      </c>
      <c r="C14" s="1">
        <f>+C11-C12</f>
        <v>60840793.469999999</v>
      </c>
      <c r="D14" s="1">
        <f>+E14-C14</f>
        <v>-45185805.855252042</v>
      </c>
      <c r="E14" s="1">
        <f>+E11-E12</f>
        <v>15654987.614747956</v>
      </c>
    </row>
    <row r="15" spans="1:6" x14ac:dyDescent="0.3">
      <c r="A15" s="20" t="s">
        <v>20</v>
      </c>
      <c r="B15" s="1" t="s">
        <v>14</v>
      </c>
      <c r="C15" s="14">
        <v>1.294416</v>
      </c>
      <c r="D15" s="14"/>
      <c r="E15" s="14">
        <f>+E35</f>
        <v>1.2824952227052953</v>
      </c>
    </row>
    <row r="16" spans="1:6" x14ac:dyDescent="0.3">
      <c r="B16" s="8" t="s">
        <v>15</v>
      </c>
      <c r="C16" s="16">
        <f>+C14*C15</f>
        <v>78753296.520263523</v>
      </c>
      <c r="D16" s="16">
        <f>+E16-C16</f>
        <v>-58675849.692838699</v>
      </c>
      <c r="E16" s="16">
        <f>+E14*E15</f>
        <v>20077446.827424821</v>
      </c>
    </row>
    <row r="18" spans="1:5" x14ac:dyDescent="0.3">
      <c r="B18" s="1" t="s">
        <v>16</v>
      </c>
      <c r="C18" s="7">
        <v>-12825506</v>
      </c>
      <c r="D18" s="7">
        <v>0</v>
      </c>
      <c r="E18" s="7">
        <f>+C18</f>
        <v>-12825506</v>
      </c>
    </row>
    <row r="20" spans="1:5" x14ac:dyDescent="0.3">
      <c r="B20" s="1" t="s">
        <v>17</v>
      </c>
      <c r="C20" s="19">
        <f>+C16+C18</f>
        <v>65927790.520263523</v>
      </c>
      <c r="D20" s="12">
        <f>+E21-C20</f>
        <v>-58675849.692838699</v>
      </c>
      <c r="E20" s="12"/>
    </row>
    <row r="21" spans="1:5" x14ac:dyDescent="0.3">
      <c r="B21" s="1" t="s">
        <v>17</v>
      </c>
      <c r="E21" s="29">
        <f>+E16+E18</f>
        <v>7251940.8274248205</v>
      </c>
    </row>
    <row r="22" spans="1:5" x14ac:dyDescent="0.3">
      <c r="B22" s="1" t="s">
        <v>18</v>
      </c>
      <c r="C22" s="1">
        <v>362822058</v>
      </c>
      <c r="E22" s="1">
        <f>+'Electric Oper Inc Statement '!J7</f>
        <v>362822057</v>
      </c>
    </row>
    <row r="23" spans="1:5" x14ac:dyDescent="0.3">
      <c r="B23" s="8" t="s">
        <v>19</v>
      </c>
      <c r="C23" s="18">
        <f>+C20/C22</f>
        <v>0.1817083307549717</v>
      </c>
      <c r="D23" s="17"/>
      <c r="E23" s="18">
        <f>+E21/E22</f>
        <v>1.9987596364420646E-2</v>
      </c>
    </row>
    <row r="24" spans="1:5" x14ac:dyDescent="0.3">
      <c r="B24" s="8"/>
      <c r="C24" s="69"/>
      <c r="D24" s="17"/>
      <c r="E24" s="69"/>
    </row>
    <row r="25" spans="1:5" x14ac:dyDescent="0.3">
      <c r="B25" s="1" t="s">
        <v>492</v>
      </c>
      <c r="E25" s="70">
        <f>+E21+E22</f>
        <v>370073997.82742482</v>
      </c>
    </row>
    <row r="27" spans="1:5" x14ac:dyDescent="0.3">
      <c r="A27" s="20" t="s">
        <v>2</v>
      </c>
      <c r="B27" s="1" t="s">
        <v>41</v>
      </c>
    </row>
    <row r="28" spans="1:5" x14ac:dyDescent="0.3">
      <c r="A28" s="20"/>
    </row>
    <row r="29" spans="1:5" x14ac:dyDescent="0.3">
      <c r="A29" s="20" t="s">
        <v>20</v>
      </c>
      <c r="B29" s="3" t="s">
        <v>21</v>
      </c>
    </row>
    <row r="30" spans="1:5" x14ac:dyDescent="0.3">
      <c r="B30" s="1" t="s">
        <v>22</v>
      </c>
      <c r="C30" s="63">
        <v>1</v>
      </c>
      <c r="E30" s="76">
        <f>+C30</f>
        <v>1</v>
      </c>
    </row>
    <row r="31" spans="1:5" x14ac:dyDescent="0.3">
      <c r="B31" s="1" t="s">
        <v>23</v>
      </c>
      <c r="C31" s="64">
        <v>-2.2089000000000001E-2</v>
      </c>
      <c r="E31" s="77">
        <v>-1.2999999999999999E-2</v>
      </c>
    </row>
    <row r="32" spans="1:5" x14ac:dyDescent="0.3">
      <c r="B32" s="1" t="s">
        <v>24</v>
      </c>
      <c r="C32" s="63">
        <f>+C30+C31</f>
        <v>0.97791099999999997</v>
      </c>
      <c r="E32" s="76">
        <f>+E30+E31</f>
        <v>0.98699999999999999</v>
      </c>
    </row>
    <row r="33" spans="2:5" x14ac:dyDescent="0.3">
      <c r="B33" s="1" t="s">
        <v>25</v>
      </c>
      <c r="C33" s="64">
        <f>-C32*0.21</f>
        <v>-0.20536130999999999</v>
      </c>
      <c r="E33" s="77">
        <f>-E32*0.21</f>
        <v>-0.20726999999999998</v>
      </c>
    </row>
    <row r="34" spans="2:5" x14ac:dyDescent="0.3">
      <c r="B34" s="1" t="s">
        <v>26</v>
      </c>
      <c r="C34" s="65">
        <f>+C32+C33</f>
        <v>0.77254968999999996</v>
      </c>
      <c r="E34" s="76">
        <f>+E32+E33</f>
        <v>0.77973000000000003</v>
      </c>
    </row>
    <row r="35" spans="2:5" x14ac:dyDescent="0.3">
      <c r="B35" s="1" t="s">
        <v>27</v>
      </c>
      <c r="C35" s="66">
        <f>1/C34</f>
        <v>1.2944151204047472</v>
      </c>
      <c r="E35" s="76">
        <f>1/E34</f>
        <v>1.2824952227052953</v>
      </c>
    </row>
    <row r="36" spans="2:5" x14ac:dyDescent="0.3">
      <c r="C36" s="13"/>
    </row>
  </sheetData>
  <pageMargins left="0.7" right="0.7" top="0.8125" bottom="0.75" header="0.3" footer="0.3"/>
  <pageSetup scale="75" orientation="portrait" horizontalDpi="0" verticalDpi="0" r:id="rId1"/>
  <headerFooter>
    <oddHeader xml:space="preserve">&amp;L&amp;"Arial Narrow,Bold"&amp;K03+018Rhode Island Energy - Electric 
Test Year August 31, 2025
Rate Year 1 - July 31, 2027&amp;C&amp;"Arial Narrow,Bold"&amp;K03+020RI Public Utilities Commission
Docket No. 25-45-GE&amp;R&amp;"Arial Narrow,Bold"&amp;K03+020Schedule DM-1 Electric RY 1 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EEC2D-8F18-455F-995D-EC1DE0A90176}">
  <sheetPr>
    <pageSetUpPr fitToPage="1"/>
  </sheetPr>
  <dimension ref="A2:J39"/>
  <sheetViews>
    <sheetView view="pageLayout" topLeftCell="A26" zoomScaleNormal="100" workbookViewId="0">
      <selection activeCell="H38" sqref="H38"/>
    </sheetView>
  </sheetViews>
  <sheetFormatPr defaultRowHeight="16.5" x14ac:dyDescent="0.3"/>
  <cols>
    <col min="1" max="1" width="6.7109375" style="2" customWidth="1"/>
    <col min="2" max="2" width="40.7109375" style="1" customWidth="1"/>
    <col min="3" max="7" width="18.7109375" style="1" customWidth="1"/>
    <col min="8" max="8" width="18.7109375" style="39" customWidth="1"/>
    <col min="9" max="9" width="18.7109375" style="1" customWidth="1"/>
    <col min="10" max="10" width="30.7109375" style="83" customWidth="1"/>
    <col min="11" max="11" width="18.7109375" style="1" customWidth="1"/>
    <col min="12" max="16384" width="9.140625" style="1"/>
  </cols>
  <sheetData>
    <row r="2" spans="1:10" ht="32.25" x14ac:dyDescent="0.3">
      <c r="B2" s="40" t="s">
        <v>173</v>
      </c>
    </row>
    <row r="3" spans="1:10" x14ac:dyDescent="0.3">
      <c r="B3" s="3" t="s">
        <v>208</v>
      </c>
      <c r="C3" s="87" t="s">
        <v>174</v>
      </c>
      <c r="D3" s="87"/>
      <c r="E3" s="87"/>
    </row>
    <row r="4" spans="1:10" x14ac:dyDescent="0.3">
      <c r="C4" s="4" t="s">
        <v>175</v>
      </c>
      <c r="E4" s="4" t="s">
        <v>151</v>
      </c>
      <c r="G4" s="4" t="s">
        <v>283</v>
      </c>
      <c r="H4" s="10"/>
    </row>
    <row r="5" spans="1:10" x14ac:dyDescent="0.3">
      <c r="C5" s="28">
        <v>45900</v>
      </c>
      <c r="D5" s="5" t="s">
        <v>5</v>
      </c>
      <c r="E5" s="28">
        <v>46599</v>
      </c>
      <c r="F5" s="5" t="s">
        <v>43</v>
      </c>
      <c r="G5" s="5" t="s">
        <v>68</v>
      </c>
      <c r="H5" s="11" t="s">
        <v>12</v>
      </c>
    </row>
    <row r="6" spans="1:10" ht="33" x14ac:dyDescent="0.3">
      <c r="H6" s="74" t="s">
        <v>501</v>
      </c>
      <c r="I6" s="75" t="s">
        <v>499</v>
      </c>
      <c r="J6" s="84" t="s">
        <v>500</v>
      </c>
    </row>
    <row r="7" spans="1:10" ht="95.25" x14ac:dyDescent="0.3">
      <c r="A7" s="2">
        <v>1</v>
      </c>
      <c r="B7" s="1" t="s">
        <v>177</v>
      </c>
      <c r="C7" s="1">
        <v>64824628</v>
      </c>
      <c r="D7" s="1">
        <v>2276825</v>
      </c>
      <c r="E7" s="1">
        <f t="shared" ref="E7:E35" si="0">+C7+D7</f>
        <v>67101453</v>
      </c>
      <c r="F7" s="1">
        <f>+G7-E7</f>
        <v>-4194973.2574810982</v>
      </c>
      <c r="G7" s="1">
        <f>+'Labor RY 1'!E46</f>
        <v>62906479.742518902</v>
      </c>
      <c r="I7" s="30">
        <f>+F7</f>
        <v>-4194973.2574810982</v>
      </c>
      <c r="J7" s="83" t="s">
        <v>510</v>
      </c>
    </row>
    <row r="8" spans="1:10" x14ac:dyDescent="0.3">
      <c r="A8" s="2">
        <v>2</v>
      </c>
      <c r="B8" s="1" t="s">
        <v>178</v>
      </c>
      <c r="C8" s="1">
        <v>11826968</v>
      </c>
      <c r="D8" s="1">
        <v>415127</v>
      </c>
      <c r="E8" s="1">
        <f t="shared" si="0"/>
        <v>12242095</v>
      </c>
      <c r="F8" s="1">
        <f>+G8-E8</f>
        <v>-10378.174999998882</v>
      </c>
      <c r="G8" s="1">
        <f>+'Health Other Benefits'!E23</f>
        <v>12231716.825000001</v>
      </c>
      <c r="I8" s="1">
        <f>+F8</f>
        <v>-10378.174999998882</v>
      </c>
      <c r="J8" s="83" t="s">
        <v>502</v>
      </c>
    </row>
    <row r="9" spans="1:10" x14ac:dyDescent="0.3">
      <c r="A9" s="2">
        <v>3</v>
      </c>
      <c r="B9" s="1" t="s">
        <v>179</v>
      </c>
      <c r="C9" s="1">
        <v>7139541</v>
      </c>
      <c r="D9" s="1">
        <v>375937</v>
      </c>
      <c r="E9" s="1">
        <f t="shared" si="0"/>
        <v>7515478</v>
      </c>
      <c r="F9" s="1">
        <f>+G9-E9</f>
        <v>-1884010</v>
      </c>
      <c r="G9" s="1">
        <f>+Consultants!G23</f>
        <v>5631468</v>
      </c>
      <c r="H9" s="39">
        <v>-375937</v>
      </c>
      <c r="I9" s="1">
        <v>-1508072</v>
      </c>
      <c r="J9" s="83" t="s">
        <v>511</v>
      </c>
    </row>
    <row r="10" spans="1:10" x14ac:dyDescent="0.3">
      <c r="A10" s="2">
        <v>4</v>
      </c>
      <c r="B10" s="1" t="s">
        <v>180</v>
      </c>
      <c r="C10" s="1">
        <v>30149311</v>
      </c>
      <c r="D10" s="1">
        <v>1577577</v>
      </c>
      <c r="E10" s="1">
        <f t="shared" si="0"/>
        <v>31726888</v>
      </c>
      <c r="F10" s="1">
        <f>+G10-E10</f>
        <v>-1577578</v>
      </c>
      <c r="G10" s="1">
        <f>+Contractors!G25</f>
        <v>30149310</v>
      </c>
      <c r="H10" s="39">
        <f>+F10</f>
        <v>-1577578</v>
      </c>
    </row>
    <row r="11" spans="1:10" x14ac:dyDescent="0.3">
      <c r="A11" s="2">
        <v>5</v>
      </c>
      <c r="B11" s="1" t="s">
        <v>181</v>
      </c>
      <c r="C11" s="1">
        <v>1156464</v>
      </c>
      <c r="D11" s="1">
        <v>60894</v>
      </c>
      <c r="E11" s="1">
        <f t="shared" si="0"/>
        <v>1217358</v>
      </c>
      <c r="F11" s="1">
        <f>+G11-E11</f>
        <v>-89463</v>
      </c>
      <c r="G11" s="1">
        <f>+'Employee Expenses '!G25</f>
        <v>1127895</v>
      </c>
      <c r="H11" s="39">
        <v>-60894</v>
      </c>
      <c r="I11" s="1">
        <v>-28570</v>
      </c>
      <c r="J11" s="83" t="s">
        <v>512</v>
      </c>
    </row>
    <row r="12" spans="1:10" x14ac:dyDescent="0.3">
      <c r="A12" s="2">
        <v>6</v>
      </c>
      <c r="B12" s="1" t="s">
        <v>182</v>
      </c>
      <c r="C12" s="1">
        <v>2557775</v>
      </c>
      <c r="D12" s="1">
        <v>-1434099</v>
      </c>
      <c r="E12" s="1">
        <f t="shared" si="0"/>
        <v>1123676</v>
      </c>
      <c r="F12" s="1">
        <v>0</v>
      </c>
      <c r="G12" s="1">
        <f>+'Allocated Deprec'!G25</f>
        <v>1123676</v>
      </c>
    </row>
    <row r="13" spans="1:10" x14ac:dyDescent="0.3">
      <c r="A13" s="2">
        <v>7</v>
      </c>
      <c r="B13" s="1" t="s">
        <v>183</v>
      </c>
      <c r="C13" s="1">
        <v>5108705</v>
      </c>
      <c r="D13" s="1">
        <v>268787</v>
      </c>
      <c r="E13" s="1">
        <f t="shared" si="0"/>
        <v>5377492</v>
      </c>
      <c r="F13" s="1">
        <f>+G13-E13</f>
        <v>-268832</v>
      </c>
      <c r="G13" s="1">
        <f>+Rents!G25</f>
        <v>5108660</v>
      </c>
      <c r="H13" s="39">
        <v>-268787</v>
      </c>
      <c r="I13" s="1">
        <v>-45</v>
      </c>
      <c r="J13" s="83" t="s">
        <v>512</v>
      </c>
    </row>
    <row r="14" spans="1:10" x14ac:dyDescent="0.3">
      <c r="A14" s="2">
        <v>8</v>
      </c>
      <c r="B14" s="1" t="s">
        <v>184</v>
      </c>
      <c r="C14" s="1">
        <v>1628048</v>
      </c>
      <c r="D14" s="1">
        <v>0</v>
      </c>
      <c r="E14" s="1">
        <f t="shared" si="0"/>
        <v>1628048</v>
      </c>
      <c r="F14" s="1">
        <v>0</v>
      </c>
      <c r="G14" s="1">
        <f>+'Uninsured Claims'!G25</f>
        <v>1628048</v>
      </c>
    </row>
    <row r="15" spans="1:10" ht="48" x14ac:dyDescent="0.3">
      <c r="A15" s="2">
        <v>9</v>
      </c>
      <c r="B15" s="1" t="s">
        <v>185</v>
      </c>
      <c r="C15" s="1">
        <v>3528505</v>
      </c>
      <c r="D15" s="1">
        <v>593664</v>
      </c>
      <c r="E15" s="1">
        <f t="shared" si="0"/>
        <v>4122169</v>
      </c>
      <c r="F15" s="1">
        <f>+G15-E15</f>
        <v>-479255</v>
      </c>
      <c r="G15" s="1">
        <f>+'Insurance Premiums'!G25</f>
        <v>3642914</v>
      </c>
      <c r="I15" s="1">
        <f>+F15</f>
        <v>-479255</v>
      </c>
      <c r="J15" s="83" t="s">
        <v>503</v>
      </c>
    </row>
    <row r="16" spans="1:10" x14ac:dyDescent="0.3">
      <c r="A16" s="2">
        <v>10</v>
      </c>
      <c r="B16" s="1" t="s">
        <v>186</v>
      </c>
      <c r="C16" s="1">
        <v>6778930</v>
      </c>
      <c r="D16" s="1">
        <v>0</v>
      </c>
      <c r="E16" s="1">
        <f t="shared" si="0"/>
        <v>6778930</v>
      </c>
      <c r="F16" s="1">
        <f>+G16-E16</f>
        <v>0</v>
      </c>
      <c r="G16" s="1">
        <f>+'Reg. Assess Fees'!G25</f>
        <v>6778930</v>
      </c>
    </row>
    <row r="17" spans="1:10" ht="48" x14ac:dyDescent="0.3">
      <c r="A17" s="2">
        <v>11</v>
      </c>
      <c r="B17" s="1" t="s">
        <v>187</v>
      </c>
      <c r="C17" s="1">
        <v>6854548</v>
      </c>
      <c r="D17" s="1">
        <v>5197277</v>
      </c>
      <c r="E17" s="1">
        <f t="shared" si="0"/>
        <v>12051825</v>
      </c>
      <c r="F17" s="1">
        <f>+G17-E17</f>
        <v>-4959081.2640000004</v>
      </c>
      <c r="G17" s="1">
        <f>+Uncollectible!E23</f>
        <v>7092743.7359999996</v>
      </c>
      <c r="I17" s="1">
        <f>+F17</f>
        <v>-4959081.2640000004</v>
      </c>
      <c r="J17" s="83" t="s">
        <v>504</v>
      </c>
    </row>
    <row r="18" spans="1:10" x14ac:dyDescent="0.3">
      <c r="A18" s="2">
        <v>12</v>
      </c>
      <c r="B18" s="1" t="s">
        <v>188</v>
      </c>
      <c r="C18" s="1">
        <v>4133893</v>
      </c>
      <c r="D18" s="1">
        <v>217673</v>
      </c>
      <c r="E18" s="1">
        <f t="shared" si="0"/>
        <v>4351566</v>
      </c>
      <c r="F18" s="1">
        <f>+G18-E18</f>
        <v>-217684</v>
      </c>
      <c r="G18" s="1">
        <f>+Postage!G25</f>
        <v>4133882</v>
      </c>
      <c r="H18" s="39">
        <v>-217676</v>
      </c>
      <c r="I18" s="1">
        <v>-11</v>
      </c>
      <c r="J18" s="83" t="s">
        <v>512</v>
      </c>
    </row>
    <row r="19" spans="1:10" ht="63.75" x14ac:dyDescent="0.3">
      <c r="A19" s="2">
        <v>13</v>
      </c>
      <c r="B19" s="1" t="s">
        <v>189</v>
      </c>
      <c r="C19" s="1">
        <v>4851841</v>
      </c>
      <c r="D19" s="38">
        <v>9572685</v>
      </c>
      <c r="E19" s="1">
        <f t="shared" si="0"/>
        <v>14424526</v>
      </c>
      <c r="F19" s="1">
        <f>+G19-E19</f>
        <v>-7168816</v>
      </c>
      <c r="G19" s="1">
        <f>+'Software Maint.'!G25</f>
        <v>7255710</v>
      </c>
      <c r="I19" s="1">
        <f>+F19</f>
        <v>-7168816</v>
      </c>
      <c r="J19" s="83" t="s">
        <v>505</v>
      </c>
    </row>
    <row r="20" spans="1:10" x14ac:dyDescent="0.3">
      <c r="A20" s="2">
        <v>14</v>
      </c>
      <c r="B20" s="1" t="s">
        <v>190</v>
      </c>
      <c r="C20" s="1">
        <v>3078000</v>
      </c>
      <c r="D20" s="1">
        <v>0</v>
      </c>
      <c r="E20" s="1">
        <f t="shared" si="0"/>
        <v>3078000</v>
      </c>
      <c r="F20" s="1">
        <v>0</v>
      </c>
      <c r="G20" s="1">
        <f>+'Environ Resp Fund'!G25</f>
        <v>3078000</v>
      </c>
    </row>
    <row r="21" spans="1:10" ht="48" x14ac:dyDescent="0.3">
      <c r="A21" s="2">
        <v>15</v>
      </c>
      <c r="B21" s="1" t="s">
        <v>191</v>
      </c>
      <c r="C21" s="1">
        <v>875089</v>
      </c>
      <c r="D21" s="1">
        <v>709532</v>
      </c>
      <c r="E21" s="1">
        <f t="shared" si="0"/>
        <v>1584621</v>
      </c>
      <c r="F21" s="1">
        <f>+G21-E21</f>
        <v>-354765.75</v>
      </c>
      <c r="G21" s="1">
        <f>+'Paperless Bill Cr.'!G25</f>
        <v>1229855.25</v>
      </c>
      <c r="I21" s="1">
        <f>+F21</f>
        <v>-354765.75</v>
      </c>
      <c r="J21" s="83" t="s">
        <v>506</v>
      </c>
    </row>
    <row r="22" spans="1:10" x14ac:dyDescent="0.3">
      <c r="A22" s="2">
        <v>16</v>
      </c>
      <c r="B22" s="1" t="s">
        <v>192</v>
      </c>
      <c r="C22" s="1">
        <v>-3120299</v>
      </c>
      <c r="D22" s="1">
        <v>1517659</v>
      </c>
      <c r="E22" s="1">
        <f t="shared" si="0"/>
        <v>-1602640</v>
      </c>
      <c r="F22" s="1">
        <v>0</v>
      </c>
      <c r="G22" s="1">
        <f>+PBOP!G25</f>
        <v>-1602641</v>
      </c>
    </row>
    <row r="23" spans="1:10" x14ac:dyDescent="0.3">
      <c r="A23" s="2">
        <v>17</v>
      </c>
      <c r="B23" s="1" t="s">
        <v>193</v>
      </c>
      <c r="C23" s="1">
        <v>-6873043</v>
      </c>
      <c r="D23" s="1">
        <v>3789285</v>
      </c>
      <c r="E23" s="1">
        <f t="shared" si="0"/>
        <v>-3083758</v>
      </c>
      <c r="F23" s="1">
        <v>0</v>
      </c>
      <c r="G23" s="1">
        <f>+Pension!G25</f>
        <v>-3083759</v>
      </c>
    </row>
    <row r="24" spans="1:10" x14ac:dyDescent="0.3">
      <c r="A24" s="2">
        <v>18</v>
      </c>
      <c r="B24" s="1" t="s">
        <v>194</v>
      </c>
      <c r="C24" s="1">
        <v>0</v>
      </c>
      <c r="D24" s="1">
        <v>0</v>
      </c>
      <c r="E24" s="1">
        <f t="shared" si="0"/>
        <v>0</v>
      </c>
      <c r="F24" s="1">
        <v>0</v>
      </c>
      <c r="G24" s="1">
        <v>0</v>
      </c>
    </row>
    <row r="25" spans="1:10" x14ac:dyDescent="0.3">
      <c r="A25" s="2">
        <v>19</v>
      </c>
      <c r="B25" s="1" t="s">
        <v>195</v>
      </c>
      <c r="C25" s="1">
        <v>1393847</v>
      </c>
      <c r="D25" s="1">
        <v>73394</v>
      </c>
      <c r="E25" s="1">
        <f t="shared" si="0"/>
        <v>1467241</v>
      </c>
      <c r="F25" s="1">
        <f>+G25-E25</f>
        <v>-73393</v>
      </c>
      <c r="G25" s="1">
        <f>+'Other O&amp;M'!G26</f>
        <v>1393848</v>
      </c>
      <c r="H25" s="39">
        <f>+F25</f>
        <v>-73393</v>
      </c>
    </row>
    <row r="26" spans="1:10" ht="32.25" x14ac:dyDescent="0.3">
      <c r="A26" s="2">
        <v>20</v>
      </c>
      <c r="B26" s="1" t="s">
        <v>196</v>
      </c>
      <c r="C26" s="1">
        <v>7311132</v>
      </c>
      <c r="D26" s="38">
        <v>-919945</v>
      </c>
      <c r="E26" s="1">
        <f t="shared" si="0"/>
        <v>6391187</v>
      </c>
      <c r="F26" s="1">
        <f>+G26-E26</f>
        <v>146714</v>
      </c>
      <c r="G26" s="1">
        <f>+'Storm Cost Recovery'!G26</f>
        <v>6537901</v>
      </c>
      <c r="I26" s="1">
        <f>+F26</f>
        <v>146714</v>
      </c>
      <c r="J26" s="83" t="s">
        <v>507</v>
      </c>
    </row>
    <row r="27" spans="1:10" x14ac:dyDescent="0.3">
      <c r="A27" s="2">
        <v>21</v>
      </c>
      <c r="B27" s="1" t="s">
        <v>197</v>
      </c>
      <c r="C27" s="1">
        <v>0</v>
      </c>
      <c r="D27" s="1">
        <v>0</v>
      </c>
      <c r="E27" s="1">
        <f t="shared" si="0"/>
        <v>0</v>
      </c>
      <c r="F27" s="1">
        <v>0</v>
      </c>
      <c r="G27" s="1">
        <v>0</v>
      </c>
    </row>
    <row r="28" spans="1:10" x14ac:dyDescent="0.3">
      <c r="A28" s="2">
        <v>22</v>
      </c>
      <c r="B28" s="1" t="s">
        <v>198</v>
      </c>
      <c r="C28" s="1">
        <v>1079220</v>
      </c>
      <c r="D28" s="1">
        <v>56827</v>
      </c>
      <c r="E28" s="1">
        <f t="shared" si="0"/>
        <v>1136047</v>
      </c>
      <c r="F28" s="1">
        <f t="shared" ref="F28:F34" si="1">+G28-E28</f>
        <v>-56828</v>
      </c>
      <c r="G28" s="1">
        <f>+Materials!G26</f>
        <v>1079219</v>
      </c>
      <c r="H28" s="39">
        <f>+F28</f>
        <v>-56828</v>
      </c>
    </row>
    <row r="29" spans="1:10" x14ac:dyDescent="0.3">
      <c r="A29" s="2">
        <v>23</v>
      </c>
      <c r="B29" s="1" t="s">
        <v>199</v>
      </c>
      <c r="C29" s="1">
        <v>143174</v>
      </c>
      <c r="D29" s="1">
        <v>7539</v>
      </c>
      <c r="E29" s="1">
        <f t="shared" si="0"/>
        <v>150713</v>
      </c>
      <c r="F29" s="1">
        <f t="shared" si="1"/>
        <v>-7539</v>
      </c>
      <c r="G29" s="1">
        <f>+'Materials Stores Handl.'!G26</f>
        <v>143174</v>
      </c>
      <c r="H29" s="39">
        <f>+F29</f>
        <v>-7539</v>
      </c>
    </row>
    <row r="30" spans="1:10" x14ac:dyDescent="0.3">
      <c r="A30" s="2">
        <v>24</v>
      </c>
      <c r="B30" s="1" t="s">
        <v>200</v>
      </c>
      <c r="C30" s="1">
        <v>5058108</v>
      </c>
      <c r="D30" s="1">
        <v>266338</v>
      </c>
      <c r="E30" s="1">
        <f t="shared" si="0"/>
        <v>5324446</v>
      </c>
      <c r="F30" s="1">
        <f t="shared" si="1"/>
        <v>-266338</v>
      </c>
      <c r="G30" s="1">
        <f>+Transportation!G26</f>
        <v>5058108</v>
      </c>
      <c r="H30" s="39">
        <f>+F30</f>
        <v>-266338</v>
      </c>
    </row>
    <row r="31" spans="1:10" ht="79.5" x14ac:dyDescent="0.3">
      <c r="A31" s="2">
        <v>25</v>
      </c>
      <c r="B31" s="1" t="s">
        <v>201</v>
      </c>
      <c r="C31" s="1">
        <v>0</v>
      </c>
      <c r="D31" s="38">
        <v>2000962</v>
      </c>
      <c r="E31" s="1">
        <f t="shared" si="0"/>
        <v>2000962</v>
      </c>
      <c r="F31" s="1">
        <f t="shared" si="1"/>
        <v>-111654.60071599996</v>
      </c>
      <c r="G31" s="1">
        <f>+'Info. Tech.'!G26</f>
        <v>1889307.399284</v>
      </c>
      <c r="H31" s="39">
        <v>0</v>
      </c>
      <c r="I31" s="1">
        <f>+F31</f>
        <v>-111654.60071599996</v>
      </c>
      <c r="J31" s="83" t="s">
        <v>508</v>
      </c>
    </row>
    <row r="32" spans="1:10" x14ac:dyDescent="0.3">
      <c r="A32" s="2">
        <v>26</v>
      </c>
      <c r="B32" s="1" t="s">
        <v>202</v>
      </c>
      <c r="C32" s="1">
        <v>9474</v>
      </c>
      <c r="D32" s="1">
        <v>499</v>
      </c>
      <c r="E32" s="1">
        <f t="shared" si="0"/>
        <v>9973</v>
      </c>
      <c r="F32" s="1">
        <f t="shared" si="1"/>
        <v>-500</v>
      </c>
      <c r="G32" s="1">
        <f>+Pavings!G26</f>
        <v>9473</v>
      </c>
      <c r="H32" s="39">
        <f>+F32</f>
        <v>-500</v>
      </c>
    </row>
    <row r="33" spans="1:10" x14ac:dyDescent="0.3">
      <c r="A33" s="2">
        <v>27</v>
      </c>
      <c r="B33" s="1" t="s">
        <v>203</v>
      </c>
      <c r="C33" s="1">
        <v>2096180</v>
      </c>
      <c r="D33" s="1">
        <v>73576</v>
      </c>
      <c r="E33" s="1">
        <f t="shared" si="0"/>
        <v>2169756</v>
      </c>
      <c r="F33" s="1">
        <f t="shared" si="1"/>
        <v>-73576</v>
      </c>
      <c r="G33" s="1">
        <f>+'Other Benefits'!G26</f>
        <v>2096180</v>
      </c>
      <c r="H33" s="39">
        <f>+F33</f>
        <v>-73576</v>
      </c>
    </row>
    <row r="34" spans="1:10" x14ac:dyDescent="0.3">
      <c r="A34" s="2">
        <v>28</v>
      </c>
      <c r="B34" s="1" t="s">
        <v>204</v>
      </c>
      <c r="C34" s="1">
        <v>-1435487</v>
      </c>
      <c r="D34" s="1">
        <v>-75587</v>
      </c>
      <c r="E34" s="1">
        <f t="shared" si="0"/>
        <v>-1511074</v>
      </c>
      <c r="F34" s="1">
        <f t="shared" si="1"/>
        <v>75587</v>
      </c>
      <c r="G34" s="1">
        <f>+'Construct Reimburse.'!G26</f>
        <v>-1435487</v>
      </c>
      <c r="H34" s="39">
        <f>+F34</f>
        <v>75587</v>
      </c>
    </row>
    <row r="35" spans="1:10" x14ac:dyDescent="0.3">
      <c r="A35" s="2">
        <v>29</v>
      </c>
      <c r="B35" s="1" t="s">
        <v>205</v>
      </c>
      <c r="C35" s="12">
        <v>0</v>
      </c>
      <c r="D35" s="12">
        <v>0</v>
      </c>
      <c r="E35" s="12">
        <f t="shared" si="0"/>
        <v>0</v>
      </c>
      <c r="F35" s="12"/>
      <c r="G35" s="12"/>
    </row>
    <row r="37" spans="1:10" x14ac:dyDescent="0.3">
      <c r="B37" s="8" t="s">
        <v>207</v>
      </c>
      <c r="C37" s="41">
        <f>SUM(C7:C36)</f>
        <v>160154552</v>
      </c>
      <c r="D37" s="12">
        <f>SUM(D7:D36)</f>
        <v>26622426</v>
      </c>
      <c r="E37" s="41">
        <f>SUM(E7:E36)</f>
        <v>186776978</v>
      </c>
      <c r="F37" s="12">
        <f>+G37-E37</f>
        <v>-21572366.047197104</v>
      </c>
      <c r="G37" s="41">
        <f>SUM(G7:G36)</f>
        <v>165204611.9528029</v>
      </c>
      <c r="H37" s="73"/>
      <c r="I37" s="7"/>
      <c r="J37" s="85"/>
    </row>
    <row r="38" spans="1:10" x14ac:dyDescent="0.3">
      <c r="B38" s="1" t="s">
        <v>486</v>
      </c>
      <c r="F38" s="38">
        <f>+F9+F10+F11+F13+F18+F25+F28+F29+F30+F32+F33+F34</f>
        <v>-4440154</v>
      </c>
      <c r="H38" s="71">
        <f>SUM(H9:H35)</f>
        <v>-2903459</v>
      </c>
    </row>
    <row r="39" spans="1:10" x14ac:dyDescent="0.3">
      <c r="A39" s="20" t="s">
        <v>2</v>
      </c>
      <c r="B39" s="1" t="s">
        <v>206</v>
      </c>
      <c r="G39" s="1">
        <f>+G37-12051824</f>
        <v>153152787.9528029</v>
      </c>
    </row>
  </sheetData>
  <mergeCells count="1">
    <mergeCell ref="C3:E3"/>
  </mergeCells>
  <pageMargins left="0.7" right="0.7" top="0.8125" bottom="0.75" header="0.3" footer="0.3"/>
  <pageSetup scale="53" orientation="landscape" horizontalDpi="0" verticalDpi="0" r:id="rId1"/>
  <headerFooter>
    <oddHeader>&amp;L&amp;"Arial Narrow,Bold"&amp;K03+021Rhode Island Energy - Electric 
Test Year August 31, 2025
Rate Year 1 - July 31, 2027&amp;C&amp;"Arial Narrow,Bold"&amp;K03+022RI Public Utilities Commission 
Docket No. 25-45-GE&amp;R&amp;"Arial Narrow,Bold"&amp;K03+023Schedule DM-10-Electric RY 1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30968-C668-4827-8660-C68DB0A35573}">
  <sheetPr>
    <pageSetUpPr fitToPage="1"/>
  </sheetPr>
  <dimension ref="A2:F60"/>
  <sheetViews>
    <sheetView view="pageLayout" topLeftCell="A40" zoomScale="90" zoomScaleNormal="100" zoomScalePageLayoutView="90" workbookViewId="0">
      <selection activeCell="C58" sqref="C58"/>
    </sheetView>
  </sheetViews>
  <sheetFormatPr defaultRowHeight="16.5" x14ac:dyDescent="0.3"/>
  <cols>
    <col min="1" max="1" width="6.7109375" style="2" customWidth="1"/>
    <col min="2" max="2" width="40.7109375" style="1" customWidth="1"/>
    <col min="3" max="5" width="18.7109375" style="1" customWidth="1"/>
    <col min="6" max="6" width="18.7109375" style="39" customWidth="1"/>
    <col min="7" max="11" width="18.7109375" style="1" customWidth="1"/>
    <col min="12" max="16384" width="9.140625" style="1"/>
  </cols>
  <sheetData>
    <row r="2" spans="2:6" x14ac:dyDescent="0.3">
      <c r="B2" s="5" t="s">
        <v>209</v>
      </c>
    </row>
    <row r="3" spans="2:6" x14ac:dyDescent="0.3">
      <c r="C3" s="6" t="s">
        <v>2</v>
      </c>
    </row>
    <row r="4" spans="2:6" x14ac:dyDescent="0.3">
      <c r="C4" s="4" t="s">
        <v>3</v>
      </c>
      <c r="D4" s="4"/>
      <c r="E4" s="4" t="s">
        <v>67</v>
      </c>
      <c r="F4" s="10"/>
    </row>
    <row r="5" spans="2:6" x14ac:dyDescent="0.3">
      <c r="C5" s="5" t="s">
        <v>72</v>
      </c>
      <c r="D5" s="5" t="s">
        <v>5</v>
      </c>
      <c r="E5" s="5" t="s">
        <v>68</v>
      </c>
      <c r="F5" s="11" t="s">
        <v>12</v>
      </c>
    </row>
    <row r="7" spans="2:6" x14ac:dyDescent="0.3">
      <c r="B7" s="1" t="s">
        <v>210</v>
      </c>
      <c r="C7" s="1">
        <v>77209445</v>
      </c>
    </row>
    <row r="8" spans="2:6" x14ac:dyDescent="0.3">
      <c r="B8" s="1" t="s">
        <v>211</v>
      </c>
      <c r="C8" s="7">
        <f>-C7*0.48331257</f>
        <v>-37316295.291223653</v>
      </c>
      <c r="D8" s="7"/>
      <c r="E8" s="7"/>
    </row>
    <row r="9" spans="2:6" x14ac:dyDescent="0.3">
      <c r="B9" s="1" t="s">
        <v>212</v>
      </c>
      <c r="C9" s="1">
        <f>SUM(C7:C8)</f>
        <v>39893149.708776347</v>
      </c>
      <c r="D9" s="1">
        <f>-C9*0.025</f>
        <v>-997328.74271940871</v>
      </c>
      <c r="E9" s="1">
        <f>+C9+D9</f>
        <v>38895820.966056935</v>
      </c>
      <c r="F9" s="39" t="s">
        <v>430</v>
      </c>
    </row>
    <row r="10" spans="2:6" x14ac:dyDescent="0.3">
      <c r="F10" s="39" t="s">
        <v>431</v>
      </c>
    </row>
    <row r="11" spans="2:6" x14ac:dyDescent="0.3">
      <c r="B11" s="1" t="s">
        <v>213</v>
      </c>
      <c r="C11" s="38">
        <v>2224651</v>
      </c>
      <c r="D11" s="1">
        <f>-C11*0.025</f>
        <v>-55616.275000000001</v>
      </c>
      <c r="E11" s="38">
        <f>+C11+D11</f>
        <v>2169034.7250000001</v>
      </c>
      <c r="F11" s="39" t="s">
        <v>435</v>
      </c>
    </row>
    <row r="12" spans="2:6" x14ac:dyDescent="0.3">
      <c r="B12" s="1" t="s">
        <v>214</v>
      </c>
      <c r="C12" s="42">
        <v>2803730</v>
      </c>
      <c r="D12" s="7">
        <f>-C12*0.025</f>
        <v>-70093.25</v>
      </c>
      <c r="E12" s="42">
        <f>+C12+D12</f>
        <v>2733636.75</v>
      </c>
    </row>
    <row r="13" spans="2:6" x14ac:dyDescent="0.3">
      <c r="B13" s="8" t="s">
        <v>221</v>
      </c>
      <c r="C13" s="29">
        <f>+C9+C11+C12</f>
        <v>44921530.708776347</v>
      </c>
      <c r="D13" s="8"/>
      <c r="E13" s="29">
        <f>+E11+E12+E9</f>
        <v>43798492.441056937</v>
      </c>
    </row>
    <row r="15" spans="2:6" x14ac:dyDescent="0.3">
      <c r="B15" s="1" t="s">
        <v>215</v>
      </c>
      <c r="C15" s="53">
        <v>1648872</v>
      </c>
      <c r="D15" s="7">
        <f>-C15*0.025</f>
        <v>-41221.800000000003</v>
      </c>
      <c r="E15" s="7">
        <f>+C15+D15</f>
        <v>1607650.2</v>
      </c>
      <c r="F15" s="39" t="s">
        <v>430</v>
      </c>
    </row>
    <row r="16" spans="2:6" x14ac:dyDescent="0.3">
      <c r="B16" s="8" t="s">
        <v>220</v>
      </c>
      <c r="C16" s="29">
        <f>+C13+C15</f>
        <v>46570402.708776347</v>
      </c>
      <c r="D16" s="8">
        <f>+E16-C16</f>
        <v>-1164260.0677194074</v>
      </c>
      <c r="E16" s="29">
        <f>+E13+E15</f>
        <v>45406142.64105694</v>
      </c>
      <c r="F16" s="39" t="s">
        <v>433</v>
      </c>
    </row>
    <row r="18" spans="2:6" x14ac:dyDescent="0.3">
      <c r="B18" s="26"/>
      <c r="C18" s="26"/>
      <c r="D18" s="26"/>
      <c r="E18" s="26"/>
    </row>
    <row r="19" spans="2:6" x14ac:dyDescent="0.3">
      <c r="B19" s="1" t="s">
        <v>222</v>
      </c>
      <c r="C19" s="1">
        <v>26158486</v>
      </c>
    </row>
    <row r="20" spans="2:6" x14ac:dyDescent="0.3">
      <c r="B20" s="1" t="s">
        <v>211</v>
      </c>
      <c r="C20" s="7">
        <f>-C19*0.3176889</f>
        <v>-8310260.6430054</v>
      </c>
      <c r="D20" s="7"/>
      <c r="E20" s="7"/>
    </row>
    <row r="21" spans="2:6" x14ac:dyDescent="0.3">
      <c r="B21" s="1" t="s">
        <v>216</v>
      </c>
      <c r="C21" s="1">
        <f>+C19+C20</f>
        <v>17848225.356994599</v>
      </c>
      <c r="D21" s="1">
        <f>-C21*0.025</f>
        <v>-446205.63392486499</v>
      </c>
      <c r="E21" s="1">
        <f>+C21+D21</f>
        <v>17402019.723069735</v>
      </c>
    </row>
    <row r="23" spans="2:6" x14ac:dyDescent="0.3">
      <c r="B23" s="1" t="s">
        <v>213</v>
      </c>
      <c r="C23" s="38">
        <v>1689097</v>
      </c>
      <c r="D23" s="1">
        <f>-C23*0.025</f>
        <v>-42227.425000000003</v>
      </c>
      <c r="E23" s="38">
        <f>+C23+D23</f>
        <v>1646869.575</v>
      </c>
      <c r="F23" s="39" t="s">
        <v>432</v>
      </c>
    </row>
    <row r="24" spans="2:6" x14ac:dyDescent="0.3">
      <c r="B24" s="1" t="s">
        <v>214</v>
      </c>
      <c r="C24" s="42">
        <v>91811</v>
      </c>
      <c r="D24" s="7">
        <f>-C24*0.025</f>
        <v>-2295.2750000000001</v>
      </c>
      <c r="E24" s="42">
        <f>+C24+D24</f>
        <v>89515.725000000006</v>
      </c>
    </row>
    <row r="25" spans="2:6" x14ac:dyDescent="0.3">
      <c r="B25" s="8" t="s">
        <v>217</v>
      </c>
      <c r="C25" s="29">
        <f>+C21+C23+C24</f>
        <v>19629133.356994599</v>
      </c>
      <c r="D25" s="8">
        <f>+E25-C25</f>
        <v>-490728.33392486349</v>
      </c>
      <c r="E25" s="29">
        <f>+E21+E23+E24</f>
        <v>19138405.023069736</v>
      </c>
      <c r="F25" s="39" t="s">
        <v>231</v>
      </c>
    </row>
    <row r="27" spans="2:6" x14ac:dyDescent="0.3">
      <c r="B27" s="1" t="s">
        <v>218</v>
      </c>
      <c r="C27" s="53">
        <v>632675</v>
      </c>
      <c r="D27" s="7">
        <f>-C27*0.025</f>
        <v>-15816.875</v>
      </c>
      <c r="E27" s="7">
        <f>+C27+D27</f>
        <v>616858.125</v>
      </c>
      <c r="F27" s="39" t="s">
        <v>433</v>
      </c>
    </row>
    <row r="28" spans="2:6" x14ac:dyDescent="0.3">
      <c r="B28" s="8" t="s">
        <v>219</v>
      </c>
      <c r="C28" s="29">
        <f>+C25+C27</f>
        <v>20261808.356994599</v>
      </c>
      <c r="D28" s="8">
        <f>+E28-C28</f>
        <v>-506545.20892486349</v>
      </c>
      <c r="E28" s="29">
        <f>+E25+E27</f>
        <v>19755263.148069736</v>
      </c>
      <c r="F28" s="39" t="s">
        <v>429</v>
      </c>
    </row>
    <row r="29" spans="2:6" x14ac:dyDescent="0.3">
      <c r="F29" s="39" t="s">
        <v>430</v>
      </c>
    </row>
    <row r="30" spans="2:6" x14ac:dyDescent="0.3">
      <c r="B30" s="26"/>
      <c r="C30" s="26"/>
      <c r="D30" s="26"/>
      <c r="E30" s="26"/>
    </row>
    <row r="32" spans="2:6" x14ac:dyDescent="0.3">
      <c r="B32" s="1" t="s">
        <v>223</v>
      </c>
      <c r="C32" s="1">
        <v>895556</v>
      </c>
    </row>
    <row r="33" spans="2:6" x14ac:dyDescent="0.3">
      <c r="B33" s="1" t="s">
        <v>211</v>
      </c>
      <c r="C33" s="7">
        <f>-C32*0.8151718</f>
        <v>-730031.99652080005</v>
      </c>
      <c r="D33" s="7"/>
      <c r="E33" s="7"/>
    </row>
    <row r="34" spans="2:6" x14ac:dyDescent="0.3">
      <c r="B34" s="1" t="s">
        <v>224</v>
      </c>
      <c r="C34" s="1">
        <f>+C32+C33</f>
        <v>165524.00347919995</v>
      </c>
      <c r="D34" s="1">
        <f>-C34*0.025</f>
        <v>-4138.1000869799991</v>
      </c>
      <c r="E34" s="1">
        <f>+C34+D34</f>
        <v>161385.90339221995</v>
      </c>
    </row>
    <row r="36" spans="2:6" x14ac:dyDescent="0.3">
      <c r="B36" s="1" t="s">
        <v>213</v>
      </c>
      <c r="C36" s="38">
        <v>107428</v>
      </c>
      <c r="D36" s="1">
        <f>-C36*0.025</f>
        <v>-2685.7000000000003</v>
      </c>
      <c r="E36" s="38">
        <f>+C36+D36</f>
        <v>104742.3</v>
      </c>
      <c r="F36" s="39" t="s">
        <v>232</v>
      </c>
    </row>
    <row r="37" spans="2:6" x14ac:dyDescent="0.3">
      <c r="B37" s="1" t="s">
        <v>225</v>
      </c>
      <c r="C37" s="42">
        <v>1013</v>
      </c>
      <c r="D37" s="7">
        <f>-C37*0.025</f>
        <v>-25.325000000000003</v>
      </c>
      <c r="E37" s="42">
        <f>+C37+D37</f>
        <v>987.67499999999995</v>
      </c>
    </row>
    <row r="38" spans="2:6" x14ac:dyDescent="0.3">
      <c r="B38" s="8" t="s">
        <v>226</v>
      </c>
      <c r="C38" s="29">
        <f>+C34+C36+C37</f>
        <v>273965.00347919995</v>
      </c>
      <c r="D38" s="8"/>
      <c r="E38" s="29">
        <f>+E36+E37+E34</f>
        <v>267115.87839221995</v>
      </c>
      <c r="F38" s="39" t="s">
        <v>231</v>
      </c>
    </row>
    <row r="40" spans="2:6" x14ac:dyDescent="0.3">
      <c r="B40" s="1" t="s">
        <v>218</v>
      </c>
      <c r="C40" s="53">
        <v>-4723</v>
      </c>
      <c r="D40" s="7">
        <f>-C40*0.025</f>
        <v>118.075</v>
      </c>
      <c r="E40" s="7">
        <f>+C40+D40</f>
        <v>-4604.9250000000002</v>
      </c>
    </row>
    <row r="41" spans="2:6" x14ac:dyDescent="0.3">
      <c r="B41" s="8" t="s">
        <v>227</v>
      </c>
      <c r="C41" s="29">
        <f>+C38+C40</f>
        <v>269242.00347919995</v>
      </c>
      <c r="D41" s="8">
        <f>+E41-C41</f>
        <v>-6731.0500869799871</v>
      </c>
      <c r="E41" s="29">
        <f>+E38+E40</f>
        <v>262510.95339221996</v>
      </c>
      <c r="F41" s="39" t="s">
        <v>430</v>
      </c>
    </row>
    <row r="43" spans="2:6" x14ac:dyDescent="0.3">
      <c r="B43" s="26"/>
      <c r="C43" s="26"/>
      <c r="D43" s="26"/>
      <c r="E43" s="26"/>
    </row>
    <row r="45" spans="2:6" x14ac:dyDescent="0.3">
      <c r="B45" s="1" t="s">
        <v>228</v>
      </c>
      <c r="C45" s="1">
        <f>+C13+C25+C38</f>
        <v>64824629.069250144</v>
      </c>
      <c r="E45" s="1">
        <f>+C45+D45</f>
        <v>64824629.069250144</v>
      </c>
      <c r="F45" s="39" t="s">
        <v>434</v>
      </c>
    </row>
    <row r="46" spans="2:6" x14ac:dyDescent="0.3">
      <c r="B46" s="1" t="s">
        <v>229</v>
      </c>
      <c r="C46" s="7">
        <f>+C16+C28+C41</f>
        <v>67101453.069250144</v>
      </c>
      <c r="D46" s="7">
        <f>+E46-C46</f>
        <v>-4194973.3267312422</v>
      </c>
      <c r="E46" s="7">
        <f>+E16+E28+E41+D51+D52+D53+D59</f>
        <v>62906479.742518902</v>
      </c>
    </row>
    <row r="47" spans="2:6" x14ac:dyDescent="0.3">
      <c r="B47" s="1" t="s">
        <v>230</v>
      </c>
      <c r="C47" s="29">
        <f>+C46-C45</f>
        <v>2276824</v>
      </c>
      <c r="D47" s="8">
        <f>+E47-C47</f>
        <v>-4194973.3267312422</v>
      </c>
      <c r="E47" s="29">
        <f>+E46-E45</f>
        <v>-1918149.3267312422</v>
      </c>
    </row>
    <row r="49" spans="1:6" x14ac:dyDescent="0.3">
      <c r="B49" s="1" t="s">
        <v>480</v>
      </c>
      <c r="D49" s="1">
        <f>+D9+D12+D15+D21+D24+D27+D34+D37+D40</f>
        <v>-1577006.9267312535</v>
      </c>
    </row>
    <row r="50" spans="1:6" x14ac:dyDescent="0.3">
      <c r="B50" s="1" t="s">
        <v>481</v>
      </c>
      <c r="D50" s="1">
        <f>+D11+D23+D36</f>
        <v>-100529.40000000001</v>
      </c>
    </row>
    <row r="51" spans="1:6" x14ac:dyDescent="0.3">
      <c r="B51" s="1" t="s">
        <v>487</v>
      </c>
      <c r="D51" s="34">
        <v>-537095</v>
      </c>
      <c r="F51" s="39" t="s">
        <v>489</v>
      </c>
    </row>
    <row r="52" spans="1:6" x14ac:dyDescent="0.3">
      <c r="B52" s="1" t="s">
        <v>488</v>
      </c>
      <c r="D52" s="34">
        <v>-1224344</v>
      </c>
      <c r="F52" s="39" t="s">
        <v>489</v>
      </c>
    </row>
    <row r="53" spans="1:6" x14ac:dyDescent="0.3">
      <c r="B53" s="1" t="s">
        <v>495</v>
      </c>
      <c r="D53" s="34">
        <v>0</v>
      </c>
      <c r="F53" s="39" t="s">
        <v>494</v>
      </c>
    </row>
    <row r="55" spans="1:6" x14ac:dyDescent="0.3">
      <c r="B55" s="8" t="s">
        <v>509</v>
      </c>
      <c r="D55" s="78">
        <v>-410112</v>
      </c>
    </row>
    <row r="56" spans="1:6" x14ac:dyDescent="0.3">
      <c r="D56" s="79">
        <v>-298250</v>
      </c>
    </row>
    <row r="57" spans="1:6" x14ac:dyDescent="0.3">
      <c r="D57" s="79">
        <v>-831</v>
      </c>
    </row>
    <row r="58" spans="1:6" x14ac:dyDescent="0.3">
      <c r="D58" s="79">
        <v>-46805</v>
      </c>
    </row>
    <row r="59" spans="1:6" x14ac:dyDescent="0.3">
      <c r="D59" s="80">
        <f>SUM(D55:D58)</f>
        <v>-755998</v>
      </c>
    </row>
    <row r="60" spans="1:6" x14ac:dyDescent="0.3">
      <c r="A60" s="20" t="s">
        <v>2</v>
      </c>
      <c r="B60" s="1" t="s">
        <v>233</v>
      </c>
    </row>
  </sheetData>
  <pageMargins left="0.7" right="0.7" top="0.828125" bottom="0.75" header="0.3" footer="0.3"/>
  <pageSetup scale="71" orientation="portrait" horizontalDpi="0" verticalDpi="0" r:id="rId1"/>
  <headerFooter>
    <oddHeader>&amp;L&amp;"Arial Narrow,Bold"&amp;K03+023Rhode Island Energy - Electric
Test Year August 31, 2025
Rate Year 1 July 31, 2027&amp;C&amp;"Arial Narrow,Bold"&amp;K03+023RI Public Utilities Commission
Docket No. 25-45-GE&amp;R&amp;"Arial Narrow,Bold"&amp;K03+023Schedule DM-11- Electric RY 1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65B21-BABD-4C74-BC16-08C0B0C959F8}">
  <sheetPr>
    <pageSetUpPr fitToPage="1"/>
  </sheetPr>
  <dimension ref="A2:F28"/>
  <sheetViews>
    <sheetView view="pageLayout" topLeftCell="B4" zoomScaleNormal="100" workbookViewId="0">
      <selection activeCell="D13" sqref="D13"/>
    </sheetView>
  </sheetViews>
  <sheetFormatPr defaultRowHeight="16.5" x14ac:dyDescent="0.3"/>
  <cols>
    <col min="1" max="1" width="6.7109375" style="2" customWidth="1"/>
    <col min="2" max="2" width="40.7109375" style="1" customWidth="1"/>
    <col min="3" max="5" width="18.7109375" style="1" customWidth="1"/>
    <col min="6" max="6" width="18.7109375" style="39" customWidth="1"/>
    <col min="7" max="11" width="18.7109375" style="1" customWidth="1"/>
    <col min="12" max="16384" width="9.140625" style="1"/>
  </cols>
  <sheetData>
    <row r="2" spans="2:6" ht="32.25" x14ac:dyDescent="0.3">
      <c r="B2" s="40" t="s">
        <v>234</v>
      </c>
    </row>
    <row r="3" spans="2:6" x14ac:dyDescent="0.3">
      <c r="C3" s="6" t="s">
        <v>2</v>
      </c>
    </row>
    <row r="4" spans="2:6" x14ac:dyDescent="0.3">
      <c r="C4" s="4" t="s">
        <v>3</v>
      </c>
      <c r="D4" s="4"/>
      <c r="E4" s="4" t="s">
        <v>67</v>
      </c>
      <c r="F4" s="10"/>
    </row>
    <row r="5" spans="2:6" x14ac:dyDescent="0.3">
      <c r="C5" s="5" t="s">
        <v>72</v>
      </c>
      <c r="D5" s="5" t="s">
        <v>5</v>
      </c>
      <c r="E5" s="5" t="s">
        <v>68</v>
      </c>
      <c r="F5" s="11" t="s">
        <v>12</v>
      </c>
    </row>
    <row r="7" spans="2:6" x14ac:dyDescent="0.3">
      <c r="B7" s="1" t="s">
        <v>235</v>
      </c>
      <c r="C7" s="1">
        <v>10242103</v>
      </c>
      <c r="E7" s="1">
        <v>10242103</v>
      </c>
    </row>
    <row r="8" spans="2:6" x14ac:dyDescent="0.3">
      <c r="B8" s="1" t="s">
        <v>236</v>
      </c>
      <c r="C8" s="1">
        <v>1509079</v>
      </c>
      <c r="E8" s="1">
        <v>1509079</v>
      </c>
    </row>
    <row r="9" spans="2:6" x14ac:dyDescent="0.3">
      <c r="B9" s="1" t="s">
        <v>237</v>
      </c>
      <c r="C9" s="7">
        <v>75786</v>
      </c>
      <c r="D9" s="12"/>
      <c r="E9" s="7">
        <v>75786</v>
      </c>
    </row>
    <row r="10" spans="2:6" x14ac:dyDescent="0.3">
      <c r="B10" s="8" t="s">
        <v>239</v>
      </c>
      <c r="C10" s="29">
        <f>SUM(C7:C9)</f>
        <v>11826968</v>
      </c>
      <c r="D10" s="8"/>
      <c r="E10" s="29">
        <v>11826968</v>
      </c>
    </row>
    <row r="12" spans="2:6" x14ac:dyDescent="0.3">
      <c r="B12" s="1" t="s">
        <v>240</v>
      </c>
    </row>
    <row r="13" spans="2:6" x14ac:dyDescent="0.3">
      <c r="B13" s="1" t="s">
        <v>241</v>
      </c>
      <c r="C13" s="38">
        <v>359498</v>
      </c>
      <c r="D13" s="1">
        <f>-C13*0.025</f>
        <v>-8987.4500000000007</v>
      </c>
      <c r="E13" s="1">
        <f>+C13+D13</f>
        <v>350510.55</v>
      </c>
      <c r="F13" s="39" t="s">
        <v>436</v>
      </c>
    </row>
    <row r="14" spans="2:6" x14ac:dyDescent="0.3">
      <c r="B14" s="1" t="s">
        <v>420</v>
      </c>
      <c r="C14" s="38">
        <v>52969</v>
      </c>
      <c r="D14" s="1">
        <f>-C14*0.025</f>
        <v>-1324.2250000000001</v>
      </c>
      <c r="E14" s="1">
        <f>+C14+D14</f>
        <v>51644.775000000001</v>
      </c>
      <c r="F14" s="39" t="s">
        <v>437</v>
      </c>
    </row>
    <row r="15" spans="2:6" x14ac:dyDescent="0.3">
      <c r="B15" s="1" t="s">
        <v>421</v>
      </c>
      <c r="C15" s="42">
        <v>2660</v>
      </c>
      <c r="D15" s="7">
        <f>-C15*0.025</f>
        <v>-66.5</v>
      </c>
      <c r="E15" s="7">
        <f>+C15+D15</f>
        <v>2593.5</v>
      </c>
      <c r="F15" s="39" t="s">
        <v>438</v>
      </c>
    </row>
    <row r="16" spans="2:6" x14ac:dyDescent="0.3">
      <c r="B16" s="8" t="s">
        <v>242</v>
      </c>
      <c r="C16" s="29">
        <f>SUM(C13:C15)</f>
        <v>415127</v>
      </c>
      <c r="D16" s="8">
        <f>+E16-C16</f>
        <v>-10378.174999999988</v>
      </c>
      <c r="E16" s="29">
        <f>SUM(E13:E15)</f>
        <v>404748.82500000001</v>
      </c>
      <c r="F16" s="39" t="s">
        <v>439</v>
      </c>
    </row>
    <row r="18" spans="1:5" x14ac:dyDescent="0.3">
      <c r="B18" s="26"/>
      <c r="C18" s="26"/>
      <c r="D18" s="26"/>
      <c r="E18" s="26"/>
    </row>
    <row r="20" spans="1:5" x14ac:dyDescent="0.3">
      <c r="B20" s="1" t="s">
        <v>243</v>
      </c>
      <c r="C20" s="1">
        <f>+C7+C13</f>
        <v>10601601</v>
      </c>
      <c r="D20" s="1">
        <f>+E20-C20</f>
        <v>-8987.4499999992549</v>
      </c>
      <c r="E20" s="1">
        <f>+E7+E13</f>
        <v>10592613.550000001</v>
      </c>
    </row>
    <row r="21" spans="1:5" x14ac:dyDescent="0.3">
      <c r="B21" s="1" t="s">
        <v>244</v>
      </c>
      <c r="C21" s="1">
        <f>+C8+C14</f>
        <v>1562048</v>
      </c>
      <c r="D21" s="1">
        <f>+E21-C21</f>
        <v>-1324.2250000000931</v>
      </c>
      <c r="E21" s="1">
        <f>+E8+E14</f>
        <v>1560723.7749999999</v>
      </c>
    </row>
    <row r="22" spans="1:5" x14ac:dyDescent="0.3">
      <c r="B22" s="1" t="s">
        <v>245</v>
      </c>
      <c r="C22" s="7">
        <f>+C9+C15</f>
        <v>78446</v>
      </c>
      <c r="D22" s="7">
        <f>+E22-C22</f>
        <v>-66.5</v>
      </c>
      <c r="E22" s="7">
        <f>+E9+E15</f>
        <v>78379.5</v>
      </c>
    </row>
    <row r="23" spans="1:5" x14ac:dyDescent="0.3">
      <c r="B23" s="8" t="s">
        <v>246</v>
      </c>
      <c r="C23" s="29">
        <f>SUM(C20:C22)</f>
        <v>12242095</v>
      </c>
      <c r="D23" s="8">
        <f>+E23-C23</f>
        <v>-10378.174999998882</v>
      </c>
      <c r="E23" s="29">
        <f>SUM(E20:E22)</f>
        <v>12231716.825000001</v>
      </c>
    </row>
    <row r="28" spans="1:5" x14ac:dyDescent="0.3">
      <c r="A28" s="20" t="s">
        <v>2</v>
      </c>
      <c r="B28" s="1" t="s">
        <v>247</v>
      </c>
    </row>
  </sheetData>
  <pageMargins left="0.7" right="0.7" top="0.8125" bottom="0.75" header="0.3" footer="0.3"/>
  <pageSetup scale="75" orientation="portrait" horizontalDpi="0" verticalDpi="0" r:id="rId1"/>
  <headerFooter>
    <oddHeader>&amp;L&amp;"Arial Narrow,Bold"&amp;K03+021Rhode Island Energy - Electric 
Test Year August 31, 2025
Rate Year 1 - July 31, 2027&amp;C&amp;"Arial Narrow,Bold"&amp;K03+021RI Public Utilities Commission
Docket No. 25-45-GE&amp;R&amp;"Arial Narrow,Bold"&amp;K03+021Schedule DM-12-Electric RY 1</oddHeader>
  </headerFooter>
  <ignoredErrors>
    <ignoredError sqref="D21 D16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027A6-C55A-40E9-869E-69F03C16FC1A}">
  <sheetPr>
    <pageSetUpPr fitToPage="1"/>
  </sheetPr>
  <dimension ref="A2:H45"/>
  <sheetViews>
    <sheetView view="pageLayout" topLeftCell="A5" zoomScaleNormal="100" workbookViewId="0">
      <selection activeCell="G23" sqref="G23"/>
    </sheetView>
  </sheetViews>
  <sheetFormatPr defaultRowHeight="16.5" x14ac:dyDescent="0.3"/>
  <cols>
    <col min="1" max="1" width="6.7109375" style="2" customWidth="1"/>
    <col min="2" max="2" width="40.7109375" style="1" customWidth="1"/>
    <col min="3" max="7" width="18.7109375" style="1" customWidth="1"/>
    <col min="8" max="8" width="18.7109375" style="39" customWidth="1"/>
    <col min="9" max="13" width="18.7109375" style="1" customWidth="1"/>
    <col min="14" max="16384" width="9.140625" style="1"/>
  </cols>
  <sheetData>
    <row r="2" spans="2:8" x14ac:dyDescent="0.3">
      <c r="B2" s="5" t="s">
        <v>248</v>
      </c>
    </row>
    <row r="3" spans="2:8" x14ac:dyDescent="0.3">
      <c r="C3" s="6" t="s">
        <v>2</v>
      </c>
    </row>
    <row r="4" spans="2:8" x14ac:dyDescent="0.3">
      <c r="C4" s="4" t="s">
        <v>3</v>
      </c>
      <c r="D4" s="4"/>
      <c r="E4" s="4" t="s">
        <v>3</v>
      </c>
      <c r="F4" s="4"/>
      <c r="G4" s="4" t="s">
        <v>284</v>
      </c>
      <c r="H4" s="10"/>
    </row>
    <row r="5" spans="2:8" x14ac:dyDescent="0.3">
      <c r="C5" s="4" t="s">
        <v>262</v>
      </c>
      <c r="D5" s="4" t="s">
        <v>254</v>
      </c>
      <c r="E5" s="4" t="s">
        <v>151</v>
      </c>
      <c r="F5" s="4"/>
      <c r="G5" s="4" t="s">
        <v>151</v>
      </c>
      <c r="H5" s="10"/>
    </row>
    <row r="6" spans="2:8" x14ac:dyDescent="0.3">
      <c r="C6" s="5" t="s">
        <v>72</v>
      </c>
      <c r="D6" s="5" t="s">
        <v>5</v>
      </c>
      <c r="E6" s="5" t="s">
        <v>4</v>
      </c>
      <c r="F6" s="5" t="s">
        <v>5</v>
      </c>
      <c r="G6" s="5" t="s">
        <v>68</v>
      </c>
      <c r="H6" s="11" t="s">
        <v>12</v>
      </c>
    </row>
    <row r="8" spans="2:8" x14ac:dyDescent="0.3">
      <c r="B8" s="1" t="s">
        <v>252</v>
      </c>
      <c r="C8" s="1">
        <v>1644284</v>
      </c>
      <c r="D8" s="1">
        <v>86581</v>
      </c>
      <c r="E8" s="1">
        <f>+C8+D8</f>
        <v>1730865</v>
      </c>
      <c r="F8" s="1">
        <f>-D8</f>
        <v>-86581</v>
      </c>
      <c r="G8" s="1">
        <f>+E8+F8</f>
        <v>1644284</v>
      </c>
    </row>
    <row r="9" spans="2:8" x14ac:dyDescent="0.3">
      <c r="B9" s="1" t="s">
        <v>253</v>
      </c>
      <c r="C9" s="1">
        <v>5495257</v>
      </c>
      <c r="D9" s="1">
        <v>289357</v>
      </c>
      <c r="E9" s="1">
        <f>+C9+D9</f>
        <v>5784614</v>
      </c>
      <c r="F9" s="1">
        <f>-D9</f>
        <v>-289357</v>
      </c>
      <c r="G9" s="1">
        <f>+E9+F9</f>
        <v>5495257</v>
      </c>
    </row>
    <row r="10" spans="2:8" x14ac:dyDescent="0.3">
      <c r="B10" s="1" t="s">
        <v>250</v>
      </c>
      <c r="C10" s="7">
        <v>0</v>
      </c>
      <c r="D10" s="7">
        <v>0</v>
      </c>
      <c r="E10" s="7">
        <f>+C10+D10</f>
        <v>0</v>
      </c>
      <c r="F10" s="7">
        <v>-1508072</v>
      </c>
      <c r="G10" s="7">
        <v>0</v>
      </c>
    </row>
    <row r="11" spans="2:8" x14ac:dyDescent="0.3">
      <c r="B11" s="8" t="s">
        <v>238</v>
      </c>
      <c r="C11" s="31">
        <f>SUM(C8:C10)</f>
        <v>7139541</v>
      </c>
      <c r="D11" s="16">
        <f>SUM(D8:D10)</f>
        <v>375938</v>
      </c>
      <c r="E11" s="31">
        <f>SUM(E8:E10)</f>
        <v>7515479</v>
      </c>
      <c r="F11" s="72">
        <f>+G11-E11</f>
        <v>-1884010</v>
      </c>
      <c r="G11" s="31">
        <f>SUM(G8:G10)+F30</f>
        <v>5631469</v>
      </c>
      <c r="H11" s="39" t="s">
        <v>440</v>
      </c>
    </row>
    <row r="12" spans="2:8" x14ac:dyDescent="0.3">
      <c r="B12" s="8"/>
      <c r="H12" s="39" t="s">
        <v>441</v>
      </c>
    </row>
    <row r="13" spans="2:8" ht="18" x14ac:dyDescent="0.4">
      <c r="B13" s="47" t="s">
        <v>249</v>
      </c>
    </row>
    <row r="14" spans="2:8" x14ac:dyDescent="0.3">
      <c r="B14" s="1" t="s">
        <v>255</v>
      </c>
      <c r="C14" s="1">
        <v>529230</v>
      </c>
      <c r="D14" s="1">
        <v>27867</v>
      </c>
      <c r="E14" s="1">
        <f>+C14+D14</f>
        <v>557097</v>
      </c>
      <c r="F14" s="1">
        <f>-D14</f>
        <v>-27867</v>
      </c>
      <c r="G14" s="1">
        <f>+E14+F14</f>
        <v>529230</v>
      </c>
    </row>
    <row r="15" spans="2:8" x14ac:dyDescent="0.3">
      <c r="B15" s="1" t="s">
        <v>256</v>
      </c>
      <c r="C15" s="1">
        <v>348799</v>
      </c>
      <c r="D15" s="1">
        <v>18366</v>
      </c>
      <c r="E15" s="1">
        <f>+C15+D15</f>
        <v>367165</v>
      </c>
      <c r="F15" s="1">
        <f>-D15</f>
        <v>-18366</v>
      </c>
      <c r="G15" s="1">
        <f>+E15+F15</f>
        <v>348799</v>
      </c>
    </row>
    <row r="16" spans="2:8" x14ac:dyDescent="0.3">
      <c r="B16" s="1" t="s">
        <v>257</v>
      </c>
      <c r="C16" s="1">
        <v>279670</v>
      </c>
      <c r="D16" s="1">
        <v>14726</v>
      </c>
      <c r="E16" s="1">
        <f>+C16+D16</f>
        <v>294396</v>
      </c>
      <c r="F16" s="1">
        <f>-D16</f>
        <v>-14726</v>
      </c>
      <c r="G16" s="1">
        <f>+E16+F16</f>
        <v>279670</v>
      </c>
    </row>
    <row r="17" spans="1:7" x14ac:dyDescent="0.3">
      <c r="B17" s="1" t="s">
        <v>258</v>
      </c>
      <c r="C17" s="1">
        <v>205736</v>
      </c>
      <c r="D17" s="1">
        <v>10833</v>
      </c>
      <c r="E17" s="1">
        <f>+C17+D17</f>
        <v>216569</v>
      </c>
      <c r="F17" s="1">
        <f>-D17</f>
        <v>-10833</v>
      </c>
      <c r="G17" s="1">
        <f>+E17+F17</f>
        <v>205736</v>
      </c>
    </row>
    <row r="18" spans="1:7" x14ac:dyDescent="0.3">
      <c r="B18" s="1" t="s">
        <v>259</v>
      </c>
      <c r="C18" s="1">
        <v>5251083</v>
      </c>
      <c r="D18" s="1">
        <v>276499</v>
      </c>
      <c r="E18" s="1">
        <f>+C18+D18</f>
        <v>5527582</v>
      </c>
      <c r="F18" s="1">
        <f>-D18</f>
        <v>-276499</v>
      </c>
      <c r="G18" s="1">
        <f>+E18+F18</f>
        <v>5251083</v>
      </c>
    </row>
    <row r="19" spans="1:7" ht="18" x14ac:dyDescent="0.4">
      <c r="B19" s="47" t="s">
        <v>251</v>
      </c>
    </row>
    <row r="20" spans="1:7" x14ac:dyDescent="0.3">
      <c r="B20" s="1" t="s">
        <v>255</v>
      </c>
      <c r="C20" s="1">
        <v>410346</v>
      </c>
      <c r="D20" s="1">
        <v>21607</v>
      </c>
      <c r="E20" s="1">
        <f>+C20+D20</f>
        <v>431953</v>
      </c>
      <c r="F20" s="1">
        <f>-D20</f>
        <v>-21607</v>
      </c>
      <c r="G20" s="1">
        <f>+E20+F20</f>
        <v>410346</v>
      </c>
    </row>
    <row r="21" spans="1:7" x14ac:dyDescent="0.3">
      <c r="B21" s="1" t="s">
        <v>256</v>
      </c>
      <c r="C21" s="1">
        <v>114092</v>
      </c>
      <c r="D21" s="1">
        <v>6008</v>
      </c>
      <c r="E21" s="1">
        <f>+C21+D21</f>
        <v>120100</v>
      </c>
      <c r="F21" s="1">
        <f>-D21</f>
        <v>-6008</v>
      </c>
      <c r="G21" s="1">
        <f>+E21+F21</f>
        <v>114092</v>
      </c>
    </row>
    <row r="22" spans="1:7" x14ac:dyDescent="0.3">
      <c r="B22" s="1" t="s">
        <v>259</v>
      </c>
      <c r="C22" s="7">
        <v>584</v>
      </c>
      <c r="D22" s="7">
        <v>31</v>
      </c>
      <c r="E22" s="7">
        <f>+C22+D22</f>
        <v>615</v>
      </c>
      <c r="F22" s="7">
        <f>-D22</f>
        <v>-31</v>
      </c>
      <c r="G22" s="7">
        <f>+E22+F22</f>
        <v>584</v>
      </c>
    </row>
    <row r="23" spans="1:7" x14ac:dyDescent="0.3">
      <c r="B23" s="8" t="s">
        <v>238</v>
      </c>
      <c r="C23" s="31">
        <f>SUM(C14:C22)</f>
        <v>7139540</v>
      </c>
      <c r="D23" s="16">
        <f>SUM(D14:D22)</f>
        <v>375937</v>
      </c>
      <c r="E23" s="31">
        <f>SUM(E14:E22)</f>
        <v>7515477</v>
      </c>
      <c r="F23" s="72">
        <f>+G23-E23</f>
        <v>-1884009</v>
      </c>
      <c r="G23" s="31">
        <f>SUM(G14:G22)+F30</f>
        <v>5631468</v>
      </c>
    </row>
    <row r="25" spans="1:7" x14ac:dyDescent="0.3">
      <c r="B25" s="44"/>
      <c r="C25" s="44"/>
      <c r="D25" s="44"/>
      <c r="E25" s="44"/>
      <c r="F25" s="44"/>
      <c r="G25" s="44"/>
    </row>
    <row r="26" spans="1:7" x14ac:dyDescent="0.3">
      <c r="B26" s="8" t="s">
        <v>509</v>
      </c>
      <c r="F26" s="78">
        <v>-509034</v>
      </c>
    </row>
    <row r="27" spans="1:7" x14ac:dyDescent="0.3">
      <c r="F27" s="79">
        <v>-594524</v>
      </c>
    </row>
    <row r="28" spans="1:7" x14ac:dyDescent="0.3">
      <c r="F28" s="79">
        <v>-165853</v>
      </c>
    </row>
    <row r="29" spans="1:7" x14ac:dyDescent="0.3">
      <c r="A29" s="20" t="s">
        <v>2</v>
      </c>
      <c r="B29" s="1" t="s">
        <v>260</v>
      </c>
      <c r="F29" s="81">
        <v>-238661</v>
      </c>
    </row>
    <row r="30" spans="1:7" x14ac:dyDescent="0.3">
      <c r="B30" s="8"/>
      <c r="C30" s="45"/>
      <c r="D30" s="46"/>
      <c r="E30" s="46"/>
      <c r="F30" s="80">
        <f>SUM(F26:F29)</f>
        <v>-1508072</v>
      </c>
      <c r="G30" s="46"/>
    </row>
    <row r="32" spans="1:7" x14ac:dyDescent="0.3">
      <c r="B32" s="44"/>
      <c r="C32" s="44"/>
      <c r="D32" s="44"/>
      <c r="E32" s="44"/>
      <c r="F32" s="44"/>
      <c r="G32" s="44"/>
    </row>
    <row r="34" spans="2:7" x14ac:dyDescent="0.3">
      <c r="B34" s="8"/>
    </row>
    <row r="35" spans="2:7" ht="18" x14ac:dyDescent="0.4">
      <c r="B35" s="43"/>
    </row>
    <row r="41" spans="2:7" ht="18" x14ac:dyDescent="0.4">
      <c r="B41" s="43"/>
    </row>
    <row r="45" spans="2:7" x14ac:dyDescent="0.3">
      <c r="B45" s="8"/>
      <c r="C45" s="46"/>
      <c r="D45" s="8"/>
      <c r="E45" s="8"/>
      <c r="F45" s="8"/>
      <c r="G45" s="46"/>
    </row>
  </sheetData>
  <pageMargins left="0.7" right="0.7" top="0.71250000000000002" bottom="0.75" header="0.3" footer="0.3"/>
  <pageSetup scale="57" orientation="portrait" horizontalDpi="0" verticalDpi="0" r:id="rId1"/>
  <headerFooter>
    <oddHeader>&amp;L&amp;"Arial Narrow,Bold"&amp;K03+022Rhode Island Energy - Electric 
Test Year August 31, 2025
Rate Year 1 - July 31, 2027&amp;C&amp;"Arial Narrow,Bold"&amp;K03+024RI Public Utilities Commission
Docket No. 25-45-GE&amp;R&amp;"Arial Narrow,Bold"&amp;K03+024Schedule DM-13-Electric RY 1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9CC3A-89CE-4E76-8CF8-BB3DF6F8AB9E}">
  <sheetPr>
    <pageSetUpPr fitToPage="1"/>
  </sheetPr>
  <dimension ref="A2:H28"/>
  <sheetViews>
    <sheetView view="pageLayout" topLeftCell="C1" zoomScaleNormal="100" workbookViewId="0">
      <selection activeCell="H11" sqref="H11"/>
    </sheetView>
  </sheetViews>
  <sheetFormatPr defaultRowHeight="16.5" x14ac:dyDescent="0.3"/>
  <cols>
    <col min="1" max="1" width="6.7109375" style="2" customWidth="1"/>
    <col min="2" max="2" width="40.7109375" style="1" customWidth="1"/>
    <col min="3" max="7" width="18.7109375" style="1" customWidth="1"/>
    <col min="8" max="8" width="18.7109375" style="39" customWidth="1"/>
    <col min="9" max="11" width="18.7109375" style="1" customWidth="1"/>
    <col min="12" max="16384" width="9.140625" style="1"/>
  </cols>
  <sheetData>
    <row r="2" spans="2:8" x14ac:dyDescent="0.3">
      <c r="B2" s="5" t="s">
        <v>261</v>
      </c>
    </row>
    <row r="3" spans="2:8" x14ac:dyDescent="0.3">
      <c r="C3" s="6" t="s">
        <v>2</v>
      </c>
    </row>
    <row r="4" spans="2:8" x14ac:dyDescent="0.3">
      <c r="C4" s="4" t="s">
        <v>3</v>
      </c>
      <c r="D4" s="4"/>
      <c r="E4" s="4" t="s">
        <v>3</v>
      </c>
      <c r="F4" s="4"/>
      <c r="G4" s="4" t="s">
        <v>285</v>
      </c>
      <c r="H4" s="10"/>
    </row>
    <row r="5" spans="2:8" x14ac:dyDescent="0.3">
      <c r="C5" s="4" t="s">
        <v>262</v>
      </c>
      <c r="D5" s="4" t="s">
        <v>264</v>
      </c>
      <c r="E5" s="4" t="s">
        <v>263</v>
      </c>
      <c r="F5" s="4"/>
      <c r="G5" s="4" t="s">
        <v>282</v>
      </c>
      <c r="H5" s="10"/>
    </row>
    <row r="6" spans="2:8" x14ac:dyDescent="0.3">
      <c r="C6" s="5" t="s">
        <v>72</v>
      </c>
      <c r="D6" s="5" t="s">
        <v>5</v>
      </c>
      <c r="E6" s="5" t="s">
        <v>72</v>
      </c>
      <c r="F6" s="5" t="s">
        <v>5</v>
      </c>
      <c r="G6" s="5" t="s">
        <v>68</v>
      </c>
      <c r="H6" s="11" t="s">
        <v>12</v>
      </c>
    </row>
    <row r="8" spans="2:8" x14ac:dyDescent="0.3">
      <c r="B8" s="1" t="s">
        <v>252</v>
      </c>
      <c r="C8" s="1">
        <v>19200046</v>
      </c>
      <c r="D8" s="1">
        <v>1010991</v>
      </c>
      <c r="E8" s="1">
        <f>+C8+D8</f>
        <v>20211037</v>
      </c>
      <c r="F8" s="1">
        <f>-D8</f>
        <v>-1010991</v>
      </c>
      <c r="G8" s="1">
        <f>+E8+F8</f>
        <v>19200046</v>
      </c>
    </row>
    <row r="9" spans="2:8" x14ac:dyDescent="0.3">
      <c r="B9" s="1" t="s">
        <v>253</v>
      </c>
      <c r="C9" s="1">
        <v>10760207</v>
      </c>
      <c r="D9" s="1">
        <v>566586</v>
      </c>
      <c r="E9" s="1">
        <f>+C9+D9</f>
        <v>11326793</v>
      </c>
      <c r="F9" s="1">
        <f>-D9</f>
        <v>-566586</v>
      </c>
      <c r="G9" s="1">
        <f>+E9+F9</f>
        <v>10760207</v>
      </c>
    </row>
    <row r="10" spans="2:8" x14ac:dyDescent="0.3">
      <c r="B10" s="1" t="s">
        <v>265</v>
      </c>
      <c r="C10" s="7">
        <v>189058</v>
      </c>
      <c r="D10" s="7">
        <v>0</v>
      </c>
      <c r="E10" s="7">
        <f>+C10+D10</f>
        <v>189058</v>
      </c>
      <c r="F10" s="7">
        <f>-D10</f>
        <v>0</v>
      </c>
      <c r="G10" s="7">
        <f>+E10+F10</f>
        <v>189058</v>
      </c>
    </row>
    <row r="11" spans="2:8" x14ac:dyDescent="0.3">
      <c r="B11" s="8" t="s">
        <v>238</v>
      </c>
      <c r="C11" s="31">
        <f>SUM(C8:C10)</f>
        <v>30149311</v>
      </c>
      <c r="D11" s="16">
        <f>SUM(D8:D10)</f>
        <v>1577577</v>
      </c>
      <c r="E11" s="31">
        <f>SUM(E8:E10)</f>
        <v>31726888</v>
      </c>
      <c r="F11" s="16">
        <f>SUM(F8:F10)</f>
        <v>-1577577</v>
      </c>
      <c r="G11" s="31">
        <f>SUM(G8:G10)</f>
        <v>30149311</v>
      </c>
      <c r="H11" s="39" t="s">
        <v>442</v>
      </c>
    </row>
    <row r="13" spans="2:8" ht="18" x14ac:dyDescent="0.4">
      <c r="B13" s="47" t="s">
        <v>249</v>
      </c>
    </row>
    <row r="14" spans="2:8" x14ac:dyDescent="0.3">
      <c r="B14" s="48" t="s">
        <v>266</v>
      </c>
      <c r="C14" s="1">
        <v>-5450</v>
      </c>
      <c r="D14" s="1">
        <v>-287</v>
      </c>
      <c r="E14" s="1">
        <f t="shared" ref="E14:E20" si="0">+C14+D14</f>
        <v>-5737</v>
      </c>
      <c r="F14" s="1">
        <f t="shared" ref="F14:F20" si="1">-D14</f>
        <v>287</v>
      </c>
      <c r="G14" s="1">
        <f t="shared" ref="G14:G20" si="2">+E14+F14</f>
        <v>-5450</v>
      </c>
    </row>
    <row r="15" spans="2:8" x14ac:dyDescent="0.3">
      <c r="B15" s="1" t="s">
        <v>255</v>
      </c>
      <c r="C15" s="1">
        <v>633140</v>
      </c>
      <c r="D15" s="1">
        <v>33338</v>
      </c>
      <c r="E15" s="1">
        <f t="shared" si="0"/>
        <v>666478</v>
      </c>
      <c r="F15" s="1">
        <f t="shared" si="1"/>
        <v>-33338</v>
      </c>
      <c r="G15" s="1">
        <f t="shared" si="2"/>
        <v>633140</v>
      </c>
    </row>
    <row r="16" spans="2:8" x14ac:dyDescent="0.3">
      <c r="B16" s="1" t="s">
        <v>256</v>
      </c>
      <c r="C16" s="1">
        <v>4886728</v>
      </c>
      <c r="D16" s="1">
        <v>257314</v>
      </c>
      <c r="E16" s="1">
        <f t="shared" si="0"/>
        <v>5144042</v>
      </c>
      <c r="F16" s="1">
        <f t="shared" si="1"/>
        <v>-257314</v>
      </c>
      <c r="G16" s="1">
        <f t="shared" si="2"/>
        <v>4886728</v>
      </c>
    </row>
    <row r="17" spans="1:7" x14ac:dyDescent="0.3">
      <c r="B17" s="1" t="s">
        <v>257</v>
      </c>
      <c r="C17" s="1">
        <v>2136820</v>
      </c>
      <c r="D17" s="1">
        <v>112516</v>
      </c>
      <c r="E17" s="1">
        <f t="shared" si="0"/>
        <v>2249336</v>
      </c>
      <c r="F17" s="1">
        <f t="shared" si="1"/>
        <v>-112516</v>
      </c>
      <c r="G17" s="1">
        <f t="shared" si="2"/>
        <v>2136820</v>
      </c>
    </row>
    <row r="18" spans="1:7" x14ac:dyDescent="0.3">
      <c r="B18" s="1" t="s">
        <v>258</v>
      </c>
      <c r="C18" s="1">
        <v>46988</v>
      </c>
      <c r="D18" s="1">
        <v>2474</v>
      </c>
      <c r="E18" s="1">
        <f t="shared" si="0"/>
        <v>49462</v>
      </c>
      <c r="F18" s="1">
        <f t="shared" si="1"/>
        <v>-2474</v>
      </c>
      <c r="G18" s="1">
        <f t="shared" si="2"/>
        <v>46988</v>
      </c>
    </row>
    <row r="19" spans="1:7" x14ac:dyDescent="0.3">
      <c r="B19" s="1" t="s">
        <v>267</v>
      </c>
      <c r="C19" s="1">
        <v>-11939</v>
      </c>
      <c r="D19" s="1">
        <v>-629</v>
      </c>
      <c r="E19" s="1">
        <f t="shared" si="0"/>
        <v>-12568</v>
      </c>
      <c r="F19" s="1">
        <f t="shared" si="1"/>
        <v>629</v>
      </c>
      <c r="G19" s="1">
        <f t="shared" si="2"/>
        <v>-11939</v>
      </c>
    </row>
    <row r="20" spans="1:7" x14ac:dyDescent="0.3">
      <c r="B20" s="1" t="s">
        <v>259</v>
      </c>
      <c r="C20" s="1">
        <v>7021323</v>
      </c>
      <c r="D20" s="1">
        <v>359758</v>
      </c>
      <c r="E20" s="1">
        <f t="shared" si="0"/>
        <v>7381081</v>
      </c>
      <c r="F20" s="1">
        <f t="shared" si="1"/>
        <v>-359758</v>
      </c>
      <c r="G20" s="1">
        <f t="shared" si="2"/>
        <v>7021323</v>
      </c>
    </row>
    <row r="21" spans="1:7" ht="18" x14ac:dyDescent="0.4">
      <c r="B21" s="47" t="s">
        <v>251</v>
      </c>
    </row>
    <row r="22" spans="1:7" x14ac:dyDescent="0.3">
      <c r="B22" s="1" t="s">
        <v>255</v>
      </c>
      <c r="C22" s="1">
        <v>2314310</v>
      </c>
      <c r="D22" s="1">
        <v>121862</v>
      </c>
      <c r="E22" s="1">
        <f>+C22+D22</f>
        <v>2436172</v>
      </c>
      <c r="F22" s="1">
        <f>-D22</f>
        <v>-121862</v>
      </c>
      <c r="G22" s="1">
        <f>+E22+F22</f>
        <v>2314310</v>
      </c>
    </row>
    <row r="23" spans="1:7" x14ac:dyDescent="0.3">
      <c r="B23" s="1" t="s">
        <v>256</v>
      </c>
      <c r="C23" s="1">
        <v>12665649</v>
      </c>
      <c r="D23" s="1">
        <v>666918</v>
      </c>
      <c r="E23" s="1">
        <f>+C23+D23</f>
        <v>13332567</v>
      </c>
      <c r="F23" s="1">
        <f>-D23</f>
        <v>-666918</v>
      </c>
      <c r="G23" s="1">
        <f>+E23+F23</f>
        <v>12665649</v>
      </c>
    </row>
    <row r="24" spans="1:7" x14ac:dyDescent="0.3">
      <c r="B24" s="1" t="s">
        <v>259</v>
      </c>
      <c r="C24" s="7">
        <v>461741</v>
      </c>
      <c r="D24" s="7">
        <v>24313</v>
      </c>
      <c r="E24" s="7">
        <f>+C24+D24</f>
        <v>486054</v>
      </c>
      <c r="F24" s="7">
        <f>-D24</f>
        <v>-24313</v>
      </c>
      <c r="G24" s="7">
        <f>+E24+F24</f>
        <v>461741</v>
      </c>
    </row>
    <row r="25" spans="1:7" x14ac:dyDescent="0.3">
      <c r="B25" s="8" t="s">
        <v>238</v>
      </c>
      <c r="C25" s="19">
        <f>SUM(C14:C24)</f>
        <v>30149310</v>
      </c>
      <c r="D25" s="12">
        <f>SUM(D14:D24)</f>
        <v>1577577</v>
      </c>
      <c r="E25" s="19">
        <f>SUM(E14:E24)</f>
        <v>31726887</v>
      </c>
      <c r="F25" s="12">
        <f>SUM(F14:F24)</f>
        <v>-1577577</v>
      </c>
      <c r="G25" s="19">
        <f>SUM(G14:G24)</f>
        <v>30149310</v>
      </c>
    </row>
    <row r="28" spans="1:7" x14ac:dyDescent="0.3">
      <c r="A28" s="20" t="s">
        <v>2</v>
      </c>
      <c r="B28" s="1" t="s">
        <v>419</v>
      </c>
    </row>
  </sheetData>
  <pageMargins left="0.7" right="0.7" top="0.84499999999999997" bottom="0.75" header="0.3" footer="0.3"/>
  <pageSetup scale="78" orientation="landscape" horizontalDpi="0" verticalDpi="0" r:id="rId1"/>
  <headerFooter>
    <oddHeader>&amp;L&amp;"Arial Narrow,Bold"&amp;K03+023Rhode Island Energy - Electric 
Test Year August 31, 2025
Rate Year 1- July 31, 2027&amp;C&amp;"Arial Narrow,Bold"&amp;K03+024RI Public Utilities Commission
Docket No. 25-45-GE&amp;R&amp;"Arial Narrow,Bold"&amp;K03+024Schedule DM-14-Electric RY 1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12B08-8727-4B66-9A55-B2A44EE18535}">
  <sheetPr>
    <pageSetUpPr fitToPage="1"/>
  </sheetPr>
  <dimension ref="A2:H29"/>
  <sheetViews>
    <sheetView view="pageLayout" topLeftCell="A4" zoomScale="90" zoomScaleNormal="100" zoomScalePageLayoutView="90" workbookViewId="0">
      <selection activeCell="F29" sqref="F29"/>
    </sheetView>
  </sheetViews>
  <sheetFormatPr defaultRowHeight="15.75" x14ac:dyDescent="0.25"/>
  <cols>
    <col min="1" max="1" width="6.7109375" style="2" customWidth="1"/>
    <col min="2" max="2" width="40.7109375" style="1" customWidth="1"/>
    <col min="3" max="7" width="18.7109375" style="1" customWidth="1"/>
    <col min="8" max="8" width="18.7109375" style="3" customWidth="1"/>
    <col min="9" max="11" width="18.7109375" style="1" customWidth="1"/>
    <col min="12" max="16384" width="9.140625" style="1"/>
  </cols>
  <sheetData>
    <row r="2" spans="2:8" x14ac:dyDescent="0.25">
      <c r="B2" s="5" t="s">
        <v>270</v>
      </c>
    </row>
    <row r="3" spans="2:8" ht="16.5" x14ac:dyDescent="0.3">
      <c r="C3" s="6" t="s">
        <v>2</v>
      </c>
      <c r="H3" s="39"/>
    </row>
    <row r="4" spans="2:8" ht="16.5" x14ac:dyDescent="0.3">
      <c r="C4" s="4" t="s">
        <v>3</v>
      </c>
      <c r="D4" s="4"/>
      <c r="E4" s="4" t="s">
        <v>3</v>
      </c>
      <c r="F4" s="4"/>
      <c r="G4" s="4" t="s">
        <v>67</v>
      </c>
      <c r="H4" s="10"/>
    </row>
    <row r="5" spans="2:8" ht="16.5" x14ac:dyDescent="0.3">
      <c r="C5" s="4" t="s">
        <v>262</v>
      </c>
      <c r="D5" s="4" t="s">
        <v>264</v>
      </c>
      <c r="E5" s="4" t="s">
        <v>263</v>
      </c>
      <c r="F5" s="4"/>
      <c r="G5" s="4" t="s">
        <v>282</v>
      </c>
      <c r="H5" s="10"/>
    </row>
    <row r="6" spans="2:8" ht="16.5" x14ac:dyDescent="0.3">
      <c r="C6" s="5" t="s">
        <v>72</v>
      </c>
      <c r="D6" s="5" t="s">
        <v>5</v>
      </c>
      <c r="E6" s="5" t="s">
        <v>72</v>
      </c>
      <c r="F6" s="5" t="s">
        <v>5</v>
      </c>
      <c r="G6" s="5" t="s">
        <v>68</v>
      </c>
      <c r="H6" s="11" t="s">
        <v>12</v>
      </c>
    </row>
    <row r="8" spans="2:8" x14ac:dyDescent="0.25">
      <c r="B8" s="1" t="s">
        <v>252</v>
      </c>
      <c r="C8" s="1">
        <v>617832</v>
      </c>
      <c r="D8" s="1">
        <v>32532</v>
      </c>
      <c r="E8" s="1">
        <f>+C8+D8</f>
        <v>650364</v>
      </c>
      <c r="F8" s="1">
        <f>-D8</f>
        <v>-32532</v>
      </c>
      <c r="G8" s="1">
        <f>+E8+F8</f>
        <v>617832</v>
      </c>
    </row>
    <row r="9" spans="2:8" x14ac:dyDescent="0.25">
      <c r="B9" s="1" t="s">
        <v>253</v>
      </c>
      <c r="C9" s="1">
        <v>534111</v>
      </c>
      <c r="D9" s="1">
        <v>28124</v>
      </c>
      <c r="E9" s="1">
        <f>+C9+D9</f>
        <v>562235</v>
      </c>
      <c r="F9" s="1">
        <f>-D9</f>
        <v>-28124</v>
      </c>
      <c r="G9" s="1">
        <f>+E9+F9</f>
        <v>534111</v>
      </c>
    </row>
    <row r="10" spans="2:8" x14ac:dyDescent="0.25">
      <c r="B10" s="1" t="s">
        <v>265</v>
      </c>
      <c r="C10" s="7">
        <v>4522</v>
      </c>
      <c r="D10" s="7">
        <v>238</v>
      </c>
      <c r="E10" s="7">
        <f>+C10+D10</f>
        <v>4760</v>
      </c>
      <c r="F10" s="7">
        <f>-D10</f>
        <v>-238</v>
      </c>
      <c r="G10" s="7">
        <f>+E10+F10</f>
        <v>4522</v>
      </c>
    </row>
    <row r="11" spans="2:8" x14ac:dyDescent="0.25">
      <c r="B11" s="8" t="s">
        <v>238</v>
      </c>
      <c r="C11" s="31">
        <f>SUM(C8:C10)</f>
        <v>1156465</v>
      </c>
      <c r="D11" s="16">
        <f>SUM(D8:D10)</f>
        <v>60894</v>
      </c>
      <c r="E11" s="31">
        <f>SUM(E8:E10)</f>
        <v>1217359</v>
      </c>
      <c r="F11" s="16">
        <f>+G11-E11</f>
        <v>-89464</v>
      </c>
      <c r="G11" s="31">
        <f>SUM(G8:G10)+F29</f>
        <v>1127895</v>
      </c>
      <c r="H11" s="3" t="s">
        <v>443</v>
      </c>
    </row>
    <row r="13" spans="2:8" ht="18" x14ac:dyDescent="0.4">
      <c r="B13" s="47" t="s">
        <v>249</v>
      </c>
    </row>
    <row r="14" spans="2:8" x14ac:dyDescent="0.25">
      <c r="B14" s="48" t="s">
        <v>266</v>
      </c>
      <c r="C14" s="1">
        <v>0</v>
      </c>
      <c r="D14" s="1">
        <v>0</v>
      </c>
      <c r="E14" s="1">
        <v>0</v>
      </c>
    </row>
    <row r="15" spans="2:8" x14ac:dyDescent="0.25">
      <c r="B15" s="1" t="s">
        <v>255</v>
      </c>
      <c r="C15" s="1">
        <v>38825</v>
      </c>
      <c r="D15" s="1">
        <v>2044</v>
      </c>
      <c r="E15" s="1">
        <f>+C15+D15</f>
        <v>40869</v>
      </c>
      <c r="F15" s="1">
        <f>-D15</f>
        <v>-2044</v>
      </c>
      <c r="G15" s="1">
        <f>+E15+F15</f>
        <v>38825</v>
      </c>
    </row>
    <row r="16" spans="2:8" x14ac:dyDescent="0.25">
      <c r="B16" s="1" t="s">
        <v>256</v>
      </c>
      <c r="C16" s="1">
        <v>74484</v>
      </c>
      <c r="D16" s="1">
        <v>3922</v>
      </c>
      <c r="E16" s="1">
        <f>+C16+D16</f>
        <v>78406</v>
      </c>
      <c r="F16" s="1">
        <f>-D16</f>
        <v>-3922</v>
      </c>
      <c r="G16" s="1">
        <f>+E16+F16</f>
        <v>74484</v>
      </c>
    </row>
    <row r="17" spans="1:7" x14ac:dyDescent="0.25">
      <c r="B17" s="1" t="s">
        <v>257</v>
      </c>
      <c r="C17" s="1">
        <v>21542</v>
      </c>
      <c r="D17" s="1">
        <v>1134</v>
      </c>
      <c r="E17" s="1">
        <f>+C17+D17</f>
        <v>22676</v>
      </c>
      <c r="F17" s="1">
        <f>-D17</f>
        <v>-1134</v>
      </c>
      <c r="G17" s="1">
        <f>+E17+F17</f>
        <v>21542</v>
      </c>
    </row>
    <row r="18" spans="1:7" x14ac:dyDescent="0.25">
      <c r="B18" s="1" t="s">
        <v>258</v>
      </c>
      <c r="C18" s="1">
        <v>53</v>
      </c>
      <c r="D18" s="1">
        <v>3</v>
      </c>
      <c r="E18" s="1">
        <f>+C18+D18</f>
        <v>56</v>
      </c>
      <c r="F18" s="1">
        <f>-D18</f>
        <v>-3</v>
      </c>
      <c r="G18" s="1">
        <f>+E18+F18</f>
        <v>53</v>
      </c>
    </row>
    <row r="19" spans="1:7" x14ac:dyDescent="0.25">
      <c r="B19" s="1" t="s">
        <v>267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</row>
    <row r="20" spans="1:7" x14ac:dyDescent="0.25">
      <c r="B20" s="1" t="s">
        <v>259</v>
      </c>
      <c r="C20" s="1">
        <v>383916</v>
      </c>
      <c r="D20" s="1">
        <v>20215</v>
      </c>
      <c r="E20" s="1">
        <f>+C20+D20</f>
        <v>404131</v>
      </c>
      <c r="F20" s="1">
        <f>-D20</f>
        <v>-20215</v>
      </c>
      <c r="G20" s="1">
        <f>+E20+F20</f>
        <v>383916</v>
      </c>
    </row>
    <row r="21" spans="1:7" ht="18" x14ac:dyDescent="0.4">
      <c r="B21" s="47" t="s">
        <v>251</v>
      </c>
    </row>
    <row r="22" spans="1:7" x14ac:dyDescent="0.25">
      <c r="B22" s="1" t="s">
        <v>255</v>
      </c>
      <c r="C22" s="1">
        <v>4126</v>
      </c>
      <c r="D22" s="1">
        <v>217</v>
      </c>
      <c r="E22" s="1">
        <f>+C22+D22</f>
        <v>4343</v>
      </c>
      <c r="F22" s="1">
        <f>-D22</f>
        <v>-217</v>
      </c>
      <c r="G22" s="1">
        <f>+E22+F22</f>
        <v>4126</v>
      </c>
    </row>
    <row r="23" spans="1:7" x14ac:dyDescent="0.25">
      <c r="B23" s="1" t="s">
        <v>256</v>
      </c>
      <c r="C23" s="1">
        <v>633335</v>
      </c>
      <c r="D23" s="1">
        <v>33349</v>
      </c>
      <c r="E23" s="1">
        <f>+C23+D23</f>
        <v>666684</v>
      </c>
      <c r="F23" s="1">
        <f>-D23</f>
        <v>-33349</v>
      </c>
      <c r="G23" s="1">
        <f>+E23+F23</f>
        <v>633335</v>
      </c>
    </row>
    <row r="24" spans="1:7" x14ac:dyDescent="0.25">
      <c r="B24" s="1" t="s">
        <v>259</v>
      </c>
      <c r="C24" s="7">
        <v>184</v>
      </c>
      <c r="D24" s="7">
        <v>10</v>
      </c>
      <c r="E24" s="7">
        <f>+C24+D24</f>
        <v>194</v>
      </c>
      <c r="F24" s="7">
        <f>-D24</f>
        <v>-10</v>
      </c>
      <c r="G24" s="7">
        <f>+E24+F24</f>
        <v>184</v>
      </c>
    </row>
    <row r="25" spans="1:7" x14ac:dyDescent="0.25">
      <c r="B25" s="8" t="s">
        <v>238</v>
      </c>
      <c r="C25" s="31">
        <f>SUM(C15:C24)</f>
        <v>1156465</v>
      </c>
      <c r="D25" s="16">
        <f>SUM(D14:D24)</f>
        <v>60894</v>
      </c>
      <c r="E25" s="31">
        <f>SUM(E14:E24)</f>
        <v>1217359</v>
      </c>
      <c r="F25" s="16">
        <f>+G25-E25</f>
        <v>-89464</v>
      </c>
      <c r="G25" s="31">
        <f>SUM(G15:G24)+F29</f>
        <v>1127895</v>
      </c>
    </row>
    <row r="27" spans="1:7" x14ac:dyDescent="0.25">
      <c r="B27" s="8" t="s">
        <v>509</v>
      </c>
      <c r="F27" s="78">
        <v>-19509</v>
      </c>
    </row>
    <row r="28" spans="1:7" x14ac:dyDescent="0.25">
      <c r="F28" s="81">
        <v>-9061</v>
      </c>
    </row>
    <row r="29" spans="1:7" x14ac:dyDescent="0.25">
      <c r="A29" s="20" t="s">
        <v>2</v>
      </c>
      <c r="B29" s="1" t="s">
        <v>268</v>
      </c>
      <c r="F29" s="80">
        <f>SUM(F27:F28)</f>
        <v>-28570</v>
      </c>
    </row>
  </sheetData>
  <pageMargins left="0.7" right="0.7" top="0.70656249999999998" bottom="0.75" header="0.3" footer="0.3"/>
  <pageSetup scale="57" orientation="portrait" horizontalDpi="0" verticalDpi="0" r:id="rId1"/>
  <headerFooter>
    <oddHeader>&amp;L&amp;"Arial Narrow,Bold"&amp;K03+022Rhode Island Energy - Electric 
Test Year August 31, 2025
Rate Year 1 - July 31, 2027&amp;C&amp;"Arial Narrow,Bold"&amp;K03+024RI Public Utilities Commission
Docket No. 25-45-GE&amp;R&amp;"Arial Narrow,Bold"&amp;K03+024Schedule DM-15-Electric RY 1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E69A9-5DB2-4657-BAF4-ABA78245CA3A}">
  <sheetPr>
    <pageSetUpPr fitToPage="1"/>
  </sheetPr>
  <dimension ref="A2:H29"/>
  <sheetViews>
    <sheetView view="pageLayout" topLeftCell="C9" zoomScaleNormal="100" workbookViewId="0">
      <selection activeCell="H11" sqref="H11"/>
    </sheetView>
  </sheetViews>
  <sheetFormatPr defaultRowHeight="15.75" x14ac:dyDescent="0.25"/>
  <cols>
    <col min="1" max="1" width="6.7109375" style="2" customWidth="1"/>
    <col min="2" max="2" width="40.7109375" style="1" customWidth="1"/>
    <col min="3" max="7" width="18.7109375" style="1" customWidth="1"/>
    <col min="8" max="8" width="18.7109375" style="3" customWidth="1"/>
    <col min="9" max="11" width="18.7109375" style="1" customWidth="1"/>
    <col min="12" max="16384" width="9.140625" style="1"/>
  </cols>
  <sheetData>
    <row r="2" spans="2:8" x14ac:dyDescent="0.25">
      <c r="B2" s="5" t="s">
        <v>269</v>
      </c>
    </row>
    <row r="3" spans="2:8" ht="16.5" x14ac:dyDescent="0.3">
      <c r="C3" s="6" t="s">
        <v>2</v>
      </c>
      <c r="H3" s="39"/>
    </row>
    <row r="4" spans="2:8" ht="16.5" x14ac:dyDescent="0.3">
      <c r="C4" s="4" t="s">
        <v>3</v>
      </c>
      <c r="D4" s="4"/>
      <c r="E4" s="4" t="s">
        <v>3</v>
      </c>
      <c r="F4" s="4"/>
      <c r="G4" s="4" t="s">
        <v>67</v>
      </c>
      <c r="H4" s="10"/>
    </row>
    <row r="5" spans="2:8" ht="16.5" x14ac:dyDescent="0.3">
      <c r="C5" s="4" t="s">
        <v>262</v>
      </c>
      <c r="D5" s="4" t="s">
        <v>264</v>
      </c>
      <c r="E5" s="4" t="s">
        <v>263</v>
      </c>
      <c r="F5" s="4"/>
      <c r="G5" s="4" t="s">
        <v>282</v>
      </c>
      <c r="H5" s="10"/>
    </row>
    <row r="6" spans="2:8" ht="16.5" x14ac:dyDescent="0.3">
      <c r="C6" s="5" t="s">
        <v>72</v>
      </c>
      <c r="D6" s="5" t="s">
        <v>5</v>
      </c>
      <c r="E6" s="5" t="s">
        <v>72</v>
      </c>
      <c r="F6" s="5" t="s">
        <v>5</v>
      </c>
      <c r="G6" s="5" t="s">
        <v>68</v>
      </c>
      <c r="H6" s="11" t="s">
        <v>12</v>
      </c>
    </row>
    <row r="8" spans="2:8" x14ac:dyDescent="0.25">
      <c r="B8" s="1" t="s">
        <v>271</v>
      </c>
      <c r="C8" s="1">
        <v>0</v>
      </c>
      <c r="E8" s="1">
        <v>0</v>
      </c>
      <c r="F8" s="1">
        <v>0</v>
      </c>
      <c r="G8" s="1">
        <v>0</v>
      </c>
    </row>
    <row r="9" spans="2:8" x14ac:dyDescent="0.25">
      <c r="B9" s="1" t="s">
        <v>272</v>
      </c>
      <c r="C9" s="1">
        <v>2557775</v>
      </c>
      <c r="D9" s="1">
        <v>-1434099</v>
      </c>
      <c r="E9" s="1">
        <f>+C9+D9</f>
        <v>1123676</v>
      </c>
      <c r="F9" s="1">
        <v>0</v>
      </c>
      <c r="G9" s="1">
        <f>+E9</f>
        <v>1123676</v>
      </c>
    </row>
    <row r="10" spans="2:8" x14ac:dyDescent="0.25">
      <c r="B10" s="1" t="s">
        <v>250</v>
      </c>
      <c r="C10" s="7">
        <v>0</v>
      </c>
      <c r="D10" s="7"/>
      <c r="E10" s="7">
        <v>0</v>
      </c>
      <c r="F10" s="7"/>
      <c r="G10" s="7"/>
    </row>
    <row r="11" spans="2:8" x14ac:dyDescent="0.25">
      <c r="B11" s="8" t="s">
        <v>238</v>
      </c>
      <c r="C11" s="31">
        <f>SUM(C8:C10)</f>
        <v>2557775</v>
      </c>
      <c r="D11" s="16"/>
      <c r="E11" s="31">
        <f>SUM(E8:E10)</f>
        <v>1123676</v>
      </c>
      <c r="F11" s="16">
        <v>0</v>
      </c>
      <c r="G11" s="31">
        <f>SUM(G8:G10)</f>
        <v>1123676</v>
      </c>
      <c r="H11" s="3" t="s">
        <v>444</v>
      </c>
    </row>
    <row r="13" spans="2:8" ht="18" x14ac:dyDescent="0.4">
      <c r="B13" s="47" t="s">
        <v>249</v>
      </c>
    </row>
    <row r="14" spans="2:8" x14ac:dyDescent="0.25">
      <c r="B14" s="48" t="s">
        <v>273</v>
      </c>
      <c r="C14" s="1">
        <v>0</v>
      </c>
    </row>
    <row r="15" spans="2:8" x14ac:dyDescent="0.25">
      <c r="B15" s="1" t="s">
        <v>131</v>
      </c>
      <c r="C15" s="1">
        <v>0</v>
      </c>
    </row>
    <row r="16" spans="2:8" x14ac:dyDescent="0.25">
      <c r="B16" s="1" t="s">
        <v>274</v>
      </c>
      <c r="C16" s="1">
        <v>0</v>
      </c>
    </row>
    <row r="17" spans="1:7" x14ac:dyDescent="0.25">
      <c r="B17" s="1" t="s">
        <v>275</v>
      </c>
      <c r="C17" s="1">
        <v>0</v>
      </c>
    </row>
    <row r="18" spans="1:7" x14ac:dyDescent="0.25">
      <c r="B18" s="1" t="s">
        <v>276</v>
      </c>
      <c r="C18" s="1">
        <v>0</v>
      </c>
    </row>
    <row r="19" spans="1:7" x14ac:dyDescent="0.25">
      <c r="B19" s="1" t="s">
        <v>277</v>
      </c>
      <c r="C19" s="1">
        <v>0</v>
      </c>
    </row>
    <row r="20" spans="1:7" x14ac:dyDescent="0.25">
      <c r="B20" s="1" t="s">
        <v>278</v>
      </c>
      <c r="C20" s="1">
        <v>2557775</v>
      </c>
      <c r="D20" s="1">
        <v>-1434099</v>
      </c>
      <c r="E20" s="1">
        <f>+C20+D20</f>
        <v>1123676</v>
      </c>
      <c r="F20" s="1">
        <v>0</v>
      </c>
      <c r="G20" s="1">
        <f>+E20</f>
        <v>1123676</v>
      </c>
    </row>
    <row r="21" spans="1:7" ht="18" x14ac:dyDescent="0.4">
      <c r="B21" s="47" t="s">
        <v>251</v>
      </c>
    </row>
    <row r="22" spans="1:7" x14ac:dyDescent="0.25">
      <c r="B22" s="1" t="s">
        <v>131</v>
      </c>
      <c r="C22" s="1">
        <v>0</v>
      </c>
    </row>
    <row r="23" spans="1:7" x14ac:dyDescent="0.25">
      <c r="B23" s="1" t="s">
        <v>274</v>
      </c>
      <c r="C23" s="1">
        <v>0</v>
      </c>
    </row>
    <row r="24" spans="1:7" x14ac:dyDescent="0.25">
      <c r="B24" s="1" t="s">
        <v>278</v>
      </c>
      <c r="C24" s="7">
        <v>0</v>
      </c>
      <c r="D24" s="7"/>
      <c r="E24" s="7"/>
      <c r="F24" s="7"/>
      <c r="G24" s="7"/>
    </row>
    <row r="25" spans="1:7" x14ac:dyDescent="0.25">
      <c r="B25" s="8" t="s">
        <v>238</v>
      </c>
      <c r="C25" s="31">
        <f>SUM(C14:C24)</f>
        <v>2557775</v>
      </c>
      <c r="D25" s="16">
        <f>SUM(D14:D24)</f>
        <v>-1434099</v>
      </c>
      <c r="E25" s="31">
        <f>SUM(E14:E24)</f>
        <v>1123676</v>
      </c>
      <c r="F25" s="16">
        <v>0</v>
      </c>
      <c r="G25" s="31">
        <f>+G20</f>
        <v>1123676</v>
      </c>
    </row>
    <row r="29" spans="1:7" x14ac:dyDescent="0.25">
      <c r="A29" s="20" t="s">
        <v>2</v>
      </c>
      <c r="B29" s="1" t="s">
        <v>280</v>
      </c>
    </row>
  </sheetData>
  <pageMargins left="0.7" right="0.7" top="0.68281250000000004" bottom="0.75" header="0.3" footer="0.3"/>
  <pageSetup scale="57" orientation="portrait" horizontalDpi="0" verticalDpi="0" r:id="rId1"/>
  <headerFooter>
    <oddHeader>&amp;L&amp;"Arial Narrow,Bold"&amp;K03+022Rhode Island Energy - Electric
Test Year August 31, 2025
Rate Year 1 July 31, 2027&amp;C&amp;"Arial Narrow,Bold"&amp;K03+024RI Public Utilities Commission
Docket No. 25-45-GE&amp;R&amp;"Arial Narrow,Bold"&amp;K03+024Schedule DM-16-Electric RY 1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0CD0B-2292-462E-83DF-89F9438FE2E8}">
  <sheetPr>
    <pageSetUpPr fitToPage="1"/>
  </sheetPr>
  <dimension ref="A2:H29"/>
  <sheetViews>
    <sheetView view="pageLayout" topLeftCell="A4" zoomScaleNormal="100" workbookViewId="0">
      <selection activeCell="G25" sqref="G25"/>
    </sheetView>
  </sheetViews>
  <sheetFormatPr defaultRowHeight="15.75" x14ac:dyDescent="0.25"/>
  <cols>
    <col min="1" max="1" width="6.7109375" style="2" customWidth="1"/>
    <col min="2" max="2" width="40.7109375" style="1" customWidth="1"/>
    <col min="3" max="7" width="18.7109375" style="1" customWidth="1"/>
    <col min="8" max="8" width="18.7109375" style="3" customWidth="1"/>
    <col min="9" max="11" width="18.7109375" style="1" customWidth="1"/>
    <col min="12" max="16384" width="9.140625" style="1"/>
  </cols>
  <sheetData>
    <row r="2" spans="2:8" x14ac:dyDescent="0.25">
      <c r="B2" s="5" t="s">
        <v>279</v>
      </c>
    </row>
    <row r="3" spans="2:8" x14ac:dyDescent="0.25">
      <c r="C3" s="6" t="s">
        <v>2</v>
      </c>
    </row>
    <row r="4" spans="2:8" ht="16.5" x14ac:dyDescent="0.3">
      <c r="C4" s="4" t="s">
        <v>3</v>
      </c>
      <c r="D4" s="4"/>
      <c r="E4" s="4" t="s">
        <v>3</v>
      </c>
      <c r="F4" s="4"/>
      <c r="G4" s="4" t="s">
        <v>67</v>
      </c>
      <c r="H4" s="10"/>
    </row>
    <row r="5" spans="2:8" ht="16.5" x14ac:dyDescent="0.3">
      <c r="C5" s="4" t="s">
        <v>262</v>
      </c>
      <c r="D5" s="4" t="s">
        <v>264</v>
      </c>
      <c r="E5" s="4" t="s">
        <v>263</v>
      </c>
      <c r="F5" s="4"/>
      <c r="G5" s="4" t="s">
        <v>282</v>
      </c>
      <c r="H5" s="10"/>
    </row>
    <row r="6" spans="2:8" ht="16.5" x14ac:dyDescent="0.3">
      <c r="C6" s="5" t="s">
        <v>72</v>
      </c>
      <c r="D6" s="5" t="s">
        <v>5</v>
      </c>
      <c r="E6" s="5" t="s">
        <v>72</v>
      </c>
      <c r="F6" s="5" t="s">
        <v>5</v>
      </c>
      <c r="G6" s="5" t="s">
        <v>68</v>
      </c>
      <c r="H6" s="11" t="s">
        <v>12</v>
      </c>
    </row>
    <row r="8" spans="2:8" x14ac:dyDescent="0.25">
      <c r="B8" s="1" t="s">
        <v>252</v>
      </c>
      <c r="C8" s="1">
        <v>2144646</v>
      </c>
      <c r="D8" s="1">
        <v>112928</v>
      </c>
      <c r="E8" s="1">
        <f>+C8+D8</f>
        <v>2257574</v>
      </c>
      <c r="F8" s="1">
        <f>-D8</f>
        <v>-112928</v>
      </c>
      <c r="G8" s="1">
        <f>+E8+F8</f>
        <v>2144646</v>
      </c>
    </row>
    <row r="9" spans="2:8" x14ac:dyDescent="0.25">
      <c r="B9" s="1" t="s">
        <v>253</v>
      </c>
      <c r="C9" s="1">
        <v>2959972</v>
      </c>
      <c r="D9" s="1">
        <v>155859</v>
      </c>
      <c r="E9" s="1">
        <f>+C9+D9</f>
        <v>3115831</v>
      </c>
      <c r="F9" s="1">
        <f>-D9</f>
        <v>-155859</v>
      </c>
      <c r="G9" s="1">
        <f>+E9+F9</f>
        <v>2959972</v>
      </c>
    </row>
    <row r="10" spans="2:8" x14ac:dyDescent="0.25">
      <c r="B10" s="1" t="s">
        <v>265</v>
      </c>
      <c r="C10" s="7">
        <v>4087</v>
      </c>
      <c r="D10" s="7">
        <v>0</v>
      </c>
      <c r="E10" s="7">
        <f>+C10+D10</f>
        <v>4087</v>
      </c>
      <c r="F10" s="7">
        <f>-D10</f>
        <v>0</v>
      </c>
      <c r="G10" s="7">
        <f>+E10+F10</f>
        <v>4087</v>
      </c>
    </row>
    <row r="11" spans="2:8" x14ac:dyDescent="0.25">
      <c r="B11" s="8" t="s">
        <v>238</v>
      </c>
      <c r="C11" s="31">
        <f>SUM(C8:C10)</f>
        <v>5108705</v>
      </c>
      <c r="D11" s="16">
        <f>SUM(D8:D10)</f>
        <v>268787</v>
      </c>
      <c r="E11" s="31">
        <f>SUM(E8:E10)</f>
        <v>5377492</v>
      </c>
      <c r="F11" s="16">
        <f>+G11-E11</f>
        <v>-268832</v>
      </c>
      <c r="G11" s="31">
        <f>SUM(G8:G10)+F27</f>
        <v>5108660</v>
      </c>
      <c r="H11" s="3" t="s">
        <v>445</v>
      </c>
    </row>
    <row r="13" spans="2:8" ht="18" x14ac:dyDescent="0.4">
      <c r="B13" s="47" t="s">
        <v>249</v>
      </c>
    </row>
    <row r="14" spans="2:8" x14ac:dyDescent="0.25">
      <c r="B14" s="48" t="s">
        <v>266</v>
      </c>
    </row>
    <row r="15" spans="2:8" x14ac:dyDescent="0.25">
      <c r="B15" s="1" t="s">
        <v>255</v>
      </c>
      <c r="C15" s="1">
        <v>75566</v>
      </c>
      <c r="D15" s="1">
        <v>0</v>
      </c>
      <c r="E15" s="1">
        <f>+C15+D15</f>
        <v>75566</v>
      </c>
      <c r="F15" s="1">
        <f t="shared" ref="F15:F20" si="0">-D15</f>
        <v>0</v>
      </c>
      <c r="G15" s="1">
        <f t="shared" ref="G15:G20" si="1">+E15+F15</f>
        <v>75566</v>
      </c>
    </row>
    <row r="16" spans="2:8" x14ac:dyDescent="0.25">
      <c r="B16" s="1" t="s">
        <v>256</v>
      </c>
      <c r="C16" s="1">
        <v>1047871</v>
      </c>
      <c r="D16" s="1">
        <v>0</v>
      </c>
      <c r="E16" s="1">
        <f>+C16+D16</f>
        <v>1047871</v>
      </c>
      <c r="F16" s="1">
        <f t="shared" si="0"/>
        <v>0</v>
      </c>
      <c r="G16" s="1">
        <f t="shared" si="1"/>
        <v>1047871</v>
      </c>
    </row>
    <row r="17" spans="1:7" x14ac:dyDescent="0.25">
      <c r="B17" s="1" t="s">
        <v>257</v>
      </c>
      <c r="C17" s="1">
        <v>410</v>
      </c>
      <c r="D17" s="1">
        <v>0</v>
      </c>
      <c r="E17" s="1">
        <f>+C17+D17</f>
        <v>410</v>
      </c>
      <c r="F17" s="1">
        <f t="shared" si="0"/>
        <v>0</v>
      </c>
      <c r="G17" s="1">
        <f t="shared" si="1"/>
        <v>410</v>
      </c>
    </row>
    <row r="18" spans="1:7" x14ac:dyDescent="0.25">
      <c r="B18" s="1" t="s">
        <v>258</v>
      </c>
      <c r="C18" s="1">
        <v>0</v>
      </c>
      <c r="D18" s="1">
        <v>0</v>
      </c>
      <c r="E18" s="1">
        <v>0</v>
      </c>
      <c r="F18" s="1">
        <f t="shared" si="0"/>
        <v>0</v>
      </c>
      <c r="G18" s="1">
        <f t="shared" si="1"/>
        <v>0</v>
      </c>
    </row>
    <row r="19" spans="1:7" x14ac:dyDescent="0.25">
      <c r="B19" s="1" t="s">
        <v>267</v>
      </c>
      <c r="C19" s="1">
        <v>0</v>
      </c>
      <c r="D19" s="1">
        <v>0</v>
      </c>
      <c r="E19" s="1">
        <v>0</v>
      </c>
      <c r="F19" s="1">
        <f t="shared" si="0"/>
        <v>0</v>
      </c>
      <c r="G19" s="1">
        <f t="shared" si="1"/>
        <v>0</v>
      </c>
    </row>
    <row r="20" spans="1:7" x14ac:dyDescent="0.25">
      <c r="B20" s="1" t="s">
        <v>259</v>
      </c>
      <c r="C20" s="1">
        <v>3729481</v>
      </c>
      <c r="D20" s="1">
        <v>268787</v>
      </c>
      <c r="E20" s="1">
        <f>+C20+D20</f>
        <v>3998268</v>
      </c>
      <c r="F20" s="1">
        <f t="shared" si="0"/>
        <v>-268787</v>
      </c>
      <c r="G20" s="1">
        <f t="shared" si="1"/>
        <v>3729481</v>
      </c>
    </row>
    <row r="21" spans="1:7" ht="18" x14ac:dyDescent="0.4">
      <c r="B21" s="47" t="s">
        <v>251</v>
      </c>
    </row>
    <row r="22" spans="1:7" x14ac:dyDescent="0.25">
      <c r="B22" s="1" t="s">
        <v>255</v>
      </c>
      <c r="C22" s="1">
        <v>9976</v>
      </c>
      <c r="D22" s="1">
        <v>0</v>
      </c>
      <c r="E22" s="1">
        <f>+C22+D22</f>
        <v>9976</v>
      </c>
      <c r="F22" s="1">
        <f>-D22</f>
        <v>0</v>
      </c>
      <c r="G22" s="1">
        <f>+E22+F22</f>
        <v>9976</v>
      </c>
    </row>
    <row r="23" spans="1:7" x14ac:dyDescent="0.25">
      <c r="B23" s="1" t="s">
        <v>256</v>
      </c>
      <c r="C23" s="1">
        <v>71743</v>
      </c>
      <c r="D23" s="1">
        <v>0</v>
      </c>
      <c r="E23" s="1">
        <f>+C23+D23</f>
        <v>71743</v>
      </c>
      <c r="F23" s="1">
        <f>-D23</f>
        <v>0</v>
      </c>
      <c r="G23" s="1">
        <f>+E23+F23</f>
        <v>71743</v>
      </c>
    </row>
    <row r="24" spans="1:7" x14ac:dyDescent="0.25">
      <c r="B24" s="1" t="s">
        <v>259</v>
      </c>
      <c r="C24" s="7">
        <v>173658</v>
      </c>
      <c r="D24" s="7">
        <v>0</v>
      </c>
      <c r="E24" s="7">
        <f>+C24+D24</f>
        <v>173658</v>
      </c>
      <c r="F24" s="7">
        <f>-D24</f>
        <v>0</v>
      </c>
      <c r="G24" s="7">
        <f>+E24+F24</f>
        <v>173658</v>
      </c>
    </row>
    <row r="25" spans="1:7" x14ac:dyDescent="0.25">
      <c r="B25" s="8" t="s">
        <v>238</v>
      </c>
      <c r="C25" s="31">
        <f>SUM(C15:C24)</f>
        <v>5108705</v>
      </c>
      <c r="D25" s="16">
        <f>SUM(D15:D24)</f>
        <v>268787</v>
      </c>
      <c r="E25" s="31">
        <f>SUM(E15:E24)</f>
        <v>5377492</v>
      </c>
      <c r="F25" s="16">
        <f>+G25-E25</f>
        <v>-268832</v>
      </c>
      <c r="G25" s="31">
        <f>SUM(G15:G24)+F27</f>
        <v>5108660</v>
      </c>
    </row>
    <row r="27" spans="1:7" x14ac:dyDescent="0.25">
      <c r="B27" s="8" t="s">
        <v>509</v>
      </c>
      <c r="F27" s="82">
        <v>-45</v>
      </c>
    </row>
    <row r="29" spans="1:7" x14ac:dyDescent="0.25">
      <c r="A29" s="20" t="s">
        <v>2</v>
      </c>
      <c r="B29" s="1" t="s">
        <v>281</v>
      </c>
    </row>
  </sheetData>
  <pageMargins left="0.7" right="0.7" top="0.70656249999999998" bottom="0.75" header="0.3" footer="0.3"/>
  <pageSetup scale="57" orientation="portrait" horizontalDpi="0" verticalDpi="0" r:id="rId1"/>
  <headerFooter>
    <oddHeader>&amp;L&amp;"Arial Narrow,Bold"&amp;K03+024Rhode Island Energy - Electric
Test Year August 31, 2025
Rate Year 1 - July 31, 2027&amp;C&amp;"Arial Narrow,Bold"&amp;K03+024RI Public Utilities Commission
Docket No. 25-45-GE&amp;R&amp;"Arial Narrow,Bold"&amp;K03+024Schedule DM-17-Electric RY 1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776BE-42D0-46A1-92B5-A36E0B83C1C6}">
  <sheetPr>
    <pageSetUpPr fitToPage="1"/>
  </sheetPr>
  <dimension ref="A2:H29"/>
  <sheetViews>
    <sheetView view="pageLayout" topLeftCell="B1" zoomScaleNormal="100" workbookViewId="0">
      <selection activeCell="F19" sqref="F19"/>
    </sheetView>
  </sheetViews>
  <sheetFormatPr defaultRowHeight="15.75" x14ac:dyDescent="0.25"/>
  <cols>
    <col min="1" max="1" width="6.7109375" style="2" customWidth="1"/>
    <col min="2" max="2" width="40.7109375" style="1" customWidth="1"/>
    <col min="3" max="7" width="18.7109375" style="1" customWidth="1"/>
    <col min="8" max="8" width="18.7109375" style="3" customWidth="1"/>
    <col min="9" max="11" width="18.7109375" style="1" customWidth="1"/>
    <col min="12" max="16384" width="9.140625" style="1"/>
  </cols>
  <sheetData>
    <row r="2" spans="2:8" x14ac:dyDescent="0.25">
      <c r="B2" s="5" t="s">
        <v>286</v>
      </c>
    </row>
    <row r="3" spans="2:8" x14ac:dyDescent="0.25">
      <c r="C3" s="6" t="s">
        <v>2</v>
      </c>
    </row>
    <row r="4" spans="2:8" ht="16.5" x14ac:dyDescent="0.3">
      <c r="C4" s="4" t="s">
        <v>3</v>
      </c>
      <c r="D4" s="4"/>
      <c r="E4" s="4" t="s">
        <v>3</v>
      </c>
      <c r="F4" s="4"/>
      <c r="G4" s="4" t="s">
        <v>67</v>
      </c>
      <c r="H4" s="10"/>
    </row>
    <row r="5" spans="2:8" ht="16.5" x14ac:dyDescent="0.3">
      <c r="C5" s="4" t="s">
        <v>262</v>
      </c>
      <c r="D5" s="4" t="s">
        <v>264</v>
      </c>
      <c r="E5" s="4" t="s">
        <v>263</v>
      </c>
      <c r="F5" s="4"/>
      <c r="G5" s="4" t="s">
        <v>282</v>
      </c>
      <c r="H5" s="10"/>
    </row>
    <row r="6" spans="2:8" ht="16.5" x14ac:dyDescent="0.3">
      <c r="C6" s="5" t="s">
        <v>72</v>
      </c>
      <c r="D6" s="5" t="s">
        <v>5</v>
      </c>
      <c r="E6" s="5" t="s">
        <v>72</v>
      </c>
      <c r="F6" s="5" t="s">
        <v>5</v>
      </c>
      <c r="G6" s="5" t="s">
        <v>68</v>
      </c>
      <c r="H6" s="11" t="s">
        <v>12</v>
      </c>
    </row>
    <row r="8" spans="2:8" x14ac:dyDescent="0.25">
      <c r="B8" s="1" t="s">
        <v>252</v>
      </c>
      <c r="C8" s="1">
        <v>1628048</v>
      </c>
      <c r="D8" s="1">
        <v>0</v>
      </c>
      <c r="E8" s="1">
        <f>+C8+D8</f>
        <v>1628048</v>
      </c>
      <c r="F8" s="1">
        <v>0</v>
      </c>
      <c r="G8" s="1">
        <v>1628048</v>
      </c>
    </row>
    <row r="9" spans="2:8" x14ac:dyDescent="0.25">
      <c r="B9" s="1" t="s">
        <v>253</v>
      </c>
      <c r="C9" s="1">
        <v>0</v>
      </c>
      <c r="D9" s="1">
        <v>0</v>
      </c>
      <c r="E9" s="1">
        <v>0</v>
      </c>
      <c r="F9" s="1">
        <v>0</v>
      </c>
      <c r="G9" s="1">
        <v>0</v>
      </c>
    </row>
    <row r="10" spans="2:8" x14ac:dyDescent="0.25">
      <c r="B10" s="1" t="s">
        <v>265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</row>
    <row r="11" spans="2:8" x14ac:dyDescent="0.25">
      <c r="B11" s="8" t="s">
        <v>238</v>
      </c>
      <c r="C11" s="31">
        <f>SUM(C8:C10)</f>
        <v>1628048</v>
      </c>
      <c r="D11" s="16">
        <v>0</v>
      </c>
      <c r="E11" s="31">
        <f>SUM(E8:E10)</f>
        <v>1628048</v>
      </c>
      <c r="F11" s="16">
        <v>0</v>
      </c>
      <c r="G11" s="31">
        <v>1628048</v>
      </c>
      <c r="H11" s="3" t="s">
        <v>446</v>
      </c>
    </row>
    <row r="13" spans="2:8" ht="18" x14ac:dyDescent="0.4">
      <c r="B13" s="47" t="s">
        <v>249</v>
      </c>
    </row>
    <row r="14" spans="2:8" x14ac:dyDescent="0.25">
      <c r="B14" s="48" t="s">
        <v>266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</row>
    <row r="15" spans="2:8" x14ac:dyDescent="0.25">
      <c r="B15" s="1" t="s">
        <v>255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</row>
    <row r="16" spans="2:8" x14ac:dyDescent="0.25">
      <c r="B16" s="1" t="s">
        <v>256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</row>
    <row r="17" spans="1:7" x14ac:dyDescent="0.25">
      <c r="B17" s="1" t="s">
        <v>257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</row>
    <row r="18" spans="1:7" x14ac:dyDescent="0.25">
      <c r="B18" s="1" t="s">
        <v>258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</row>
    <row r="19" spans="1:7" x14ac:dyDescent="0.25">
      <c r="B19" s="1" t="s">
        <v>267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</row>
    <row r="20" spans="1:7" x14ac:dyDescent="0.25">
      <c r="B20" s="1" t="s">
        <v>259</v>
      </c>
      <c r="C20" s="1">
        <v>1628048</v>
      </c>
      <c r="D20" s="1">
        <v>0</v>
      </c>
      <c r="E20" s="1">
        <f>+C20+D20</f>
        <v>1628048</v>
      </c>
      <c r="F20" s="1">
        <v>0</v>
      </c>
      <c r="G20" s="1">
        <v>1628048</v>
      </c>
    </row>
    <row r="21" spans="1:7" ht="18" x14ac:dyDescent="0.4">
      <c r="B21" s="47" t="s">
        <v>251</v>
      </c>
    </row>
    <row r="22" spans="1:7" x14ac:dyDescent="0.25">
      <c r="B22" s="1" t="s">
        <v>255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</row>
    <row r="23" spans="1:7" x14ac:dyDescent="0.25">
      <c r="B23" s="1" t="s">
        <v>256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</row>
    <row r="24" spans="1:7" x14ac:dyDescent="0.25">
      <c r="B24" s="1" t="s">
        <v>259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</row>
    <row r="25" spans="1:7" x14ac:dyDescent="0.25">
      <c r="B25" s="8" t="s">
        <v>238</v>
      </c>
      <c r="C25" s="31">
        <f>SUM(C14:C24)</f>
        <v>1628048</v>
      </c>
      <c r="D25" s="16">
        <f>SUM(D14:D24)</f>
        <v>0</v>
      </c>
      <c r="E25" s="31">
        <f>SUM(E14:E24)</f>
        <v>1628048</v>
      </c>
      <c r="F25" s="16">
        <v>0</v>
      </c>
      <c r="G25" s="31">
        <f>+G20</f>
        <v>1628048</v>
      </c>
    </row>
    <row r="29" spans="1:7" x14ac:dyDescent="0.25">
      <c r="A29" s="20" t="s">
        <v>2</v>
      </c>
      <c r="B29" s="1" t="s">
        <v>287</v>
      </c>
    </row>
  </sheetData>
  <pageMargins left="0.7" right="0.7" top="0.7421875" bottom="0.75" header="0.3" footer="0.3"/>
  <pageSetup scale="57" orientation="portrait" horizontalDpi="0" verticalDpi="0" r:id="rId1"/>
  <headerFooter>
    <oddHeader>&amp;L&amp;"Arial Narrow,Bold"&amp;K03+020Rhode Island Energy - Electric
Test Year August 31, 2025
Rate Year 1 - July 31, 2027&amp;C&amp;"Arial Narrow,Bold"&amp;K03+022RI Public Utilities Commission 
Docket No. 25-45-GE&amp;R&amp;"Arial Narrow,Bold"&amp;K03+023Schedule DM-18-Electric RY 1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A6D64-9A75-47E4-91D9-91623E36CE2B}">
  <sheetPr>
    <pageSetUpPr fitToPage="1"/>
  </sheetPr>
  <dimension ref="A2:H30"/>
  <sheetViews>
    <sheetView view="pageLayout" topLeftCell="A4" zoomScaleNormal="100" workbookViewId="0">
      <selection activeCell="F8" sqref="F8"/>
    </sheetView>
  </sheetViews>
  <sheetFormatPr defaultRowHeight="15.75" x14ac:dyDescent="0.25"/>
  <cols>
    <col min="1" max="1" width="6.7109375" style="2" customWidth="1"/>
    <col min="2" max="2" width="40.7109375" style="1" customWidth="1"/>
    <col min="3" max="7" width="18.7109375" style="1" customWidth="1"/>
    <col min="8" max="8" width="18.7109375" style="3" customWidth="1"/>
    <col min="9" max="11" width="18.7109375" style="1" customWidth="1"/>
    <col min="12" max="16384" width="9.140625" style="1"/>
  </cols>
  <sheetData>
    <row r="2" spans="2:8" x14ac:dyDescent="0.25">
      <c r="B2" s="5" t="s">
        <v>288</v>
      </c>
    </row>
    <row r="3" spans="2:8" x14ac:dyDescent="0.25">
      <c r="C3" s="6" t="s">
        <v>2</v>
      </c>
    </row>
    <row r="4" spans="2:8" ht="16.5" x14ac:dyDescent="0.3">
      <c r="C4" s="4" t="s">
        <v>3</v>
      </c>
      <c r="D4" s="4"/>
      <c r="E4" s="4" t="s">
        <v>3</v>
      </c>
      <c r="F4" s="4"/>
      <c r="G4" s="4" t="s">
        <v>67</v>
      </c>
      <c r="H4" s="10"/>
    </row>
    <row r="5" spans="2:8" ht="16.5" x14ac:dyDescent="0.3">
      <c r="C5" s="4" t="s">
        <v>262</v>
      </c>
      <c r="D5" s="4" t="s">
        <v>264</v>
      </c>
      <c r="E5" s="4" t="s">
        <v>263</v>
      </c>
      <c r="F5" s="4"/>
      <c r="G5" s="4" t="s">
        <v>282</v>
      </c>
      <c r="H5" s="10"/>
    </row>
    <row r="6" spans="2:8" ht="16.5" x14ac:dyDescent="0.3">
      <c r="C6" s="5" t="s">
        <v>72</v>
      </c>
      <c r="D6" s="5" t="s">
        <v>5</v>
      </c>
      <c r="E6" s="5" t="s">
        <v>72</v>
      </c>
      <c r="F6" s="5" t="s">
        <v>5</v>
      </c>
      <c r="G6" s="5" t="s">
        <v>68</v>
      </c>
      <c r="H6" s="11" t="s">
        <v>12</v>
      </c>
    </row>
    <row r="8" spans="2:8" x14ac:dyDescent="0.25">
      <c r="B8" s="1" t="s">
        <v>252</v>
      </c>
      <c r="C8" s="1">
        <v>3512551</v>
      </c>
      <c r="D8" s="1">
        <v>593664</v>
      </c>
      <c r="E8" s="1">
        <f>+C8+D8</f>
        <v>4106215</v>
      </c>
      <c r="F8" s="1">
        <f>+G8-E8</f>
        <v>-479255</v>
      </c>
      <c r="G8" s="1">
        <f>784788+2842172</f>
        <v>3626960</v>
      </c>
    </row>
    <row r="9" spans="2:8" x14ac:dyDescent="0.25">
      <c r="B9" s="1" t="s">
        <v>289</v>
      </c>
      <c r="C9" s="1">
        <v>15954</v>
      </c>
      <c r="D9" s="1">
        <v>0</v>
      </c>
      <c r="E9" s="1">
        <f>+C9+D9</f>
        <v>15954</v>
      </c>
      <c r="F9" s="1">
        <v>0</v>
      </c>
      <c r="G9" s="1">
        <f>+E9+F9</f>
        <v>15954</v>
      </c>
    </row>
    <row r="10" spans="2:8" x14ac:dyDescent="0.25">
      <c r="B10" s="1" t="s">
        <v>265</v>
      </c>
      <c r="C10" s="7">
        <v>0</v>
      </c>
      <c r="D10" s="7">
        <v>0</v>
      </c>
      <c r="E10" s="7"/>
      <c r="F10" s="7"/>
      <c r="G10" s="7"/>
    </row>
    <row r="11" spans="2:8" x14ac:dyDescent="0.25">
      <c r="B11" s="8" t="s">
        <v>238</v>
      </c>
      <c r="C11" s="31">
        <f>SUM(C8:C10)</f>
        <v>3528505</v>
      </c>
      <c r="D11" s="16">
        <f>SUM(D8:D10)</f>
        <v>593664</v>
      </c>
      <c r="E11" s="31">
        <f>+C11+D11</f>
        <v>4122169</v>
      </c>
      <c r="F11" s="16">
        <f>+F8+F9</f>
        <v>-479255</v>
      </c>
      <c r="G11" s="31">
        <f>SUM(G8:G10)</f>
        <v>3642914</v>
      </c>
      <c r="H11" s="3" t="s">
        <v>447</v>
      </c>
    </row>
    <row r="13" spans="2:8" ht="18" x14ac:dyDescent="0.4">
      <c r="B13" s="47" t="s">
        <v>249</v>
      </c>
    </row>
    <row r="14" spans="2:8" x14ac:dyDescent="0.25">
      <c r="B14" s="48" t="s">
        <v>266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</row>
    <row r="15" spans="2:8" x14ac:dyDescent="0.25">
      <c r="B15" s="1" t="s">
        <v>255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</row>
    <row r="16" spans="2:8" x14ac:dyDescent="0.25">
      <c r="B16" s="1" t="s">
        <v>256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</row>
    <row r="17" spans="1:7" x14ac:dyDescent="0.25">
      <c r="B17" s="1" t="s">
        <v>257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</row>
    <row r="18" spans="1:7" x14ac:dyDescent="0.25">
      <c r="B18" s="1" t="s">
        <v>258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</row>
    <row r="19" spans="1:7" x14ac:dyDescent="0.25">
      <c r="B19" s="1" t="s">
        <v>267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</row>
    <row r="20" spans="1:7" x14ac:dyDescent="0.25">
      <c r="B20" s="1" t="s">
        <v>259</v>
      </c>
      <c r="C20" s="1">
        <v>3528505</v>
      </c>
      <c r="D20" s="1">
        <v>593664</v>
      </c>
      <c r="E20" s="1">
        <f>+C20+D20</f>
        <v>4122169</v>
      </c>
      <c r="F20" s="1">
        <f>+F11</f>
        <v>-479255</v>
      </c>
      <c r="G20" s="1">
        <f>+E20+F20</f>
        <v>3642914</v>
      </c>
    </row>
    <row r="21" spans="1:7" ht="18" x14ac:dyDescent="0.4">
      <c r="B21" s="47" t="s">
        <v>251</v>
      </c>
    </row>
    <row r="22" spans="1:7" x14ac:dyDescent="0.25">
      <c r="B22" s="1" t="s">
        <v>255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</row>
    <row r="23" spans="1:7" x14ac:dyDescent="0.25">
      <c r="B23" s="1" t="s">
        <v>256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</row>
    <row r="24" spans="1:7" x14ac:dyDescent="0.25">
      <c r="B24" s="1" t="s">
        <v>259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</row>
    <row r="25" spans="1:7" x14ac:dyDescent="0.25">
      <c r="B25" s="8" t="s">
        <v>238</v>
      </c>
      <c r="C25" s="31">
        <f>SUM(C14:C24)</f>
        <v>3528505</v>
      </c>
      <c r="D25" s="16">
        <f>SUM(D14:D24)</f>
        <v>593664</v>
      </c>
      <c r="E25" s="31">
        <f>SUM(E14:E24)</f>
        <v>4122169</v>
      </c>
      <c r="F25" s="16">
        <f>+F20</f>
        <v>-479255</v>
      </c>
      <c r="G25" s="31">
        <f>+G20</f>
        <v>3642914</v>
      </c>
    </row>
    <row r="29" spans="1:7" x14ac:dyDescent="0.25">
      <c r="A29" s="20" t="s">
        <v>2</v>
      </c>
      <c r="B29" s="1" t="s">
        <v>290</v>
      </c>
    </row>
    <row r="30" spans="1:7" x14ac:dyDescent="0.25">
      <c r="B30" s="1" t="s">
        <v>291</v>
      </c>
    </row>
  </sheetData>
  <pageMargins left="0.7" right="0.7" top="0.69468750000000001" bottom="0.75" header="0.3" footer="0.3"/>
  <pageSetup scale="57" orientation="portrait" horizontalDpi="0" verticalDpi="0" r:id="rId1"/>
  <headerFooter>
    <oddHeader>&amp;L&amp;"Arial Narrow,Bold"&amp;K03+022Rhode Island Energy - Electric
Test Year August 31, 2025
Rate Year 1 - July 31, 2027&amp;C&amp;"Arial Narrow,Bold"&amp;K03+023RI Public Utilities Commission
Docket No. 25-45-GE&amp;R&amp;"Arial Narrow,Bold"&amp;K03+024Schedule DM-19-Electric RY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25003-2539-4F89-9F96-7B87D1D16234}">
  <sheetPr>
    <pageSetUpPr fitToPage="1"/>
  </sheetPr>
  <dimension ref="A2:E26"/>
  <sheetViews>
    <sheetView view="pageLayout" topLeftCell="B1" zoomScaleNormal="100" workbookViewId="0">
      <selection activeCell="D24" sqref="D24"/>
    </sheetView>
  </sheetViews>
  <sheetFormatPr defaultRowHeight="15.75" x14ac:dyDescent="0.25"/>
  <cols>
    <col min="1" max="1" width="6.7109375" style="2" customWidth="1"/>
    <col min="2" max="2" width="40.7109375" style="1" customWidth="1"/>
    <col min="3" max="11" width="18.7109375" style="1" customWidth="1"/>
    <col min="12" max="16384" width="9.140625" style="1"/>
  </cols>
  <sheetData>
    <row r="2" spans="2:5" x14ac:dyDescent="0.25">
      <c r="B2" s="5" t="s">
        <v>28</v>
      </c>
    </row>
    <row r="4" spans="2:5" ht="18" x14ac:dyDescent="0.4">
      <c r="B4" s="21" t="s">
        <v>39</v>
      </c>
    </row>
    <row r="5" spans="2:5" x14ac:dyDescent="0.25">
      <c r="C5" s="5" t="s">
        <v>30</v>
      </c>
      <c r="D5" s="5" t="s">
        <v>31</v>
      </c>
      <c r="E5" s="5" t="s">
        <v>32</v>
      </c>
    </row>
    <row r="7" spans="2:5" x14ac:dyDescent="0.25">
      <c r="B7" s="1" t="s">
        <v>29</v>
      </c>
      <c r="C7" s="22">
        <v>0</v>
      </c>
      <c r="D7" s="22">
        <v>4.5499999999999999E-2</v>
      </c>
      <c r="E7" s="22">
        <f>+C7*D7</f>
        <v>0</v>
      </c>
    </row>
    <row r="8" spans="2:5" x14ac:dyDescent="0.25">
      <c r="B8" s="1" t="s">
        <v>33</v>
      </c>
      <c r="C8" s="22">
        <v>0.43</v>
      </c>
      <c r="D8" s="22">
        <v>4.7699999999999999E-2</v>
      </c>
      <c r="E8" s="22">
        <f>+C8*D8</f>
        <v>2.0510999999999998E-2</v>
      </c>
    </row>
    <row r="9" spans="2:5" x14ac:dyDescent="0.25">
      <c r="B9" s="1" t="s">
        <v>34</v>
      </c>
      <c r="C9" s="22">
        <v>0</v>
      </c>
      <c r="D9" s="22">
        <v>0</v>
      </c>
      <c r="E9" s="22">
        <f>+C9*D9</f>
        <v>0</v>
      </c>
    </row>
    <row r="10" spans="2:5" x14ac:dyDescent="0.25">
      <c r="B10" s="1" t="s">
        <v>35</v>
      </c>
      <c r="C10" s="23">
        <v>0.56999999999999995</v>
      </c>
      <c r="D10" s="25">
        <v>0.1075</v>
      </c>
      <c r="E10" s="23">
        <f>+C10*D10</f>
        <v>6.1274999999999996E-2</v>
      </c>
    </row>
    <row r="11" spans="2:5" x14ac:dyDescent="0.25">
      <c r="B11" s="8" t="s">
        <v>36</v>
      </c>
      <c r="C11" s="24">
        <f>SUM(C7:C10)</f>
        <v>1</v>
      </c>
      <c r="D11" s="24"/>
      <c r="E11" s="24">
        <f>SUM(E7:E10)</f>
        <v>8.1785999999999998E-2</v>
      </c>
    </row>
    <row r="12" spans="2:5" x14ac:dyDescent="0.25">
      <c r="C12" s="22"/>
      <c r="D12" s="22"/>
      <c r="E12" s="22"/>
    </row>
    <row r="13" spans="2:5" x14ac:dyDescent="0.25">
      <c r="B13" s="26"/>
      <c r="C13" s="27"/>
      <c r="D13" s="27"/>
      <c r="E13" s="27"/>
    </row>
    <row r="14" spans="2:5" x14ac:dyDescent="0.25">
      <c r="C14" s="22"/>
      <c r="D14" s="22"/>
      <c r="E14" s="22"/>
    </row>
    <row r="15" spans="2:5" ht="18" x14ac:dyDescent="0.4">
      <c r="B15" s="21" t="s">
        <v>37</v>
      </c>
      <c r="C15" s="22"/>
      <c r="D15" s="22"/>
      <c r="E15" s="22"/>
    </row>
    <row r="16" spans="2:5" x14ac:dyDescent="0.25">
      <c r="C16" s="22"/>
      <c r="D16" s="22"/>
      <c r="E16" s="22"/>
    </row>
    <row r="17" spans="1:5" x14ac:dyDescent="0.25">
      <c r="B17" s="1" t="s">
        <v>29</v>
      </c>
      <c r="C17" s="22">
        <v>0</v>
      </c>
      <c r="D17" s="22">
        <v>0</v>
      </c>
      <c r="E17" s="22">
        <f>+C17*D17</f>
        <v>0</v>
      </c>
    </row>
    <row r="18" spans="1:5" x14ac:dyDescent="0.25">
      <c r="B18" s="1" t="s">
        <v>33</v>
      </c>
      <c r="C18" s="22">
        <v>0.51</v>
      </c>
      <c r="D18" s="22">
        <v>4.7699999999999999E-2</v>
      </c>
      <c r="E18" s="22">
        <f>+C18*D18</f>
        <v>2.4327000000000001E-2</v>
      </c>
    </row>
    <row r="19" spans="1:5" x14ac:dyDescent="0.25">
      <c r="B19" s="1" t="s">
        <v>34</v>
      </c>
      <c r="C19" s="22">
        <v>0</v>
      </c>
      <c r="D19" s="22">
        <v>0</v>
      </c>
      <c r="E19" s="22">
        <f>+C19*D19</f>
        <v>0</v>
      </c>
    </row>
    <row r="20" spans="1:5" x14ac:dyDescent="0.25">
      <c r="B20" s="1" t="s">
        <v>35</v>
      </c>
      <c r="C20" s="23">
        <v>0.49</v>
      </c>
      <c r="D20" s="25">
        <v>8.2500000000000004E-2</v>
      </c>
      <c r="E20" s="23">
        <f>+C20*D20</f>
        <v>4.0425000000000003E-2</v>
      </c>
    </row>
    <row r="21" spans="1:5" x14ac:dyDescent="0.25">
      <c r="B21" s="8" t="s">
        <v>36</v>
      </c>
      <c r="C21" s="24">
        <f>SUM(C17:C20)</f>
        <v>1</v>
      </c>
      <c r="D21" s="24"/>
      <c r="E21" s="24">
        <f>SUM(E17:E20)</f>
        <v>6.4752000000000004E-2</v>
      </c>
    </row>
    <row r="22" spans="1:5" x14ac:dyDescent="0.25">
      <c r="C22" s="22"/>
      <c r="D22" s="22"/>
      <c r="E22" s="22"/>
    </row>
    <row r="23" spans="1:5" x14ac:dyDescent="0.25">
      <c r="B23" s="1" t="s">
        <v>475</v>
      </c>
      <c r="C23" s="22"/>
      <c r="D23" s="22">
        <f>+C20*D20+1.63%</f>
        <v>5.6724999999999998E-2</v>
      </c>
      <c r="E23" s="22"/>
    </row>
    <row r="24" spans="1:5" x14ac:dyDescent="0.25">
      <c r="B24" s="1" t="s">
        <v>476</v>
      </c>
      <c r="C24" s="22"/>
      <c r="D24" s="23">
        <f>+E18</f>
        <v>2.4327000000000001E-2</v>
      </c>
      <c r="E24" s="22"/>
    </row>
    <row r="25" spans="1:5" x14ac:dyDescent="0.25">
      <c r="C25" s="22"/>
      <c r="D25" s="58">
        <f>SUM(D23:D24)</f>
        <v>8.1051999999999999E-2</v>
      </c>
      <c r="E25" s="22"/>
    </row>
    <row r="26" spans="1:5" x14ac:dyDescent="0.25">
      <c r="A26" s="20" t="s">
        <v>2</v>
      </c>
      <c r="B26" s="1" t="s">
        <v>40</v>
      </c>
    </row>
  </sheetData>
  <pageMargins left="0.7" right="0.7" top="0.89927083333333335" bottom="0.75" header="0.3" footer="0.3"/>
  <pageSetup scale="89" orientation="portrait" horizontalDpi="0" verticalDpi="0" r:id="rId1"/>
  <headerFooter>
    <oddHeader>&amp;L&amp;"Arial Narrow,Bold"&amp;K03+017Rhode Island Energy - Electric
Test Year August 31, 2025
Rate Year 1 - July 31, 2027
&amp;C&amp;"Arial Narrow,Bold"&amp;K03+020RI Public Utilities Commission 
Docket No. 25-45-GE&amp;R&amp;"Arial Narrow,Bold"&amp;K03+021Schedule DM-2 Electric RY 1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C953F-E63D-4118-819A-6017C9D773D2}">
  <sheetPr>
    <pageSetUpPr fitToPage="1"/>
  </sheetPr>
  <dimension ref="A2:H29"/>
  <sheetViews>
    <sheetView view="pageLayout" topLeftCell="C1" zoomScaleNormal="100" workbookViewId="0">
      <selection activeCell="G26" sqref="G26"/>
    </sheetView>
  </sheetViews>
  <sheetFormatPr defaultRowHeight="15.75" x14ac:dyDescent="0.25"/>
  <cols>
    <col min="1" max="1" width="6.7109375" style="2" customWidth="1"/>
    <col min="2" max="2" width="40.7109375" style="1" customWidth="1"/>
    <col min="3" max="7" width="18.7109375" style="1" customWidth="1"/>
    <col min="8" max="8" width="18.7109375" style="3" customWidth="1"/>
    <col min="9" max="11" width="18.7109375" style="1" customWidth="1"/>
    <col min="12" max="16384" width="9.140625" style="1"/>
  </cols>
  <sheetData>
    <row r="2" spans="2:8" x14ac:dyDescent="0.25">
      <c r="B2" s="5" t="s">
        <v>292</v>
      </c>
    </row>
    <row r="3" spans="2:8" x14ac:dyDescent="0.25">
      <c r="C3" s="6" t="s">
        <v>2</v>
      </c>
    </row>
    <row r="4" spans="2:8" ht="16.5" x14ac:dyDescent="0.3">
      <c r="C4" s="4" t="s">
        <v>3</v>
      </c>
      <c r="D4" s="4"/>
      <c r="E4" s="4" t="s">
        <v>3</v>
      </c>
      <c r="F4" s="4"/>
      <c r="G4" s="4" t="s">
        <v>67</v>
      </c>
      <c r="H4" s="10"/>
    </row>
    <row r="5" spans="2:8" ht="16.5" x14ac:dyDescent="0.3">
      <c r="C5" s="4" t="s">
        <v>262</v>
      </c>
      <c r="D5" s="4" t="s">
        <v>264</v>
      </c>
      <c r="E5" s="4" t="s">
        <v>263</v>
      </c>
      <c r="F5" s="4"/>
      <c r="G5" s="4" t="s">
        <v>282</v>
      </c>
      <c r="H5" s="10"/>
    </row>
    <row r="6" spans="2:8" ht="16.5" x14ac:dyDescent="0.3">
      <c r="C6" s="5" t="s">
        <v>72</v>
      </c>
      <c r="D6" s="5" t="s">
        <v>5</v>
      </c>
      <c r="E6" s="5" t="s">
        <v>72</v>
      </c>
      <c r="F6" s="5" t="s">
        <v>5</v>
      </c>
      <c r="G6" s="5" t="s">
        <v>68</v>
      </c>
      <c r="H6" s="11" t="s">
        <v>12</v>
      </c>
    </row>
    <row r="8" spans="2:8" x14ac:dyDescent="0.25">
      <c r="B8" s="1" t="s">
        <v>271</v>
      </c>
      <c r="C8" s="1">
        <v>6778930</v>
      </c>
      <c r="D8" s="1">
        <v>0</v>
      </c>
      <c r="E8" s="1">
        <f>+C8+D8</f>
        <v>6778930</v>
      </c>
      <c r="F8" s="1">
        <v>0</v>
      </c>
      <c r="G8" s="1">
        <v>6778930</v>
      </c>
    </row>
    <row r="9" spans="2:8" x14ac:dyDescent="0.25">
      <c r="B9" s="1" t="s">
        <v>272</v>
      </c>
      <c r="C9" s="1">
        <v>0</v>
      </c>
      <c r="D9" s="1">
        <v>0</v>
      </c>
      <c r="E9" s="1">
        <v>0</v>
      </c>
      <c r="F9" s="1">
        <v>0</v>
      </c>
      <c r="G9" s="1">
        <v>0</v>
      </c>
    </row>
    <row r="10" spans="2:8" x14ac:dyDescent="0.25">
      <c r="B10" s="1" t="s">
        <v>250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</row>
    <row r="11" spans="2:8" x14ac:dyDescent="0.25">
      <c r="B11" s="8" t="s">
        <v>238</v>
      </c>
      <c r="C11" s="31">
        <f>SUM(C8:C10)</f>
        <v>6778930</v>
      </c>
      <c r="D11" s="16">
        <v>0</v>
      </c>
      <c r="E11" s="31">
        <f>+C11+D11</f>
        <v>6778930</v>
      </c>
      <c r="F11" s="16">
        <v>0</v>
      </c>
      <c r="G11" s="31">
        <f>SUM(G8:G10)</f>
        <v>6778930</v>
      </c>
      <c r="H11" s="3" t="s">
        <v>448</v>
      </c>
    </row>
    <row r="13" spans="2:8" ht="18" x14ac:dyDescent="0.4">
      <c r="B13" s="47" t="s">
        <v>249</v>
      </c>
    </row>
    <row r="14" spans="2:8" x14ac:dyDescent="0.25">
      <c r="B14" s="48" t="s">
        <v>273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</row>
    <row r="15" spans="2:8" x14ac:dyDescent="0.25">
      <c r="B15" s="1" t="s">
        <v>131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</row>
    <row r="16" spans="2:8" x14ac:dyDescent="0.25">
      <c r="B16" s="1" t="s">
        <v>274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</row>
    <row r="17" spans="1:7" x14ac:dyDescent="0.25">
      <c r="B17" s="1" t="s">
        <v>275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</row>
    <row r="18" spans="1:7" x14ac:dyDescent="0.25">
      <c r="B18" s="1" t="s">
        <v>276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</row>
    <row r="19" spans="1:7" x14ac:dyDescent="0.25">
      <c r="B19" s="1" t="s">
        <v>277</v>
      </c>
      <c r="C19" s="1">
        <v>0</v>
      </c>
      <c r="D19" s="1">
        <v>0</v>
      </c>
      <c r="E19" s="1">
        <v>0</v>
      </c>
      <c r="F19" s="1">
        <v>0</v>
      </c>
      <c r="G19" s="1">
        <v>6778930</v>
      </c>
    </row>
    <row r="20" spans="1:7" x14ac:dyDescent="0.25">
      <c r="B20" s="1" t="s">
        <v>278</v>
      </c>
      <c r="C20" s="1">
        <v>6778930</v>
      </c>
      <c r="D20" s="1">
        <v>0</v>
      </c>
      <c r="E20" s="1">
        <f>+C20+D20</f>
        <v>6778930</v>
      </c>
      <c r="F20" s="1">
        <v>0</v>
      </c>
      <c r="G20" s="1">
        <v>0</v>
      </c>
    </row>
    <row r="21" spans="1:7" ht="18" x14ac:dyDescent="0.4">
      <c r="B21" s="47" t="s">
        <v>251</v>
      </c>
    </row>
    <row r="22" spans="1:7" x14ac:dyDescent="0.25">
      <c r="B22" s="1" t="s">
        <v>131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</row>
    <row r="23" spans="1:7" x14ac:dyDescent="0.25">
      <c r="B23" s="1" t="s">
        <v>274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</row>
    <row r="24" spans="1:7" x14ac:dyDescent="0.25">
      <c r="B24" s="1" t="s">
        <v>278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</row>
    <row r="25" spans="1:7" x14ac:dyDescent="0.25">
      <c r="B25" s="8" t="s">
        <v>238</v>
      </c>
      <c r="C25" s="31">
        <f>SUM(C14:C24)</f>
        <v>6778930</v>
      </c>
      <c r="D25" s="16">
        <v>0</v>
      </c>
      <c r="E25" s="31">
        <f>SUM(E14:E24)</f>
        <v>6778930</v>
      </c>
      <c r="F25" s="16">
        <v>0</v>
      </c>
      <c r="G25" s="31">
        <f>+G19</f>
        <v>6778930</v>
      </c>
    </row>
    <row r="29" spans="1:7" x14ac:dyDescent="0.25">
      <c r="A29" s="20" t="s">
        <v>2</v>
      </c>
      <c r="B29" s="1" t="s">
        <v>293</v>
      </c>
    </row>
  </sheetData>
  <pageMargins left="0.7" right="0.7" top="0.68874999999999997" bottom="0.75" header="0.3" footer="0.3"/>
  <pageSetup scale="57" orientation="portrait" horizontalDpi="0" verticalDpi="0" r:id="rId1"/>
  <headerFooter>
    <oddHeader>&amp;L&amp;"Arial Narrow,Bold"&amp;K03+022Rhode Island Energy - Electric
Test Year August 31, 2025
Rate Year 1 - July 31, 2027
&amp;C&amp;"Arial Narrow,Bold"&amp;K03+023RI Public Utilities Commission
Docket No. 25-45-GE&amp;R&amp;"Arial Narrow,Bold"&amp;K03+023Schedule DM-20-Electric RY 1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CDF82-7B87-421B-8EEA-FEA444B465FB}">
  <sheetPr>
    <pageSetUpPr fitToPage="1"/>
  </sheetPr>
  <dimension ref="A2:F33"/>
  <sheetViews>
    <sheetView view="pageLayout" topLeftCell="B10" zoomScaleNormal="100" workbookViewId="0">
      <selection activeCell="E28" sqref="E28"/>
    </sheetView>
  </sheetViews>
  <sheetFormatPr defaultRowHeight="16.5" x14ac:dyDescent="0.3"/>
  <cols>
    <col min="1" max="1" width="6.7109375" style="2" customWidth="1"/>
    <col min="2" max="2" width="40.7109375" style="1" customWidth="1"/>
    <col min="3" max="5" width="18.7109375" style="1" customWidth="1"/>
    <col min="6" max="6" width="18.7109375" style="9" customWidth="1"/>
    <col min="7" max="11" width="18.7109375" style="1" customWidth="1"/>
    <col min="12" max="16384" width="9.140625" style="1"/>
  </cols>
  <sheetData>
    <row r="2" spans="2:6" x14ac:dyDescent="0.3">
      <c r="B2" s="5" t="s">
        <v>294</v>
      </c>
    </row>
    <row r="3" spans="2:6" x14ac:dyDescent="0.3">
      <c r="C3" s="6" t="s">
        <v>2</v>
      </c>
    </row>
    <row r="4" spans="2:6" x14ac:dyDescent="0.3">
      <c r="C4" s="4" t="s">
        <v>3</v>
      </c>
      <c r="D4" s="4"/>
      <c r="E4" s="4" t="s">
        <v>67</v>
      </c>
      <c r="F4" s="10"/>
    </row>
    <row r="5" spans="2:6" x14ac:dyDescent="0.3">
      <c r="C5" s="5" t="s">
        <v>4</v>
      </c>
      <c r="D5" s="5" t="s">
        <v>43</v>
      </c>
      <c r="E5" s="5" t="s">
        <v>68</v>
      </c>
      <c r="F5" s="11" t="s">
        <v>12</v>
      </c>
    </row>
    <row r="7" spans="2:6" x14ac:dyDescent="0.3">
      <c r="B7" s="1" t="s">
        <v>295</v>
      </c>
      <c r="C7" s="1">
        <v>1364507000</v>
      </c>
    </row>
    <row r="8" spans="2:6" x14ac:dyDescent="0.3">
      <c r="B8" s="1" t="s">
        <v>296</v>
      </c>
      <c r="C8" s="7">
        <v>30141000</v>
      </c>
      <c r="D8" s="7"/>
      <c r="E8" s="7"/>
    </row>
    <row r="9" spans="2:6" x14ac:dyDescent="0.3">
      <c r="B9" s="8" t="s">
        <v>297</v>
      </c>
      <c r="C9" s="51">
        <f>+C8/C7</f>
        <v>2.2089296720353944E-2</v>
      </c>
      <c r="D9" s="50"/>
      <c r="E9" s="50"/>
    </row>
    <row r="11" spans="2:6" x14ac:dyDescent="0.3">
      <c r="B11" s="1" t="s">
        <v>298</v>
      </c>
      <c r="C11" s="1">
        <v>527272903</v>
      </c>
    </row>
    <row r="12" spans="2:6" x14ac:dyDescent="0.3">
      <c r="B12" s="1" t="s">
        <v>299</v>
      </c>
      <c r="C12" s="23">
        <v>1.2999999999999999E-2</v>
      </c>
      <c r="D12" s="23"/>
      <c r="E12" s="23"/>
    </row>
    <row r="13" spans="2:6" x14ac:dyDescent="0.3">
      <c r="B13" s="8" t="s">
        <v>300</v>
      </c>
      <c r="C13" s="31">
        <f>+C11*C12</f>
        <v>6854547.7390000001</v>
      </c>
      <c r="D13" s="49"/>
      <c r="E13" s="31">
        <v>6854548</v>
      </c>
    </row>
    <row r="15" spans="2:6" x14ac:dyDescent="0.3">
      <c r="B15" s="1" t="s">
        <v>301</v>
      </c>
      <c r="C15" s="7">
        <v>43987220</v>
      </c>
      <c r="D15" s="7"/>
      <c r="E15" s="7"/>
    </row>
    <row r="16" spans="2:6" x14ac:dyDescent="0.3">
      <c r="B16" s="8" t="s">
        <v>302</v>
      </c>
      <c r="C16" s="16">
        <f>+C13-C15</f>
        <v>-37132672.261</v>
      </c>
      <c r="D16" s="49"/>
      <c r="E16" s="49"/>
    </row>
    <row r="18" spans="2:5" x14ac:dyDescent="0.3">
      <c r="B18" s="1" t="s">
        <v>303</v>
      </c>
      <c r="C18" s="1">
        <f>+C20-C11</f>
        <v>18322769</v>
      </c>
    </row>
    <row r="20" spans="2:5" x14ac:dyDescent="0.3">
      <c r="B20" s="1" t="s">
        <v>304</v>
      </c>
      <c r="C20" s="7">
        <v>545595672</v>
      </c>
      <c r="D20" s="7"/>
      <c r="E20" s="7">
        <v>545595672</v>
      </c>
    </row>
    <row r="21" spans="2:5" x14ac:dyDescent="0.3">
      <c r="B21" s="1" t="s">
        <v>305</v>
      </c>
      <c r="C21" s="22">
        <f>+C9</f>
        <v>2.2089296720353944E-2</v>
      </c>
      <c r="E21" s="56">
        <v>1.2999999999999999E-2</v>
      </c>
    </row>
    <row r="23" spans="2:5" x14ac:dyDescent="0.3">
      <c r="B23" s="1" t="s">
        <v>306</v>
      </c>
      <c r="C23" s="1">
        <f>+C20*C21</f>
        <v>12051824.688148906</v>
      </c>
      <c r="D23" s="1">
        <f>+E23-C23</f>
        <v>-4959080.9521489069</v>
      </c>
      <c r="E23" s="1">
        <f>+E20*E21</f>
        <v>7092743.7359999996</v>
      </c>
    </row>
    <row r="24" spans="2:5" x14ac:dyDescent="0.3">
      <c r="B24" s="1" t="s">
        <v>307</v>
      </c>
      <c r="C24" s="7">
        <f>+C13</f>
        <v>6854547.7390000001</v>
      </c>
      <c r="D24" s="7"/>
      <c r="E24" s="7">
        <f>+E13</f>
        <v>6854548</v>
      </c>
    </row>
    <row r="25" spans="2:5" x14ac:dyDescent="0.3">
      <c r="B25" s="1" t="s">
        <v>308</v>
      </c>
      <c r="C25" s="31">
        <f>+C23-C24</f>
        <v>5197276.9491489064</v>
      </c>
      <c r="D25" s="16">
        <f>+E25-C25</f>
        <v>-4959081.2131489068</v>
      </c>
      <c r="E25" s="31">
        <f>+E23-E24</f>
        <v>238195.73599999957</v>
      </c>
    </row>
    <row r="26" spans="2:5" x14ac:dyDescent="0.3">
      <c r="B26" s="26"/>
      <c r="C26" s="26"/>
      <c r="D26" s="26"/>
      <c r="E26" s="26"/>
    </row>
    <row r="27" spans="2:5" x14ac:dyDescent="0.3">
      <c r="B27" s="8" t="s">
        <v>422</v>
      </c>
      <c r="C27" s="29">
        <f>+'Electric Oper Inc Statement '!G10</f>
        <v>65927761</v>
      </c>
      <c r="D27" s="8"/>
      <c r="E27" s="29">
        <v>7248203</v>
      </c>
    </row>
    <row r="28" spans="2:5" x14ac:dyDescent="0.3">
      <c r="B28" s="1" t="s">
        <v>423</v>
      </c>
      <c r="C28" s="23">
        <v>2.2089000000000001E-2</v>
      </c>
      <c r="D28" s="23"/>
      <c r="E28" s="23">
        <v>1.2999999999999999E-2</v>
      </c>
    </row>
    <row r="29" spans="2:5" x14ac:dyDescent="0.3">
      <c r="B29" s="1" t="s">
        <v>424</v>
      </c>
      <c r="C29" s="29">
        <f>+C27*C28</f>
        <v>1456278.3127290001</v>
      </c>
      <c r="D29" s="8">
        <f>+E29-C29</f>
        <v>-1362051.6737290001</v>
      </c>
      <c r="E29" s="29">
        <f>+E27*E28</f>
        <v>94226.638999999996</v>
      </c>
    </row>
    <row r="33" spans="1:2" x14ac:dyDescent="0.3">
      <c r="A33" s="20" t="s">
        <v>2</v>
      </c>
      <c r="B33" s="1" t="s">
        <v>309</v>
      </c>
    </row>
  </sheetData>
  <pageMargins left="0.7" right="0.7" top="0.8125" bottom="0.75" header="0.3" footer="0.3"/>
  <pageSetup scale="75" orientation="portrait" horizontalDpi="0" verticalDpi="0" r:id="rId1"/>
  <headerFooter>
    <oddHeader>&amp;L&amp;"Arial Narrow,Bold"&amp;K03+024Rhode Island Energy - Electric
Test Year August 31, 2025
Rate Year 1 - July 31, 2027&amp;C&amp;"Arial Narrow,Bold"&amp;K03+024RI Public Utilities Commission 
Docket No. 25-45-GE&amp;R&amp;"Arial Narrow,Bold"&amp;K03+022Schedule DM-21-Electric RY 1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CBAEB-F6C0-4C30-B9CB-C1D41084FD31}">
  <sheetPr>
    <pageSetUpPr fitToPage="1"/>
  </sheetPr>
  <dimension ref="A2:H29"/>
  <sheetViews>
    <sheetView view="pageLayout" topLeftCell="A4" zoomScaleNormal="100" workbookViewId="0">
      <selection activeCell="F27" sqref="F27"/>
    </sheetView>
  </sheetViews>
  <sheetFormatPr defaultRowHeight="15.75" x14ac:dyDescent="0.25"/>
  <cols>
    <col min="1" max="1" width="6.7109375" style="2" customWidth="1"/>
    <col min="2" max="2" width="40.7109375" style="1" customWidth="1"/>
    <col min="3" max="7" width="18.7109375" style="1" customWidth="1"/>
    <col min="8" max="8" width="18.7109375" style="3" customWidth="1"/>
    <col min="9" max="11" width="18.7109375" style="1" customWidth="1"/>
    <col min="12" max="16384" width="9.140625" style="1"/>
  </cols>
  <sheetData>
    <row r="2" spans="2:8" x14ac:dyDescent="0.25">
      <c r="B2" s="5" t="s">
        <v>310</v>
      </c>
    </row>
    <row r="3" spans="2:8" x14ac:dyDescent="0.25">
      <c r="C3" s="6" t="s">
        <v>2</v>
      </c>
    </row>
    <row r="4" spans="2:8" ht="16.5" x14ac:dyDescent="0.3">
      <c r="C4" s="4" t="s">
        <v>3</v>
      </c>
      <c r="D4" s="4"/>
      <c r="E4" s="4" t="s">
        <v>3</v>
      </c>
      <c r="F4" s="4"/>
      <c r="G4" s="4" t="s">
        <v>67</v>
      </c>
      <c r="H4" s="10"/>
    </row>
    <row r="5" spans="2:8" ht="16.5" x14ac:dyDescent="0.3">
      <c r="C5" s="4" t="s">
        <v>262</v>
      </c>
      <c r="D5" s="4" t="s">
        <v>264</v>
      </c>
      <c r="E5" s="4" t="s">
        <v>263</v>
      </c>
      <c r="F5" s="4"/>
      <c r="G5" s="4" t="s">
        <v>282</v>
      </c>
      <c r="H5" s="10"/>
    </row>
    <row r="6" spans="2:8" ht="16.5" x14ac:dyDescent="0.3">
      <c r="C6" s="5" t="s">
        <v>72</v>
      </c>
      <c r="D6" s="5" t="s">
        <v>5</v>
      </c>
      <c r="E6" s="5" t="s">
        <v>72</v>
      </c>
      <c r="F6" s="5" t="s">
        <v>5</v>
      </c>
      <c r="G6" s="5" t="s">
        <v>68</v>
      </c>
      <c r="H6" s="11" t="s">
        <v>12</v>
      </c>
    </row>
    <row r="7" spans="2:8" ht="16.5" x14ac:dyDescent="0.3">
      <c r="C7" s="4"/>
      <c r="D7" s="4"/>
      <c r="E7" s="4"/>
      <c r="F7" s="4"/>
      <c r="G7" s="4"/>
      <c r="H7" s="10"/>
    </row>
    <row r="8" spans="2:8" x14ac:dyDescent="0.25">
      <c r="B8" s="1" t="s">
        <v>252</v>
      </c>
      <c r="C8" s="1">
        <v>4073256</v>
      </c>
      <c r="D8" s="1">
        <v>214480</v>
      </c>
      <c r="E8" s="1">
        <f>+C8+D8</f>
        <v>4287736</v>
      </c>
      <c r="F8" s="1">
        <f>-D8</f>
        <v>-214480</v>
      </c>
      <c r="G8" s="1">
        <f>+E8+F8</f>
        <v>4073256</v>
      </c>
    </row>
    <row r="9" spans="2:8" x14ac:dyDescent="0.25">
      <c r="B9" s="1" t="s">
        <v>253</v>
      </c>
      <c r="C9" s="1">
        <v>60610</v>
      </c>
      <c r="D9" s="1">
        <v>3191</v>
      </c>
      <c r="E9" s="1">
        <f>+C9+D9</f>
        <v>63801</v>
      </c>
      <c r="F9" s="1">
        <f>-D9</f>
        <v>-3191</v>
      </c>
      <c r="G9" s="1">
        <f>+E9+F9</f>
        <v>60610</v>
      </c>
    </row>
    <row r="10" spans="2:8" x14ac:dyDescent="0.25">
      <c r="B10" s="1" t="s">
        <v>265</v>
      </c>
      <c r="C10" s="7">
        <v>27</v>
      </c>
      <c r="D10" s="7">
        <v>1</v>
      </c>
      <c r="E10" s="7">
        <f>+C10+D10</f>
        <v>28</v>
      </c>
      <c r="F10" s="7">
        <f>-D10</f>
        <v>-1</v>
      </c>
      <c r="G10" s="7">
        <f>+E10+F10</f>
        <v>27</v>
      </c>
    </row>
    <row r="11" spans="2:8" x14ac:dyDescent="0.25">
      <c r="B11" s="8" t="s">
        <v>238</v>
      </c>
      <c r="C11" s="31">
        <f>SUM(C8:C10)</f>
        <v>4133893</v>
      </c>
      <c r="D11" s="16">
        <f>SUM(D8:D10)</f>
        <v>217672</v>
      </c>
      <c r="E11" s="31">
        <f>SUM(E8:E10)</f>
        <v>4351565</v>
      </c>
      <c r="F11" s="16">
        <f>+G11-E11</f>
        <v>-217683</v>
      </c>
      <c r="G11" s="31">
        <f>SUM(G8:G10)+F27</f>
        <v>4133882</v>
      </c>
      <c r="H11" s="3" t="s">
        <v>449</v>
      </c>
    </row>
    <row r="13" spans="2:8" ht="18" x14ac:dyDescent="0.4">
      <c r="B13" s="47" t="s">
        <v>249</v>
      </c>
    </row>
    <row r="14" spans="2:8" x14ac:dyDescent="0.25">
      <c r="B14" s="48" t="s">
        <v>266</v>
      </c>
      <c r="C14" s="1">
        <v>0</v>
      </c>
      <c r="E14" s="1">
        <f t="shared" ref="E14:E25" si="0">SUM(C14:D14)</f>
        <v>0</v>
      </c>
      <c r="F14" s="1">
        <v>0</v>
      </c>
      <c r="G14" s="1">
        <v>0</v>
      </c>
    </row>
    <row r="15" spans="2:8" x14ac:dyDescent="0.25">
      <c r="B15" s="1" t="s">
        <v>255</v>
      </c>
      <c r="C15" s="1">
        <v>3006</v>
      </c>
      <c r="D15" s="1">
        <v>158</v>
      </c>
      <c r="E15" s="1">
        <f t="shared" si="0"/>
        <v>3164</v>
      </c>
      <c r="F15" s="1">
        <f>-D15</f>
        <v>-158</v>
      </c>
      <c r="G15" s="1">
        <f>+E15+F15</f>
        <v>3006</v>
      </c>
    </row>
    <row r="16" spans="2:8" x14ac:dyDescent="0.25">
      <c r="B16" s="1" t="s">
        <v>256</v>
      </c>
      <c r="C16" s="1">
        <v>132567</v>
      </c>
      <c r="D16" s="1">
        <v>6980</v>
      </c>
      <c r="E16" s="1">
        <f t="shared" si="0"/>
        <v>139547</v>
      </c>
      <c r="F16" s="1">
        <f>-D16</f>
        <v>-6980</v>
      </c>
      <c r="G16" s="1">
        <f>+E16+F16</f>
        <v>132567</v>
      </c>
    </row>
    <row r="17" spans="1:7" x14ac:dyDescent="0.25">
      <c r="B17" s="1" t="s">
        <v>257</v>
      </c>
      <c r="C17" s="1">
        <v>3572051</v>
      </c>
      <c r="D17" s="1">
        <v>188089</v>
      </c>
      <c r="E17" s="1">
        <f t="shared" si="0"/>
        <v>3760140</v>
      </c>
      <c r="F17" s="1">
        <f>-D17</f>
        <v>-188089</v>
      </c>
      <c r="G17" s="1">
        <f>+E17+F17</f>
        <v>3572051</v>
      </c>
    </row>
    <row r="18" spans="1:7" x14ac:dyDescent="0.25">
      <c r="B18" s="1" t="s">
        <v>258</v>
      </c>
      <c r="C18" s="1">
        <v>10075</v>
      </c>
      <c r="D18" s="1">
        <v>531</v>
      </c>
      <c r="E18" s="1">
        <f t="shared" si="0"/>
        <v>10606</v>
      </c>
      <c r="F18" s="1">
        <f>-D18</f>
        <v>-531</v>
      </c>
      <c r="G18" s="1">
        <f>+E18+F18</f>
        <v>10075</v>
      </c>
    </row>
    <row r="19" spans="1:7" x14ac:dyDescent="0.25">
      <c r="B19" s="1" t="s">
        <v>267</v>
      </c>
      <c r="C19" s="1">
        <v>0</v>
      </c>
      <c r="D19" s="1">
        <v>0</v>
      </c>
      <c r="E19" s="1">
        <f t="shared" si="0"/>
        <v>0</v>
      </c>
      <c r="F19" s="1">
        <v>0</v>
      </c>
      <c r="G19" s="1">
        <v>0</v>
      </c>
    </row>
    <row r="20" spans="1:7" x14ac:dyDescent="0.25">
      <c r="B20" s="1" t="s">
        <v>259</v>
      </c>
      <c r="C20" s="1">
        <v>249260</v>
      </c>
      <c r="D20" s="1">
        <v>13125</v>
      </c>
      <c r="E20" s="1">
        <f t="shared" si="0"/>
        <v>262385</v>
      </c>
      <c r="F20" s="1">
        <f>-D20</f>
        <v>-13125</v>
      </c>
      <c r="G20" s="1">
        <f>+E20+F20</f>
        <v>249260</v>
      </c>
    </row>
    <row r="21" spans="1:7" ht="18" x14ac:dyDescent="0.4">
      <c r="B21" s="47" t="s">
        <v>251</v>
      </c>
    </row>
    <row r="22" spans="1:7" x14ac:dyDescent="0.25">
      <c r="B22" s="1" t="s">
        <v>255</v>
      </c>
      <c r="C22" s="1">
        <v>6817</v>
      </c>
      <c r="D22" s="1">
        <v>359</v>
      </c>
      <c r="E22" s="1">
        <f t="shared" si="0"/>
        <v>7176</v>
      </c>
      <c r="F22" s="1">
        <f>-D22</f>
        <v>-359</v>
      </c>
      <c r="G22" s="1">
        <f>+E22+F22</f>
        <v>6817</v>
      </c>
    </row>
    <row r="23" spans="1:7" x14ac:dyDescent="0.25">
      <c r="B23" s="1" t="s">
        <v>256</v>
      </c>
      <c r="C23" s="1">
        <v>158352</v>
      </c>
      <c r="D23" s="1">
        <v>8338</v>
      </c>
      <c r="E23" s="1">
        <f t="shared" si="0"/>
        <v>166690</v>
      </c>
      <c r="F23" s="1">
        <f>-D23</f>
        <v>-8338</v>
      </c>
      <c r="G23" s="1">
        <f>+E23+F23</f>
        <v>158352</v>
      </c>
    </row>
    <row r="24" spans="1:7" x14ac:dyDescent="0.25">
      <c r="B24" s="1" t="s">
        <v>259</v>
      </c>
      <c r="C24" s="7">
        <v>1765</v>
      </c>
      <c r="D24" s="7">
        <v>93</v>
      </c>
      <c r="E24" s="7">
        <f t="shared" si="0"/>
        <v>1858</v>
      </c>
      <c r="F24" s="7">
        <f>-D24</f>
        <v>-93</v>
      </c>
      <c r="G24" s="7">
        <f>+E24+F24</f>
        <v>1765</v>
      </c>
    </row>
    <row r="25" spans="1:7" x14ac:dyDescent="0.25">
      <c r="B25" s="8" t="s">
        <v>238</v>
      </c>
      <c r="C25" s="31">
        <f>SUM(C14:C24)</f>
        <v>4133893</v>
      </c>
      <c r="D25" s="16">
        <f>SUM(D14:D24)</f>
        <v>217673</v>
      </c>
      <c r="E25" s="31">
        <f t="shared" si="0"/>
        <v>4351566</v>
      </c>
      <c r="F25" s="16">
        <f>+G25-E25</f>
        <v>-217684</v>
      </c>
      <c r="G25" s="31">
        <f>SUM(G14:G24)+F27</f>
        <v>4133882</v>
      </c>
    </row>
    <row r="27" spans="1:7" x14ac:dyDescent="0.25">
      <c r="B27" s="8" t="s">
        <v>509</v>
      </c>
      <c r="F27" s="82">
        <v>-11</v>
      </c>
    </row>
    <row r="29" spans="1:7" x14ac:dyDescent="0.25">
      <c r="A29" s="20" t="s">
        <v>2</v>
      </c>
      <c r="B29" s="1" t="s">
        <v>311</v>
      </c>
    </row>
  </sheetData>
  <pageMargins left="0.7" right="0.7" top="0.70062500000000005" bottom="0.75" header="0.3" footer="0.3"/>
  <pageSetup scale="57" orientation="portrait" horizontalDpi="0" verticalDpi="0" r:id="rId1"/>
  <headerFooter>
    <oddHeader>&amp;L&amp;"Arial Narrow,Bold"&amp;K03+024Rhode Island Energy - Electric 
Test Year August 31, 2025
Rate Year 1 - July 31, 2027&amp;C&amp;"Arial Narrow,Bold"&amp;K03+024RI Public Utilities Commission 
Docket No. 25-45-GE&amp;R&amp;"Arial Narrow,Bold"&amp;K03+024Schedule DM-22-Electric RY 1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6DE2B-E0D6-4DA0-BEDB-779AFDB6891D}">
  <sheetPr>
    <pageSetUpPr fitToPage="1"/>
  </sheetPr>
  <dimension ref="A2:H29"/>
  <sheetViews>
    <sheetView view="pageLayout" topLeftCell="A5" zoomScaleNormal="100" workbookViewId="0">
      <selection activeCell="F11" sqref="F11"/>
    </sheetView>
  </sheetViews>
  <sheetFormatPr defaultRowHeight="15.75" x14ac:dyDescent="0.25"/>
  <cols>
    <col min="1" max="1" width="6.7109375" style="2" customWidth="1"/>
    <col min="2" max="2" width="40.7109375" style="1" customWidth="1"/>
    <col min="3" max="7" width="18.7109375" style="1" customWidth="1"/>
    <col min="8" max="8" width="18.7109375" style="3" customWidth="1"/>
    <col min="9" max="11" width="18.7109375" style="1" customWidth="1"/>
    <col min="12" max="16384" width="9.140625" style="1"/>
  </cols>
  <sheetData>
    <row r="2" spans="2:8" x14ac:dyDescent="0.25">
      <c r="B2" s="5" t="s">
        <v>312</v>
      </c>
    </row>
    <row r="3" spans="2:8" x14ac:dyDescent="0.25">
      <c r="C3" s="6" t="s">
        <v>2</v>
      </c>
    </row>
    <row r="4" spans="2:8" ht="16.5" x14ac:dyDescent="0.3">
      <c r="C4" s="4" t="s">
        <v>3</v>
      </c>
      <c r="D4" s="4"/>
      <c r="E4" s="4" t="s">
        <v>3</v>
      </c>
      <c r="F4" s="4"/>
      <c r="G4" s="4" t="s">
        <v>67</v>
      </c>
      <c r="H4" s="10"/>
    </row>
    <row r="5" spans="2:8" ht="16.5" x14ac:dyDescent="0.3">
      <c r="C5" s="4" t="s">
        <v>262</v>
      </c>
      <c r="D5" s="4" t="s">
        <v>264</v>
      </c>
      <c r="E5" s="4" t="s">
        <v>263</v>
      </c>
      <c r="F5" s="4"/>
      <c r="G5" s="4" t="s">
        <v>282</v>
      </c>
      <c r="H5" s="10"/>
    </row>
    <row r="6" spans="2:8" ht="16.5" x14ac:dyDescent="0.3">
      <c r="C6" s="5" t="s">
        <v>72</v>
      </c>
      <c r="D6" s="5" t="s">
        <v>5</v>
      </c>
      <c r="E6" s="5" t="s">
        <v>72</v>
      </c>
      <c r="F6" s="5" t="s">
        <v>5</v>
      </c>
      <c r="G6" s="5" t="s">
        <v>68</v>
      </c>
      <c r="H6" s="11" t="s">
        <v>12</v>
      </c>
    </row>
    <row r="8" spans="2:8" x14ac:dyDescent="0.25">
      <c r="B8" s="1" t="s">
        <v>252</v>
      </c>
      <c r="C8" s="1">
        <v>585487</v>
      </c>
      <c r="D8" s="1">
        <v>0</v>
      </c>
      <c r="E8" s="1">
        <f>+C8+D8</f>
        <v>585487</v>
      </c>
      <c r="G8" s="1">
        <v>585487</v>
      </c>
    </row>
    <row r="9" spans="2:8" x14ac:dyDescent="0.25">
      <c r="B9" s="1" t="s">
        <v>253</v>
      </c>
      <c r="C9" s="1">
        <v>4266355</v>
      </c>
      <c r="D9" s="1">
        <v>9572685</v>
      </c>
      <c r="E9" s="1">
        <f>+C9+D9</f>
        <v>13839040</v>
      </c>
      <c r="F9" s="1">
        <f>((-D9/3)*2)-787026</f>
        <v>-7168816</v>
      </c>
      <c r="G9" s="1">
        <f>+E9+F9</f>
        <v>6670224</v>
      </c>
    </row>
    <row r="10" spans="2:8" x14ac:dyDescent="0.25">
      <c r="B10" s="1" t="s">
        <v>265</v>
      </c>
      <c r="C10" s="7">
        <v>0</v>
      </c>
      <c r="D10" s="7">
        <v>0</v>
      </c>
      <c r="E10" s="7">
        <f>+C10+D10</f>
        <v>0</v>
      </c>
      <c r="F10" s="7"/>
      <c r="G10" s="7">
        <v>0</v>
      </c>
    </row>
    <row r="11" spans="2:8" x14ac:dyDescent="0.25">
      <c r="B11" s="8" t="s">
        <v>238</v>
      </c>
      <c r="C11" s="31">
        <f>SUM(C8:C10)</f>
        <v>4851842</v>
      </c>
      <c r="D11" s="16">
        <f>SUM(D8:D10)</f>
        <v>9572685</v>
      </c>
      <c r="E11" s="31">
        <f>SUM(E8:E10)</f>
        <v>14424527</v>
      </c>
      <c r="F11" s="72">
        <f>+G11-E11</f>
        <v>-7168816</v>
      </c>
      <c r="G11" s="31">
        <f>SUM(G8:G10)</f>
        <v>7255711</v>
      </c>
      <c r="H11" s="3" t="s">
        <v>450</v>
      </c>
    </row>
    <row r="13" spans="2:8" ht="18" x14ac:dyDescent="0.4">
      <c r="B13" s="47" t="s">
        <v>249</v>
      </c>
    </row>
    <row r="14" spans="2:8" x14ac:dyDescent="0.25">
      <c r="B14" s="48" t="s">
        <v>266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</row>
    <row r="15" spans="2:8" x14ac:dyDescent="0.25">
      <c r="B15" s="1" t="s">
        <v>255</v>
      </c>
      <c r="C15" s="1">
        <v>-29018</v>
      </c>
      <c r="D15" s="1">
        <v>-1528</v>
      </c>
      <c r="E15" s="1">
        <f>+C15+D15</f>
        <v>-30546</v>
      </c>
      <c r="F15" s="1">
        <v>1528</v>
      </c>
      <c r="G15" s="1">
        <f>+E15+F15</f>
        <v>-29018</v>
      </c>
    </row>
    <row r="16" spans="2:8" x14ac:dyDescent="0.25">
      <c r="B16" s="1" t="s">
        <v>256</v>
      </c>
      <c r="C16" s="1">
        <v>52443</v>
      </c>
      <c r="D16" s="1">
        <v>2761</v>
      </c>
      <c r="E16" s="1">
        <f>+C16+D16</f>
        <v>55204</v>
      </c>
      <c r="F16" s="1">
        <v>-2761</v>
      </c>
      <c r="G16" s="1">
        <f>+E16+F16</f>
        <v>52443</v>
      </c>
    </row>
    <row r="17" spans="1:7" x14ac:dyDescent="0.25">
      <c r="B17" s="1" t="s">
        <v>257</v>
      </c>
      <c r="C17" s="1">
        <v>909312</v>
      </c>
      <c r="D17" s="1">
        <v>47880</v>
      </c>
      <c r="E17" s="1">
        <f>+C17+D17</f>
        <v>957192</v>
      </c>
      <c r="F17" s="1">
        <v>-47880</v>
      </c>
      <c r="G17" s="1">
        <f>+E17+F17</f>
        <v>909312</v>
      </c>
    </row>
    <row r="18" spans="1:7" x14ac:dyDescent="0.25">
      <c r="B18" s="1" t="s">
        <v>258</v>
      </c>
      <c r="C18" s="1">
        <v>0</v>
      </c>
      <c r="D18" s="1">
        <v>0</v>
      </c>
      <c r="E18" s="1">
        <v>0</v>
      </c>
      <c r="G18" s="1">
        <v>0</v>
      </c>
    </row>
    <row r="19" spans="1:7" x14ac:dyDescent="0.25">
      <c r="B19" s="1" t="s">
        <v>267</v>
      </c>
      <c r="C19" s="1">
        <v>-79063</v>
      </c>
      <c r="D19" s="1">
        <v>-4163</v>
      </c>
      <c r="E19" s="1">
        <f>+C19+D19</f>
        <v>-83226</v>
      </c>
      <c r="F19" s="1">
        <v>4163</v>
      </c>
      <c r="G19" s="1">
        <f>+E19+F19</f>
        <v>-79063</v>
      </c>
    </row>
    <row r="20" spans="1:7" x14ac:dyDescent="0.25">
      <c r="B20" s="1" t="s">
        <v>259</v>
      </c>
      <c r="C20" s="1">
        <v>-2621494</v>
      </c>
      <c r="D20" s="1">
        <v>9179172</v>
      </c>
      <c r="E20" s="1">
        <f>+C20+D20</f>
        <v>6557678</v>
      </c>
      <c r="F20" s="1">
        <v>-6775303</v>
      </c>
      <c r="G20" s="1">
        <f>+E20+F20</f>
        <v>-217625</v>
      </c>
    </row>
    <row r="21" spans="1:7" ht="18" x14ac:dyDescent="0.4">
      <c r="B21" s="47" t="s">
        <v>251</v>
      </c>
    </row>
    <row r="22" spans="1:7" x14ac:dyDescent="0.25">
      <c r="B22" s="1" t="s">
        <v>255</v>
      </c>
      <c r="C22" s="1">
        <v>365226</v>
      </c>
      <c r="D22" s="1">
        <v>19231</v>
      </c>
      <c r="E22" s="1">
        <f>+C22+D22</f>
        <v>384457</v>
      </c>
      <c r="F22" s="1">
        <v>-19231</v>
      </c>
      <c r="G22" s="1">
        <f>+E22+F22</f>
        <v>365226</v>
      </c>
    </row>
    <row r="23" spans="1:7" x14ac:dyDescent="0.25">
      <c r="B23" s="1" t="s">
        <v>256</v>
      </c>
      <c r="C23" s="1">
        <v>1766051</v>
      </c>
      <c r="D23" s="1">
        <v>92993</v>
      </c>
      <c r="E23" s="1">
        <f>+C23+D23</f>
        <v>1859044</v>
      </c>
      <c r="F23" s="1">
        <v>-92993</v>
      </c>
      <c r="G23" s="1">
        <f>+E23+F23</f>
        <v>1766051</v>
      </c>
    </row>
    <row r="24" spans="1:7" x14ac:dyDescent="0.25">
      <c r="B24" s="1" t="s">
        <v>259</v>
      </c>
      <c r="C24" s="7">
        <v>4488384</v>
      </c>
      <c r="D24" s="7">
        <v>236339</v>
      </c>
      <c r="E24" s="7">
        <f>+C24+D24</f>
        <v>4724723</v>
      </c>
      <c r="F24" s="7">
        <v>-236339</v>
      </c>
      <c r="G24" s="7">
        <f>+E24+F24</f>
        <v>4488384</v>
      </c>
    </row>
    <row r="25" spans="1:7" x14ac:dyDescent="0.25">
      <c r="B25" s="8" t="s">
        <v>238</v>
      </c>
      <c r="C25" s="31">
        <f>SUM(C14:C24)</f>
        <v>4851841</v>
      </c>
      <c r="D25" s="16">
        <f>SUM(D14:D24)</f>
        <v>9572685</v>
      </c>
      <c r="E25" s="31">
        <f>SUM(E14:E24)</f>
        <v>14424526</v>
      </c>
      <c r="F25" s="72">
        <f>SUM(F14:F24)</f>
        <v>-7168816</v>
      </c>
      <c r="G25" s="31">
        <f>SUM(G14:G24)</f>
        <v>7255710</v>
      </c>
    </row>
    <row r="27" spans="1:7" x14ac:dyDescent="0.25">
      <c r="F27" s="44"/>
    </row>
    <row r="29" spans="1:7" x14ac:dyDescent="0.25">
      <c r="A29" s="20" t="s">
        <v>2</v>
      </c>
      <c r="B29" s="1" t="s">
        <v>313</v>
      </c>
    </row>
  </sheetData>
  <pageMargins left="0.7" right="0.7" top="0.79625000000000001" bottom="0.75" header="0.3" footer="0.3"/>
  <pageSetup scale="78" orientation="landscape" horizontalDpi="0" verticalDpi="0" r:id="rId1"/>
  <headerFooter>
    <oddHeader>&amp;L&amp;"Arial Narrow,Bold"&amp;K03+023Rhode Island Energy - Electric 
Test Year August 31, 2025
Rate Year 1 - July 31, 2027&amp;C&amp;"Arial Narrow,Bold"&amp;K03+023RI Public Utilities Commission 
Docket No. 25-45-GE&amp;R&amp;"Arial Narrow,Bold"&amp;K03+023Schedule DM-23-Electric RY 1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82D75-927F-4913-8F6A-C20170F7770D}">
  <sheetPr>
    <pageSetUpPr fitToPage="1"/>
  </sheetPr>
  <dimension ref="A2:H28"/>
  <sheetViews>
    <sheetView view="pageLayout" topLeftCell="C9" zoomScaleNormal="100" workbookViewId="0">
      <selection activeCell="G26" sqref="G26"/>
    </sheetView>
  </sheetViews>
  <sheetFormatPr defaultRowHeight="15.75" x14ac:dyDescent="0.25"/>
  <cols>
    <col min="1" max="1" width="6.7109375" style="2" customWidth="1"/>
    <col min="2" max="2" width="40.7109375" style="1" customWidth="1"/>
    <col min="3" max="7" width="18.7109375" style="1" customWidth="1"/>
    <col min="8" max="8" width="18.7109375" style="3" customWidth="1"/>
    <col min="9" max="11" width="18.7109375" style="1" customWidth="1"/>
    <col min="12" max="16384" width="9.140625" style="1"/>
  </cols>
  <sheetData>
    <row r="2" spans="2:8" x14ac:dyDescent="0.25">
      <c r="B2" s="5" t="s">
        <v>314</v>
      </c>
    </row>
    <row r="3" spans="2:8" x14ac:dyDescent="0.25">
      <c r="C3" s="6" t="s">
        <v>2</v>
      </c>
    </row>
    <row r="4" spans="2:8" ht="16.5" x14ac:dyDescent="0.3">
      <c r="C4" s="4" t="s">
        <v>3</v>
      </c>
      <c r="D4" s="4"/>
      <c r="E4" s="4" t="s">
        <v>3</v>
      </c>
      <c r="F4" s="4"/>
      <c r="G4" s="4" t="s">
        <v>67</v>
      </c>
      <c r="H4" s="10"/>
    </row>
    <row r="5" spans="2:8" ht="16.5" x14ac:dyDescent="0.3">
      <c r="C5" s="4" t="s">
        <v>262</v>
      </c>
      <c r="D5" s="4" t="s">
        <v>264</v>
      </c>
      <c r="E5" s="4" t="s">
        <v>263</v>
      </c>
      <c r="F5" s="4"/>
      <c r="G5" s="4" t="s">
        <v>282</v>
      </c>
      <c r="H5" s="10"/>
    </row>
    <row r="6" spans="2:8" ht="16.5" x14ac:dyDescent="0.3">
      <c r="C6" s="5" t="s">
        <v>72</v>
      </c>
      <c r="D6" s="5" t="s">
        <v>5</v>
      </c>
      <c r="E6" s="5" t="s">
        <v>72</v>
      </c>
      <c r="F6" s="5" t="s">
        <v>5</v>
      </c>
      <c r="G6" s="5" t="s">
        <v>68</v>
      </c>
      <c r="H6" s="11" t="s">
        <v>12</v>
      </c>
    </row>
    <row r="8" spans="2:8" x14ac:dyDescent="0.25">
      <c r="B8" s="1" t="s">
        <v>271</v>
      </c>
      <c r="C8" s="1">
        <v>3078000</v>
      </c>
      <c r="D8" s="1">
        <v>0</v>
      </c>
      <c r="E8" s="1">
        <f>+C8+D8</f>
        <v>3078000</v>
      </c>
      <c r="F8" s="1">
        <v>0</v>
      </c>
      <c r="G8" s="1">
        <v>3078000</v>
      </c>
    </row>
    <row r="9" spans="2:8" x14ac:dyDescent="0.25">
      <c r="B9" s="1" t="s">
        <v>272</v>
      </c>
      <c r="C9" s="1">
        <v>0</v>
      </c>
      <c r="D9" s="1">
        <v>0</v>
      </c>
      <c r="E9" s="1">
        <v>0</v>
      </c>
      <c r="F9" s="1">
        <v>0</v>
      </c>
      <c r="G9" s="1">
        <v>0</v>
      </c>
    </row>
    <row r="10" spans="2:8" x14ac:dyDescent="0.25">
      <c r="B10" s="1" t="s">
        <v>250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</row>
    <row r="11" spans="2:8" x14ac:dyDescent="0.25">
      <c r="B11" s="8" t="s">
        <v>238</v>
      </c>
      <c r="C11" s="31">
        <f>SUM(C8:C10)</f>
        <v>3078000</v>
      </c>
      <c r="D11" s="16">
        <v>0</v>
      </c>
      <c r="E11" s="31">
        <f>SUM(E8:E10)</f>
        <v>3078000</v>
      </c>
      <c r="F11" s="16">
        <v>0</v>
      </c>
      <c r="G11" s="31">
        <v>3078000</v>
      </c>
      <c r="H11" s="3" t="s">
        <v>451</v>
      </c>
    </row>
    <row r="12" spans="2:8" x14ac:dyDescent="0.25">
      <c r="B12" s="8"/>
    </row>
    <row r="13" spans="2:8" ht="18" x14ac:dyDescent="0.4">
      <c r="B13" s="47" t="s">
        <v>249</v>
      </c>
    </row>
    <row r="14" spans="2:8" x14ac:dyDescent="0.25">
      <c r="B14" s="48" t="s">
        <v>273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</row>
    <row r="15" spans="2:8" x14ac:dyDescent="0.25">
      <c r="B15" s="1" t="s">
        <v>131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</row>
    <row r="16" spans="2:8" x14ac:dyDescent="0.25">
      <c r="B16" s="1" t="s">
        <v>274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</row>
    <row r="17" spans="1:7" x14ac:dyDescent="0.25">
      <c r="B17" s="1" t="s">
        <v>275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</row>
    <row r="18" spans="1:7" x14ac:dyDescent="0.25">
      <c r="B18" s="1" t="s">
        <v>276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</row>
    <row r="19" spans="1:7" x14ac:dyDescent="0.25">
      <c r="B19" s="1" t="s">
        <v>277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</row>
    <row r="20" spans="1:7" x14ac:dyDescent="0.25">
      <c r="B20" s="1" t="s">
        <v>278</v>
      </c>
      <c r="C20" s="1">
        <v>3078000</v>
      </c>
      <c r="D20" s="1">
        <v>0</v>
      </c>
      <c r="E20" s="1">
        <f>+C20+D20</f>
        <v>3078000</v>
      </c>
      <c r="F20" s="1">
        <v>0</v>
      </c>
      <c r="G20" s="1">
        <v>3078000</v>
      </c>
    </row>
    <row r="21" spans="1:7" ht="18" x14ac:dyDescent="0.4">
      <c r="B21" s="47" t="s">
        <v>251</v>
      </c>
    </row>
    <row r="22" spans="1:7" x14ac:dyDescent="0.25">
      <c r="B22" s="1" t="s">
        <v>131</v>
      </c>
      <c r="C22" s="1">
        <v>0</v>
      </c>
      <c r="D22" s="1">
        <v>0</v>
      </c>
      <c r="F22" s="1">
        <v>0</v>
      </c>
      <c r="G22" s="1">
        <v>0</v>
      </c>
    </row>
    <row r="23" spans="1:7" x14ac:dyDescent="0.25">
      <c r="B23" s="1" t="s">
        <v>274</v>
      </c>
      <c r="C23" s="1">
        <v>0</v>
      </c>
      <c r="D23" s="1">
        <v>0</v>
      </c>
      <c r="F23" s="1">
        <v>0</v>
      </c>
      <c r="G23" s="1">
        <v>0</v>
      </c>
    </row>
    <row r="24" spans="1:7" x14ac:dyDescent="0.25">
      <c r="B24" s="1" t="s">
        <v>278</v>
      </c>
      <c r="C24" s="7">
        <v>0</v>
      </c>
      <c r="D24" s="7">
        <v>0</v>
      </c>
      <c r="E24" s="7"/>
      <c r="F24" s="7">
        <v>0</v>
      </c>
      <c r="G24" s="7">
        <v>0</v>
      </c>
    </row>
    <row r="25" spans="1:7" x14ac:dyDescent="0.25">
      <c r="B25" s="8" t="s">
        <v>238</v>
      </c>
      <c r="C25" s="31">
        <f>SUM(C14:C24)</f>
        <v>3078000</v>
      </c>
      <c r="D25" s="16">
        <v>0</v>
      </c>
      <c r="E25" s="31">
        <f>SUM(E14:E24)</f>
        <v>3078000</v>
      </c>
      <c r="F25" s="16">
        <v>0</v>
      </c>
      <c r="G25" s="31">
        <f>+G20</f>
        <v>3078000</v>
      </c>
    </row>
    <row r="28" spans="1:7" x14ac:dyDescent="0.25">
      <c r="A28" s="20" t="s">
        <v>2</v>
      </c>
      <c r="B28" s="1" t="s">
        <v>425</v>
      </c>
    </row>
  </sheetData>
  <pageMargins left="0.7" right="0.7" top="0.73031250000000003" bottom="0.75" header="0.3" footer="0.3"/>
  <pageSetup scale="57" orientation="portrait" horizontalDpi="0" verticalDpi="0" r:id="rId1"/>
  <headerFooter>
    <oddHeader>&amp;L&amp;"Arial Narrow,Bold"&amp;K03+022Rhode Island Energy - Electric 
Test Year August 31, 2025
Rate Year 1 - July 31, 2027&amp;C&amp;"Arial Narrow,Bold"&amp;K03+023RI Public Utilities Commission 
Docket No. 25-45-GE&amp;R&amp;"Arial Narrow,Bold"&amp;K03+023Schedule DM-24-Electric RY 1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91E2F-F8F8-46A7-BC73-C66D6F1CC2B2}">
  <sheetPr>
    <pageSetUpPr fitToPage="1"/>
  </sheetPr>
  <dimension ref="A2:H34"/>
  <sheetViews>
    <sheetView view="pageLayout" topLeftCell="B14" zoomScaleNormal="100" workbookViewId="0">
      <selection activeCell="E32" sqref="E32"/>
    </sheetView>
  </sheetViews>
  <sheetFormatPr defaultRowHeight="15.75" x14ac:dyDescent="0.25"/>
  <cols>
    <col min="1" max="1" width="6.7109375" style="2" customWidth="1"/>
    <col min="2" max="2" width="40.7109375" style="1" customWidth="1"/>
    <col min="3" max="7" width="18.7109375" style="1" customWidth="1"/>
    <col min="8" max="8" width="18.7109375" style="3" customWidth="1"/>
    <col min="9" max="11" width="18.7109375" style="1" customWidth="1"/>
    <col min="12" max="16384" width="9.140625" style="1"/>
  </cols>
  <sheetData>
    <row r="2" spans="2:8" x14ac:dyDescent="0.25">
      <c r="B2" s="5" t="s">
        <v>315</v>
      </c>
    </row>
    <row r="3" spans="2:8" x14ac:dyDescent="0.25">
      <c r="C3" s="6" t="s">
        <v>2</v>
      </c>
    </row>
    <row r="4" spans="2:8" ht="16.5" x14ac:dyDescent="0.3">
      <c r="C4" s="4" t="s">
        <v>3</v>
      </c>
      <c r="D4" s="4"/>
      <c r="E4" s="4" t="s">
        <v>3</v>
      </c>
      <c r="F4" s="4"/>
      <c r="G4" s="4" t="s">
        <v>67</v>
      </c>
      <c r="H4" s="10"/>
    </row>
    <row r="5" spans="2:8" ht="16.5" x14ac:dyDescent="0.3">
      <c r="C5" s="4" t="s">
        <v>262</v>
      </c>
      <c r="D5" s="4" t="s">
        <v>264</v>
      </c>
      <c r="E5" s="4" t="s">
        <v>263</v>
      </c>
      <c r="F5" s="4"/>
      <c r="G5" s="4" t="s">
        <v>282</v>
      </c>
      <c r="H5" s="10"/>
    </row>
    <row r="6" spans="2:8" ht="16.5" x14ac:dyDescent="0.3">
      <c r="C6" s="5" t="s">
        <v>72</v>
      </c>
      <c r="D6" s="5" t="s">
        <v>5</v>
      </c>
      <c r="E6" s="5" t="s">
        <v>72</v>
      </c>
      <c r="F6" s="5" t="s">
        <v>5</v>
      </c>
      <c r="G6" s="5" t="s">
        <v>68</v>
      </c>
      <c r="H6" s="11" t="s">
        <v>12</v>
      </c>
    </row>
    <row r="8" spans="2:8" x14ac:dyDescent="0.25">
      <c r="B8" s="1" t="s">
        <v>252</v>
      </c>
      <c r="C8" s="1">
        <v>875089</v>
      </c>
      <c r="D8" s="1">
        <v>709532</v>
      </c>
      <c r="E8" s="1">
        <f>+C8+D8</f>
        <v>1584621</v>
      </c>
      <c r="F8" s="1">
        <f>+D34</f>
        <v>-354765.75</v>
      </c>
      <c r="G8" s="1">
        <f>+E8+F8</f>
        <v>1229855.25</v>
      </c>
    </row>
    <row r="9" spans="2:8" x14ac:dyDescent="0.25">
      <c r="B9" s="1" t="s">
        <v>272</v>
      </c>
      <c r="C9" s="1">
        <v>0</v>
      </c>
      <c r="D9" s="1">
        <v>0</v>
      </c>
      <c r="E9" s="1">
        <v>0</v>
      </c>
      <c r="F9" s="1">
        <v>0</v>
      </c>
      <c r="G9" s="1">
        <v>0</v>
      </c>
    </row>
    <row r="10" spans="2:8" x14ac:dyDescent="0.25">
      <c r="B10" s="1" t="s">
        <v>250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</row>
    <row r="11" spans="2:8" x14ac:dyDescent="0.25">
      <c r="B11" s="8" t="s">
        <v>238</v>
      </c>
      <c r="C11" s="31">
        <f>SUM(C8:C10)</f>
        <v>875089</v>
      </c>
      <c r="D11" s="16">
        <f>SUM(D8:D10)</f>
        <v>709532</v>
      </c>
      <c r="E11" s="31">
        <f>SUM(E8:E10)</f>
        <v>1584621</v>
      </c>
      <c r="F11" s="16">
        <f>+F8</f>
        <v>-354765.75</v>
      </c>
      <c r="G11" s="31">
        <f>+G8</f>
        <v>1229855.25</v>
      </c>
      <c r="H11" s="3" t="s">
        <v>457</v>
      </c>
    </row>
    <row r="12" spans="2:8" x14ac:dyDescent="0.25">
      <c r="B12" s="8"/>
    </row>
    <row r="13" spans="2:8" ht="18" x14ac:dyDescent="0.4">
      <c r="B13" s="47" t="s">
        <v>249</v>
      </c>
    </row>
    <row r="14" spans="2:8" x14ac:dyDescent="0.25">
      <c r="B14" s="48" t="s">
        <v>266</v>
      </c>
      <c r="C14" s="1">
        <v>0</v>
      </c>
      <c r="D14" s="1">
        <v>0</v>
      </c>
      <c r="E14" s="1">
        <v>0</v>
      </c>
      <c r="F14" s="1">
        <v>0</v>
      </c>
    </row>
    <row r="15" spans="2:8" x14ac:dyDescent="0.25">
      <c r="B15" s="1" t="s">
        <v>255</v>
      </c>
      <c r="C15" s="1">
        <v>0</v>
      </c>
      <c r="D15" s="1">
        <v>0</v>
      </c>
      <c r="E15" s="1">
        <v>0</v>
      </c>
      <c r="F15" s="1">
        <v>0</v>
      </c>
    </row>
    <row r="16" spans="2:8" x14ac:dyDescent="0.25">
      <c r="B16" s="1" t="s">
        <v>256</v>
      </c>
      <c r="C16" s="1">
        <v>0</v>
      </c>
      <c r="D16" s="1">
        <v>0</v>
      </c>
      <c r="E16" s="1">
        <v>0</v>
      </c>
      <c r="F16" s="1">
        <v>0</v>
      </c>
    </row>
    <row r="17" spans="1:7" x14ac:dyDescent="0.25">
      <c r="B17" s="1" t="s">
        <v>257</v>
      </c>
      <c r="C17" s="1">
        <v>0</v>
      </c>
      <c r="D17" s="1">
        <v>0</v>
      </c>
      <c r="E17" s="1">
        <v>0</v>
      </c>
      <c r="F17" s="1">
        <v>0</v>
      </c>
    </row>
    <row r="18" spans="1:7" x14ac:dyDescent="0.25">
      <c r="B18" s="1" t="s">
        <v>258</v>
      </c>
      <c r="C18" s="1">
        <v>875089</v>
      </c>
      <c r="D18" s="1">
        <v>709532</v>
      </c>
      <c r="E18" s="1">
        <f>+C18+D18</f>
        <v>1584621</v>
      </c>
      <c r="F18" s="1">
        <f>+F11</f>
        <v>-354765.75</v>
      </c>
      <c r="G18" s="1">
        <f>+E18+F18</f>
        <v>1229855.25</v>
      </c>
    </row>
    <row r="19" spans="1:7" x14ac:dyDescent="0.25">
      <c r="B19" s="1" t="s">
        <v>267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</row>
    <row r="20" spans="1:7" x14ac:dyDescent="0.25">
      <c r="B20" s="1" t="s">
        <v>259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</row>
    <row r="21" spans="1:7" ht="18" x14ac:dyDescent="0.4">
      <c r="B21" s="47" t="s">
        <v>251</v>
      </c>
    </row>
    <row r="22" spans="1:7" x14ac:dyDescent="0.25">
      <c r="B22" s="1" t="s">
        <v>255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</row>
    <row r="23" spans="1:7" x14ac:dyDescent="0.25">
      <c r="B23" s="1" t="s">
        <v>256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</row>
    <row r="24" spans="1:7" x14ac:dyDescent="0.25">
      <c r="B24" s="1" t="s">
        <v>259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</row>
    <row r="25" spans="1:7" x14ac:dyDescent="0.25">
      <c r="B25" s="8" t="s">
        <v>238</v>
      </c>
      <c r="C25" s="31">
        <f>SUM(C14:C24)</f>
        <v>875089</v>
      </c>
      <c r="D25" s="16">
        <f>SUM(D14:D24)</f>
        <v>709532</v>
      </c>
      <c r="E25" s="31">
        <f>SUM(E14:E24)</f>
        <v>1584621</v>
      </c>
      <c r="F25" s="16">
        <f>+F18</f>
        <v>-354765.75</v>
      </c>
      <c r="G25" s="31">
        <f>+G18</f>
        <v>1229855.25</v>
      </c>
    </row>
    <row r="27" spans="1:7" x14ac:dyDescent="0.25">
      <c r="C27" s="26"/>
      <c r="D27" s="26"/>
      <c r="E27" s="26"/>
      <c r="F27" s="26"/>
      <c r="G27" s="26"/>
    </row>
    <row r="28" spans="1:7" x14ac:dyDescent="0.25">
      <c r="B28" s="1" t="s">
        <v>316</v>
      </c>
    </row>
    <row r="29" spans="1:7" x14ac:dyDescent="0.25">
      <c r="A29" s="20" t="s">
        <v>2</v>
      </c>
      <c r="C29" s="54">
        <v>0.67</v>
      </c>
      <c r="D29" s="54">
        <f>+E29-C29</f>
        <v>-0.15000000000000002</v>
      </c>
      <c r="E29" s="54">
        <v>0.52</v>
      </c>
      <c r="F29" s="1" t="s">
        <v>458</v>
      </c>
    </row>
    <row r="30" spans="1:7" x14ac:dyDescent="0.25">
      <c r="C30" s="1" t="s">
        <v>452</v>
      </c>
      <c r="E30" s="1" t="s">
        <v>453</v>
      </c>
    </row>
    <row r="32" spans="1:7" x14ac:dyDescent="0.25">
      <c r="B32" s="1" t="s">
        <v>454</v>
      </c>
      <c r="C32" s="1">
        <f>0.67*2365105</f>
        <v>1584620.35</v>
      </c>
      <c r="D32" s="1">
        <f>+E32-C32</f>
        <v>-354765.75</v>
      </c>
      <c r="E32" s="1">
        <f>0.52*2365105</f>
        <v>1229854.6000000001</v>
      </c>
    </row>
    <row r="33" spans="2:5" x14ac:dyDescent="0.25">
      <c r="B33" s="1" t="s">
        <v>455</v>
      </c>
      <c r="C33" s="7">
        <v>875089</v>
      </c>
      <c r="D33" s="7">
        <v>0</v>
      </c>
      <c r="E33" s="7">
        <v>875089</v>
      </c>
    </row>
    <row r="34" spans="2:5" x14ac:dyDescent="0.25">
      <c r="B34" s="1" t="s">
        <v>456</v>
      </c>
      <c r="C34" s="1">
        <f>+C32-C33</f>
        <v>709531.35000000009</v>
      </c>
      <c r="D34" s="1">
        <f>+E34-C34</f>
        <v>-354765.75</v>
      </c>
      <c r="E34" s="1">
        <f>+E32-E33</f>
        <v>354765.60000000009</v>
      </c>
    </row>
  </sheetData>
  <pageMargins left="0.7" right="0.7" top="0.75" bottom="0.75" header="0.3" footer="0.3"/>
  <pageSetup scale="57" orientation="portrait" horizontalDpi="0" verticalDpi="0" r:id="rId1"/>
  <headerFooter>
    <oddHeader>&amp;L&amp;"Arial Narrow,Bold"&amp;K03+021Rhode Island Energy - Electric 
Test Year August 31, 2025
Rate Year 1 - July 31, 2027&amp;C&amp;"Arial Narrow,Bold"&amp;K03+022RI Public Utilities Commission 
Docket No. 25-45-GE&amp;R&amp;"Arial Narrow,Bold"&amp;K03+023Schedule DM-25-Electric RY 1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48BA6-0508-4A5D-AD32-5B45DF0F1DB3}">
  <sheetPr>
    <pageSetUpPr fitToPage="1"/>
  </sheetPr>
  <dimension ref="A2:H29"/>
  <sheetViews>
    <sheetView view="pageLayout" topLeftCell="C5" zoomScaleNormal="100" workbookViewId="0">
      <selection activeCell="G25" sqref="G25"/>
    </sheetView>
  </sheetViews>
  <sheetFormatPr defaultRowHeight="15.75" x14ac:dyDescent="0.25"/>
  <cols>
    <col min="1" max="1" width="6.7109375" style="2" customWidth="1"/>
    <col min="2" max="2" width="40.7109375" style="1" customWidth="1"/>
    <col min="3" max="11" width="18.7109375" style="1" customWidth="1"/>
    <col min="12" max="16384" width="9.140625" style="1"/>
  </cols>
  <sheetData>
    <row r="2" spans="2:8" x14ac:dyDescent="0.25">
      <c r="B2" s="5" t="s">
        <v>192</v>
      </c>
    </row>
    <row r="3" spans="2:8" x14ac:dyDescent="0.25">
      <c r="C3" s="6" t="s">
        <v>2</v>
      </c>
    </row>
    <row r="4" spans="2:8" x14ac:dyDescent="0.25">
      <c r="C4" s="4" t="s">
        <v>3</v>
      </c>
      <c r="D4" s="4"/>
      <c r="E4" s="4" t="s">
        <v>3</v>
      </c>
      <c r="F4" s="4"/>
      <c r="G4" s="4" t="s">
        <v>67</v>
      </c>
      <c r="H4" s="4"/>
    </row>
    <row r="5" spans="2:8" x14ac:dyDescent="0.25">
      <c r="C5" s="4" t="s">
        <v>262</v>
      </c>
      <c r="D5" s="4" t="s">
        <v>264</v>
      </c>
      <c r="E5" s="4" t="s">
        <v>263</v>
      </c>
      <c r="F5" s="4"/>
      <c r="G5" s="4" t="s">
        <v>282</v>
      </c>
      <c r="H5" s="4"/>
    </row>
    <row r="6" spans="2:8" x14ac:dyDescent="0.25">
      <c r="C6" s="5" t="s">
        <v>72</v>
      </c>
      <c r="D6" s="5" t="s">
        <v>5</v>
      </c>
      <c r="E6" s="5" t="s">
        <v>72</v>
      </c>
      <c r="F6" s="5" t="s">
        <v>5</v>
      </c>
      <c r="G6" s="5" t="s">
        <v>68</v>
      </c>
      <c r="H6" s="5" t="s">
        <v>12</v>
      </c>
    </row>
    <row r="8" spans="2:8" x14ac:dyDescent="0.25">
      <c r="B8" s="1" t="s">
        <v>252</v>
      </c>
      <c r="C8" s="1">
        <v>-3160383</v>
      </c>
      <c r="D8" s="1">
        <v>1458066</v>
      </c>
      <c r="E8" s="1">
        <f>+C8+D8</f>
        <v>-1702317</v>
      </c>
      <c r="F8" s="1">
        <v>0</v>
      </c>
      <c r="G8" s="1">
        <f>+E8</f>
        <v>-1702317</v>
      </c>
    </row>
    <row r="9" spans="2:8" x14ac:dyDescent="0.25">
      <c r="B9" s="1" t="s">
        <v>272</v>
      </c>
      <c r="C9" s="1">
        <v>40084</v>
      </c>
      <c r="D9" s="1">
        <v>59593</v>
      </c>
      <c r="E9" s="1">
        <f>+C9+D9</f>
        <v>99677</v>
      </c>
      <c r="F9" s="1">
        <v>0</v>
      </c>
      <c r="G9" s="1">
        <f>+E9</f>
        <v>99677</v>
      </c>
    </row>
    <row r="10" spans="2:8" x14ac:dyDescent="0.25">
      <c r="B10" s="1" t="s">
        <v>250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</row>
    <row r="11" spans="2:8" x14ac:dyDescent="0.25">
      <c r="B11" s="8" t="s">
        <v>238</v>
      </c>
      <c r="C11" s="31">
        <f>SUM(C8:C10)</f>
        <v>-3120299</v>
      </c>
      <c r="D11" s="16">
        <f>SUM(D8:D10)</f>
        <v>1517659</v>
      </c>
      <c r="E11" s="31">
        <f>SUM(E8:E10)</f>
        <v>-1602640</v>
      </c>
      <c r="F11" s="16">
        <v>0</v>
      </c>
      <c r="G11" s="31">
        <f>SUM(G8:G10)</f>
        <v>-1602640</v>
      </c>
    </row>
    <row r="12" spans="2:8" x14ac:dyDescent="0.25">
      <c r="B12" s="8"/>
    </row>
    <row r="13" spans="2:8" ht="18" x14ac:dyDescent="0.4">
      <c r="B13" s="47" t="s">
        <v>249</v>
      </c>
    </row>
    <row r="14" spans="2:8" x14ac:dyDescent="0.25">
      <c r="B14" s="48" t="s">
        <v>266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</row>
    <row r="15" spans="2:8" x14ac:dyDescent="0.25">
      <c r="B15" s="1" t="s">
        <v>255</v>
      </c>
      <c r="C15" s="1">
        <v>33202</v>
      </c>
      <c r="D15" s="1">
        <v>0</v>
      </c>
      <c r="E15" s="1">
        <f>+C15+D15</f>
        <v>33202</v>
      </c>
      <c r="F15" s="1">
        <v>0</v>
      </c>
      <c r="G15" s="1">
        <f>+E15</f>
        <v>33202</v>
      </c>
    </row>
    <row r="16" spans="2:8" x14ac:dyDescent="0.25">
      <c r="B16" s="1" t="s">
        <v>256</v>
      </c>
      <c r="C16" s="1">
        <v>224205</v>
      </c>
      <c r="D16" s="1">
        <v>0</v>
      </c>
      <c r="E16" s="1">
        <f>+C16+D16</f>
        <v>224205</v>
      </c>
      <c r="F16" s="1">
        <v>0</v>
      </c>
      <c r="G16" s="1">
        <f>+E16</f>
        <v>224205</v>
      </c>
    </row>
    <row r="17" spans="1:7" x14ac:dyDescent="0.25">
      <c r="B17" s="1" t="s">
        <v>257</v>
      </c>
      <c r="C17" s="1">
        <v>121380</v>
      </c>
      <c r="D17" s="1">
        <v>0</v>
      </c>
      <c r="E17" s="1">
        <f>+C17+D17</f>
        <v>121380</v>
      </c>
      <c r="F17" s="1">
        <v>0</v>
      </c>
      <c r="G17" s="1">
        <f>+E17</f>
        <v>121380</v>
      </c>
    </row>
    <row r="18" spans="1:7" x14ac:dyDescent="0.25">
      <c r="B18" s="1" t="s">
        <v>258</v>
      </c>
      <c r="C18" s="1">
        <v>61572</v>
      </c>
      <c r="D18" s="1">
        <v>0</v>
      </c>
      <c r="E18" s="1">
        <f>+C18+D18</f>
        <v>61572</v>
      </c>
      <c r="F18" s="1">
        <v>0</v>
      </c>
      <c r="G18" s="1">
        <f>+E18</f>
        <v>61572</v>
      </c>
    </row>
    <row r="19" spans="1:7" x14ac:dyDescent="0.25">
      <c r="B19" s="1" t="s">
        <v>267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</row>
    <row r="20" spans="1:7" x14ac:dyDescent="0.25">
      <c r="B20" s="1" t="s">
        <v>259</v>
      </c>
      <c r="C20" s="1">
        <v>-3763300</v>
      </c>
      <c r="D20" s="1">
        <v>1517659</v>
      </c>
      <c r="E20" s="1">
        <f>+C20+D20</f>
        <v>-2245641</v>
      </c>
      <c r="F20" s="1">
        <v>0</v>
      </c>
      <c r="G20" s="1">
        <f>+E20</f>
        <v>-2245641</v>
      </c>
    </row>
    <row r="21" spans="1:7" ht="18" x14ac:dyDescent="0.4">
      <c r="B21" s="47" t="s">
        <v>251</v>
      </c>
    </row>
    <row r="22" spans="1:7" x14ac:dyDescent="0.25">
      <c r="B22" s="1" t="s">
        <v>255</v>
      </c>
      <c r="C22" s="1">
        <v>26699</v>
      </c>
      <c r="D22" s="1">
        <v>0</v>
      </c>
      <c r="E22" s="1">
        <f>+C22+D22</f>
        <v>26699</v>
      </c>
      <c r="F22" s="1">
        <v>0</v>
      </c>
      <c r="G22" s="1">
        <f>+E22</f>
        <v>26699</v>
      </c>
    </row>
    <row r="23" spans="1:7" x14ac:dyDescent="0.25">
      <c r="B23" s="1" t="s">
        <v>256</v>
      </c>
      <c r="C23" s="1">
        <v>174521</v>
      </c>
      <c r="D23" s="1">
        <v>0</v>
      </c>
      <c r="E23" s="1">
        <f>+C23+D23</f>
        <v>174521</v>
      </c>
      <c r="F23" s="1">
        <v>0</v>
      </c>
      <c r="G23" s="1">
        <f>+E23</f>
        <v>174521</v>
      </c>
    </row>
    <row r="24" spans="1:7" x14ac:dyDescent="0.25">
      <c r="B24" s="1" t="s">
        <v>259</v>
      </c>
      <c r="C24" s="7">
        <v>1421</v>
      </c>
      <c r="D24" s="7">
        <v>0</v>
      </c>
      <c r="E24" s="7">
        <f>+C24+D24</f>
        <v>1421</v>
      </c>
      <c r="F24" s="7">
        <v>0</v>
      </c>
      <c r="G24" s="7">
        <f>+E24</f>
        <v>1421</v>
      </c>
    </row>
    <row r="25" spans="1:7" x14ac:dyDescent="0.25">
      <c r="B25" s="8" t="s">
        <v>238</v>
      </c>
      <c r="C25" s="31">
        <f>SUM(C14:C24)</f>
        <v>-3120300</v>
      </c>
      <c r="D25" s="16">
        <f>SUM(D14:D24)</f>
        <v>1517659</v>
      </c>
      <c r="E25" s="31">
        <f>SUM(E14:E24)</f>
        <v>-1602641</v>
      </c>
      <c r="F25" s="16">
        <v>0</v>
      </c>
      <c r="G25" s="31">
        <f>SUM(G14:G24)</f>
        <v>-1602641</v>
      </c>
    </row>
    <row r="29" spans="1:7" x14ac:dyDescent="0.25">
      <c r="A29" s="20" t="s">
        <v>2</v>
      </c>
      <c r="B29" s="1" t="s">
        <v>317</v>
      </c>
    </row>
  </sheetData>
  <pageMargins left="0.7" right="0.7" top="0.84499999999999997" bottom="0.75" header="0.3" footer="0.3"/>
  <pageSetup scale="78" orientation="landscape" horizontalDpi="0" verticalDpi="0" r:id="rId1"/>
  <headerFooter>
    <oddHeader>&amp;L&amp;"Arial Narrow,Bold"&amp;K03+023Rhode Island Energy - Electric 
Test Year August 31, 2025
Rate Year 1 - July 31, 2027&amp;C&amp;"Arial Narrow,Bold"&amp;K03+023RI Public Utilities Commission 
Docket No. 25-45-GE&amp;R&amp;"Arial Narrow,Bold"&amp;K03+023Schedule DM-26-Electric RY 1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3C0EB-D239-47CB-84B5-0FB386875923}">
  <sheetPr>
    <pageSetUpPr fitToPage="1"/>
  </sheetPr>
  <dimension ref="A2:H28"/>
  <sheetViews>
    <sheetView view="pageLayout" topLeftCell="B9" zoomScaleNormal="100" workbookViewId="0">
      <selection activeCell="G16" sqref="G16"/>
    </sheetView>
  </sheetViews>
  <sheetFormatPr defaultRowHeight="15.75" x14ac:dyDescent="0.25"/>
  <cols>
    <col min="1" max="1" width="6.7109375" style="2" customWidth="1"/>
    <col min="2" max="2" width="40.7109375" style="1" customWidth="1"/>
    <col min="3" max="11" width="18.7109375" style="1" customWidth="1"/>
    <col min="12" max="16384" width="9.140625" style="1"/>
  </cols>
  <sheetData>
    <row r="2" spans="2:8" x14ac:dyDescent="0.25">
      <c r="B2" s="5" t="s">
        <v>318</v>
      </c>
    </row>
    <row r="3" spans="2:8" x14ac:dyDescent="0.25">
      <c r="C3" s="6" t="s">
        <v>2</v>
      </c>
    </row>
    <row r="4" spans="2:8" x14ac:dyDescent="0.25">
      <c r="C4" s="4" t="s">
        <v>3</v>
      </c>
      <c r="D4" s="4"/>
      <c r="E4" s="4" t="s">
        <v>3</v>
      </c>
      <c r="F4" s="4"/>
      <c r="G4" s="4" t="s">
        <v>67</v>
      </c>
      <c r="H4" s="4"/>
    </row>
    <row r="5" spans="2:8" x14ac:dyDescent="0.25">
      <c r="C5" s="4" t="s">
        <v>262</v>
      </c>
      <c r="D5" s="4" t="s">
        <v>264</v>
      </c>
      <c r="E5" s="4" t="s">
        <v>263</v>
      </c>
      <c r="F5" s="4"/>
      <c r="G5" s="4" t="s">
        <v>282</v>
      </c>
      <c r="H5" s="4"/>
    </row>
    <row r="6" spans="2:8" x14ac:dyDescent="0.25">
      <c r="C6" s="5" t="s">
        <v>72</v>
      </c>
      <c r="D6" s="5" t="s">
        <v>5</v>
      </c>
      <c r="E6" s="5" t="s">
        <v>72</v>
      </c>
      <c r="F6" s="5" t="s">
        <v>5</v>
      </c>
      <c r="G6" s="5" t="s">
        <v>68</v>
      </c>
      <c r="H6" s="5" t="s">
        <v>12</v>
      </c>
    </row>
    <row r="8" spans="2:8" x14ac:dyDescent="0.25">
      <c r="B8" s="1" t="s">
        <v>252</v>
      </c>
      <c r="C8" s="1">
        <v>-7411068</v>
      </c>
      <c r="D8" s="1">
        <v>3691420</v>
      </c>
      <c r="E8" s="1">
        <f>+C8+D8</f>
        <v>-3719648</v>
      </c>
      <c r="F8" s="1">
        <v>0</v>
      </c>
      <c r="G8" s="1">
        <f>+E8</f>
        <v>-3719648</v>
      </c>
    </row>
    <row r="9" spans="2:8" x14ac:dyDescent="0.25">
      <c r="B9" s="1" t="s">
        <v>272</v>
      </c>
      <c r="C9" s="1">
        <v>536833</v>
      </c>
      <c r="D9" s="1">
        <v>97864</v>
      </c>
      <c r="E9" s="1">
        <f>+C9+D9</f>
        <v>634697</v>
      </c>
      <c r="F9" s="1">
        <v>0</v>
      </c>
      <c r="G9" s="1">
        <f>+E9</f>
        <v>634697</v>
      </c>
    </row>
    <row r="10" spans="2:8" x14ac:dyDescent="0.25">
      <c r="B10" s="1" t="s">
        <v>250</v>
      </c>
      <c r="C10" s="7">
        <v>1192</v>
      </c>
      <c r="D10" s="7">
        <v>0</v>
      </c>
      <c r="E10" s="7">
        <f>+C10+D10</f>
        <v>1192</v>
      </c>
      <c r="F10" s="7">
        <v>0</v>
      </c>
      <c r="G10" s="7">
        <f>+E10</f>
        <v>1192</v>
      </c>
    </row>
    <row r="11" spans="2:8" x14ac:dyDescent="0.25">
      <c r="B11" s="8" t="s">
        <v>238</v>
      </c>
      <c r="C11" s="31">
        <f>+C8+C9+C10</f>
        <v>-6873043</v>
      </c>
      <c r="D11" s="16">
        <f>+D8+D9+D10</f>
        <v>3789284</v>
      </c>
      <c r="E11" s="31">
        <f>+E8+E9+E10</f>
        <v>-3083759</v>
      </c>
      <c r="F11" s="16">
        <v>0</v>
      </c>
      <c r="G11" s="31">
        <f>SUM(G8:G10)</f>
        <v>-3083759</v>
      </c>
    </row>
    <row r="12" spans="2:8" x14ac:dyDescent="0.25">
      <c r="B12" s="8"/>
    </row>
    <row r="13" spans="2:8" ht="18" x14ac:dyDescent="0.4">
      <c r="B13" s="47" t="s">
        <v>249</v>
      </c>
    </row>
    <row r="14" spans="2:8" x14ac:dyDescent="0.25">
      <c r="B14" s="48" t="s">
        <v>266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</row>
    <row r="15" spans="2:8" x14ac:dyDescent="0.25">
      <c r="B15" s="1" t="s">
        <v>255</v>
      </c>
      <c r="C15" s="1">
        <v>32599</v>
      </c>
      <c r="D15" s="1">
        <v>0</v>
      </c>
      <c r="E15" s="1">
        <f>+C15+D15</f>
        <v>32599</v>
      </c>
      <c r="F15" s="1">
        <v>0</v>
      </c>
      <c r="G15" s="1">
        <f>+E15</f>
        <v>32599</v>
      </c>
    </row>
    <row r="16" spans="2:8" x14ac:dyDescent="0.25">
      <c r="B16" s="1" t="s">
        <v>256</v>
      </c>
      <c r="C16" s="1">
        <v>638986</v>
      </c>
      <c r="D16" s="1">
        <v>0</v>
      </c>
      <c r="E16" s="1">
        <f>+C16+D16</f>
        <v>638986</v>
      </c>
      <c r="F16" s="1">
        <v>0</v>
      </c>
      <c r="G16" s="1">
        <f>+E16</f>
        <v>638986</v>
      </c>
    </row>
    <row r="17" spans="1:7" x14ac:dyDescent="0.25">
      <c r="B17" s="1" t="s">
        <v>257</v>
      </c>
      <c r="C17" s="1">
        <v>156801</v>
      </c>
      <c r="D17" s="1">
        <v>0</v>
      </c>
      <c r="E17" s="1">
        <f>+C17+D17</f>
        <v>156801</v>
      </c>
      <c r="F17" s="1">
        <v>0</v>
      </c>
      <c r="G17" s="1">
        <f>+E17</f>
        <v>156801</v>
      </c>
    </row>
    <row r="18" spans="1:7" x14ac:dyDescent="0.25">
      <c r="B18" s="1" t="s">
        <v>258</v>
      </c>
      <c r="C18" s="1">
        <v>192567</v>
      </c>
      <c r="D18" s="1">
        <v>0</v>
      </c>
      <c r="E18" s="1">
        <f>+C18+D18</f>
        <v>192567</v>
      </c>
      <c r="F18" s="1">
        <v>0</v>
      </c>
      <c r="G18" s="1">
        <f>+E18</f>
        <v>192567</v>
      </c>
    </row>
    <row r="19" spans="1:7" x14ac:dyDescent="0.25">
      <c r="B19" s="1" t="s">
        <v>267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</row>
    <row r="20" spans="1:7" x14ac:dyDescent="0.25">
      <c r="B20" s="1" t="s">
        <v>259</v>
      </c>
      <c r="C20" s="1">
        <v>-8516936</v>
      </c>
      <c r="D20" s="1">
        <v>3789285</v>
      </c>
      <c r="E20" s="1">
        <f>+C20+D20</f>
        <v>-4727651</v>
      </c>
      <c r="F20" s="1">
        <v>0</v>
      </c>
      <c r="G20" s="1">
        <f>+E20</f>
        <v>-4727651</v>
      </c>
    </row>
    <row r="21" spans="1:7" ht="18" x14ac:dyDescent="0.4">
      <c r="B21" s="47" t="s">
        <v>251</v>
      </c>
    </row>
    <row r="22" spans="1:7" x14ac:dyDescent="0.25">
      <c r="B22" s="1" t="s">
        <v>255</v>
      </c>
      <c r="C22" s="1">
        <v>76972</v>
      </c>
      <c r="D22" s="1">
        <v>0</v>
      </c>
      <c r="E22" s="1">
        <f>+C22+D22</f>
        <v>76972</v>
      </c>
      <c r="F22" s="1">
        <v>0</v>
      </c>
      <c r="G22" s="1">
        <f>+E22</f>
        <v>76972</v>
      </c>
    </row>
    <row r="23" spans="1:7" x14ac:dyDescent="0.25">
      <c r="B23" s="1" t="s">
        <v>256</v>
      </c>
      <c r="C23" s="1">
        <v>544256</v>
      </c>
      <c r="D23" s="1">
        <v>0</v>
      </c>
      <c r="E23" s="1">
        <f>+C23+D23</f>
        <v>544256</v>
      </c>
      <c r="F23" s="1">
        <v>0</v>
      </c>
      <c r="G23" s="1">
        <f>+E23</f>
        <v>544256</v>
      </c>
    </row>
    <row r="24" spans="1:7" x14ac:dyDescent="0.25">
      <c r="B24" s="1" t="s">
        <v>259</v>
      </c>
      <c r="C24" s="7">
        <v>1711</v>
      </c>
      <c r="D24" s="7">
        <v>0</v>
      </c>
      <c r="E24" s="7">
        <f>+C24+D24</f>
        <v>1711</v>
      </c>
      <c r="F24" s="7">
        <v>0</v>
      </c>
      <c r="G24" s="7">
        <f>+E24</f>
        <v>1711</v>
      </c>
    </row>
    <row r="25" spans="1:7" x14ac:dyDescent="0.25">
      <c r="B25" s="8" t="s">
        <v>238</v>
      </c>
      <c r="C25" s="31">
        <f>SUM(C14:C24)</f>
        <v>-6873044</v>
      </c>
      <c r="D25" s="16">
        <f>SUM(D14:D24)</f>
        <v>3789285</v>
      </c>
      <c r="E25" s="31">
        <f>SUM(E14:E24)</f>
        <v>-3083759</v>
      </c>
      <c r="F25" s="16">
        <v>0</v>
      </c>
      <c r="G25" s="31">
        <f>SUM(G14:G24)</f>
        <v>-3083759</v>
      </c>
    </row>
    <row r="28" spans="1:7" x14ac:dyDescent="0.25">
      <c r="A28" s="20" t="s">
        <v>2</v>
      </c>
      <c r="B28" s="1" t="s">
        <v>319</v>
      </c>
    </row>
  </sheetData>
  <pageMargins left="0.7" right="0.7" top="0.71843749999999995" bottom="0.75" header="0.3" footer="0.3"/>
  <pageSetup scale="57" orientation="portrait" horizontalDpi="0" verticalDpi="0" r:id="rId1"/>
  <headerFooter>
    <oddHeader>&amp;L&amp;"Arial Narrow,Bold"&amp;K03+023Rhode Island Energy - Electric
Test Year August 31,2025
Rate Year 1 - July 31, 2027&amp;C&amp;"Arial Narrow,Bold"&amp;K03+023RI Public Utilities Commission 
Docket No. 25-45-GE&amp;R&amp;"Arial Narrow,Bold"&amp;K03+023Schedule DM-27-Electric RY 1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49BF6-F7A5-4576-A112-4680CD9D8C4B}">
  <sheetPr>
    <pageSetUpPr fitToPage="1"/>
  </sheetPr>
  <dimension ref="A2:H29"/>
  <sheetViews>
    <sheetView view="pageLayout" topLeftCell="C5" zoomScaleNormal="100" workbookViewId="0">
      <selection activeCell="F18" sqref="F18"/>
    </sheetView>
  </sheetViews>
  <sheetFormatPr defaultRowHeight="15.75" x14ac:dyDescent="0.25"/>
  <cols>
    <col min="1" max="1" width="6.7109375" style="2" customWidth="1"/>
    <col min="2" max="2" width="40.7109375" style="1" customWidth="1"/>
    <col min="3" max="7" width="18.7109375" style="1" customWidth="1"/>
    <col min="8" max="8" width="18.7109375" style="3" customWidth="1"/>
    <col min="9" max="11" width="18.7109375" style="1" customWidth="1"/>
    <col min="12" max="16384" width="9.140625" style="1"/>
  </cols>
  <sheetData>
    <row r="2" spans="2:8" x14ac:dyDescent="0.25">
      <c r="B2" s="5" t="s">
        <v>320</v>
      </c>
    </row>
    <row r="3" spans="2:8" x14ac:dyDescent="0.25">
      <c r="C3" s="6" t="s">
        <v>2</v>
      </c>
    </row>
    <row r="4" spans="2:8" x14ac:dyDescent="0.25">
      <c r="C4" s="4" t="s">
        <v>3</v>
      </c>
      <c r="D4" s="4"/>
      <c r="E4" s="4" t="s">
        <v>3</v>
      </c>
      <c r="F4" s="4"/>
      <c r="G4" s="4" t="s">
        <v>67</v>
      </c>
      <c r="H4" s="4"/>
    </row>
    <row r="5" spans="2:8" x14ac:dyDescent="0.25">
      <c r="C5" s="4" t="s">
        <v>262</v>
      </c>
      <c r="D5" s="4" t="s">
        <v>264</v>
      </c>
      <c r="E5" s="4" t="s">
        <v>263</v>
      </c>
      <c r="F5" s="4"/>
      <c r="G5" s="4" t="s">
        <v>282</v>
      </c>
      <c r="H5" s="4"/>
    </row>
    <row r="6" spans="2:8" x14ac:dyDescent="0.25">
      <c r="C6" s="5" t="s">
        <v>72</v>
      </c>
      <c r="D6" s="5" t="s">
        <v>5</v>
      </c>
      <c r="E6" s="5" t="s">
        <v>72</v>
      </c>
      <c r="F6" s="5" t="s">
        <v>5</v>
      </c>
      <c r="G6" s="5" t="s">
        <v>68</v>
      </c>
      <c r="H6" s="5" t="s">
        <v>12</v>
      </c>
    </row>
    <row r="8" spans="2:8" x14ac:dyDescent="0.25">
      <c r="B8" s="1" t="s">
        <v>252</v>
      </c>
      <c r="C8" s="1">
        <v>-276656</v>
      </c>
      <c r="D8" s="1">
        <v>-14568</v>
      </c>
      <c r="E8" s="1">
        <f>+C8+D8</f>
        <v>-291224</v>
      </c>
      <c r="F8" s="1">
        <f>-D8</f>
        <v>14568</v>
      </c>
      <c r="G8" s="1">
        <f>+E8+F8</f>
        <v>-276656</v>
      </c>
    </row>
    <row r="9" spans="2:8" x14ac:dyDescent="0.25">
      <c r="B9" s="1" t="s">
        <v>253</v>
      </c>
      <c r="C9" s="1">
        <v>1636367</v>
      </c>
      <c r="D9" s="1">
        <v>86164</v>
      </c>
      <c r="E9" s="1">
        <f>+C9+D9</f>
        <v>1722531</v>
      </c>
      <c r="F9" s="1">
        <f>-D9</f>
        <v>-86164</v>
      </c>
      <c r="G9" s="1">
        <f>+E9+F9</f>
        <v>1636367</v>
      </c>
    </row>
    <row r="10" spans="2:8" x14ac:dyDescent="0.25">
      <c r="B10" s="1" t="s">
        <v>265</v>
      </c>
      <c r="C10" s="7">
        <v>34135</v>
      </c>
      <c r="D10" s="7">
        <v>1797</v>
      </c>
      <c r="E10" s="7">
        <f>+C10+D10</f>
        <v>35932</v>
      </c>
      <c r="F10" s="7">
        <f>-D10</f>
        <v>-1797</v>
      </c>
      <c r="G10" s="7">
        <f>+E10+F10</f>
        <v>34135</v>
      </c>
    </row>
    <row r="11" spans="2:8" x14ac:dyDescent="0.25">
      <c r="B11" s="8" t="s">
        <v>238</v>
      </c>
      <c r="C11" s="31">
        <f>+C8+C9+C10</f>
        <v>1393846</v>
      </c>
      <c r="D11" s="16">
        <f>+D8+D9+D10</f>
        <v>73393</v>
      </c>
      <c r="E11" s="31">
        <f>+E8+E9+E10</f>
        <v>1467239</v>
      </c>
      <c r="F11" s="16">
        <f>SUM(F8:F10)</f>
        <v>-73393</v>
      </c>
      <c r="G11" s="31">
        <f>SUM(G8:G10)</f>
        <v>1393846</v>
      </c>
      <c r="H11" s="3" t="s">
        <v>462</v>
      </c>
    </row>
    <row r="12" spans="2:8" x14ac:dyDescent="0.25">
      <c r="B12" s="8"/>
    </row>
    <row r="13" spans="2:8" ht="18" x14ac:dyDescent="0.4">
      <c r="B13" s="47" t="s">
        <v>249</v>
      </c>
    </row>
    <row r="14" spans="2:8" x14ac:dyDescent="0.25">
      <c r="B14" s="48" t="s">
        <v>266</v>
      </c>
      <c r="C14" s="1">
        <v>-24498</v>
      </c>
      <c r="D14" s="1">
        <v>-1290</v>
      </c>
      <c r="E14" s="1">
        <f t="shared" ref="E14:E21" si="0">+C14+D14</f>
        <v>-25788</v>
      </c>
      <c r="F14" s="1">
        <f t="shared" ref="F14:F21" si="1">-D14</f>
        <v>1290</v>
      </c>
      <c r="G14" s="1">
        <f t="shared" ref="G14:G21" si="2">+E14+F14</f>
        <v>-24498</v>
      </c>
    </row>
    <row r="15" spans="2:8" x14ac:dyDescent="0.25">
      <c r="B15" s="1" t="s">
        <v>255</v>
      </c>
      <c r="C15" s="1">
        <v>429244</v>
      </c>
      <c r="D15" s="1">
        <v>22602</v>
      </c>
      <c r="E15" s="1">
        <f t="shared" si="0"/>
        <v>451846</v>
      </c>
      <c r="F15" s="1">
        <f t="shared" si="1"/>
        <v>-22602</v>
      </c>
      <c r="G15" s="1">
        <f t="shared" si="2"/>
        <v>429244</v>
      </c>
    </row>
    <row r="16" spans="2:8" x14ac:dyDescent="0.25">
      <c r="B16" s="1" t="s">
        <v>322</v>
      </c>
      <c r="C16" s="1">
        <v>49619</v>
      </c>
      <c r="D16" s="1">
        <v>2613</v>
      </c>
      <c r="E16" s="1">
        <f t="shared" si="0"/>
        <v>52232</v>
      </c>
      <c r="F16" s="1">
        <f t="shared" si="1"/>
        <v>-2613</v>
      </c>
      <c r="G16" s="1">
        <f t="shared" si="2"/>
        <v>49619</v>
      </c>
    </row>
    <row r="17" spans="1:7" x14ac:dyDescent="0.25">
      <c r="B17" s="1" t="s">
        <v>256</v>
      </c>
      <c r="C17" s="1">
        <v>-23058</v>
      </c>
      <c r="D17" s="1">
        <v>-1214</v>
      </c>
      <c r="E17" s="1">
        <f t="shared" si="0"/>
        <v>-24272</v>
      </c>
      <c r="F17" s="1">
        <f t="shared" si="1"/>
        <v>1214</v>
      </c>
      <c r="G17" s="1">
        <f t="shared" si="2"/>
        <v>-23058</v>
      </c>
    </row>
    <row r="18" spans="1:7" x14ac:dyDescent="0.25">
      <c r="B18" s="1" t="s">
        <v>257</v>
      </c>
      <c r="C18" s="1">
        <v>5229</v>
      </c>
      <c r="D18" s="1">
        <v>275</v>
      </c>
      <c r="E18" s="1">
        <f t="shared" si="0"/>
        <v>5504</v>
      </c>
      <c r="F18" s="1">
        <f t="shared" si="1"/>
        <v>-275</v>
      </c>
      <c r="G18" s="1">
        <f t="shared" si="2"/>
        <v>5229</v>
      </c>
    </row>
    <row r="19" spans="1:7" x14ac:dyDescent="0.25">
      <c r="B19" s="1" t="s">
        <v>258</v>
      </c>
      <c r="C19" s="1">
        <v>129516</v>
      </c>
      <c r="D19" s="1">
        <v>6820</v>
      </c>
      <c r="E19" s="1">
        <f t="shared" si="0"/>
        <v>136336</v>
      </c>
      <c r="F19" s="1">
        <f t="shared" si="1"/>
        <v>-6820</v>
      </c>
      <c r="G19" s="1">
        <f t="shared" si="2"/>
        <v>129516</v>
      </c>
    </row>
    <row r="20" spans="1:7" x14ac:dyDescent="0.25">
      <c r="B20" s="1" t="s">
        <v>267</v>
      </c>
      <c r="C20" s="1">
        <v>-28031</v>
      </c>
      <c r="D20" s="1">
        <v>-1476</v>
      </c>
      <c r="E20" s="1">
        <f t="shared" si="0"/>
        <v>-29507</v>
      </c>
      <c r="F20" s="1">
        <f t="shared" si="1"/>
        <v>1476</v>
      </c>
      <c r="G20" s="1">
        <f t="shared" si="2"/>
        <v>-28031</v>
      </c>
    </row>
    <row r="21" spans="1:7" x14ac:dyDescent="0.25">
      <c r="B21" s="1" t="s">
        <v>259</v>
      </c>
      <c r="C21" s="1">
        <v>-344650</v>
      </c>
      <c r="D21" s="1">
        <v>-18148</v>
      </c>
      <c r="E21" s="1">
        <f t="shared" si="0"/>
        <v>-362798</v>
      </c>
      <c r="F21" s="1">
        <f t="shared" si="1"/>
        <v>18148</v>
      </c>
      <c r="G21" s="1">
        <f t="shared" si="2"/>
        <v>-344650</v>
      </c>
    </row>
    <row r="22" spans="1:7" ht="18" x14ac:dyDescent="0.4">
      <c r="B22" s="47" t="s">
        <v>251</v>
      </c>
    </row>
    <row r="23" spans="1:7" x14ac:dyDescent="0.25">
      <c r="B23" s="1" t="s">
        <v>255</v>
      </c>
      <c r="C23" s="1">
        <v>-22285</v>
      </c>
      <c r="D23" s="1">
        <v>-1173</v>
      </c>
      <c r="E23" s="1">
        <f>+C23+D23</f>
        <v>-23458</v>
      </c>
      <c r="F23" s="1">
        <f>-D23</f>
        <v>1173</v>
      </c>
      <c r="G23" s="1">
        <f>+E23+F23</f>
        <v>-22285</v>
      </c>
    </row>
    <row r="24" spans="1:7" x14ac:dyDescent="0.25">
      <c r="B24" s="1" t="s">
        <v>256</v>
      </c>
      <c r="C24" s="1">
        <v>1222483</v>
      </c>
      <c r="D24" s="1">
        <v>64371</v>
      </c>
      <c r="E24" s="1">
        <f>+C24+D24</f>
        <v>1286854</v>
      </c>
      <c r="F24" s="1">
        <f>-D24</f>
        <v>-64371</v>
      </c>
      <c r="G24" s="1">
        <f>+E24+F24</f>
        <v>1222483</v>
      </c>
    </row>
    <row r="25" spans="1:7" x14ac:dyDescent="0.25">
      <c r="B25" s="1" t="s">
        <v>259</v>
      </c>
      <c r="C25" s="7">
        <v>279</v>
      </c>
      <c r="D25" s="7">
        <v>15</v>
      </c>
      <c r="E25" s="7">
        <f>+C25+D25</f>
        <v>294</v>
      </c>
      <c r="F25" s="7">
        <f>-D25</f>
        <v>-15</v>
      </c>
      <c r="G25" s="7">
        <f>+E25+F25</f>
        <v>279</v>
      </c>
    </row>
    <row r="26" spans="1:7" x14ac:dyDescent="0.25">
      <c r="B26" s="8" t="s">
        <v>238</v>
      </c>
      <c r="C26" s="31">
        <f>SUM(C14:C25)</f>
        <v>1393848</v>
      </c>
      <c r="D26" s="16">
        <f>SUM(D14:D25)</f>
        <v>73395</v>
      </c>
      <c r="E26" s="31">
        <f>SUM(E14:E25)</f>
        <v>1467243</v>
      </c>
      <c r="F26" s="16">
        <f>SUM(F14:F25)</f>
        <v>-73395</v>
      </c>
      <c r="G26" s="31">
        <f>SUM(G14:G25)</f>
        <v>1393848</v>
      </c>
    </row>
    <row r="29" spans="1:7" x14ac:dyDescent="0.25">
      <c r="A29" s="20" t="s">
        <v>2</v>
      </c>
      <c r="B29" s="1" t="s">
        <v>323</v>
      </c>
    </row>
  </sheetData>
  <pageMargins left="0.7" right="0.7" top="0.75" bottom="0.75" header="0.3" footer="0.3"/>
  <pageSetup scale="57" orientation="portrait" horizontalDpi="0" verticalDpi="0" r:id="rId1"/>
  <headerFooter>
    <oddHeader>&amp;L&amp;"Arial Narrow,Bold"&amp;K03+023Rhode Island Energy - Electric 
Test Year August 31, 2025
Rate Year 1 - July 31, 2027&amp;C&amp;"Arial Narrow,Bold"&amp;K03+023RI Public Utilities Commission 
Docket No. 25-45-GE&amp;R&amp;"Arial Narrow,Bold"&amp;K03+023Schedule DM-28-Electric RY 1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072E0-E202-4F48-87E1-B7096089679D}">
  <sheetPr>
    <pageSetUpPr fitToPage="1"/>
  </sheetPr>
  <dimension ref="A2:H29"/>
  <sheetViews>
    <sheetView view="pageLayout" topLeftCell="C1" zoomScaleNormal="100" workbookViewId="0">
      <selection activeCell="G11" sqref="G11"/>
    </sheetView>
  </sheetViews>
  <sheetFormatPr defaultRowHeight="15.75" x14ac:dyDescent="0.25"/>
  <cols>
    <col min="1" max="1" width="6.7109375" style="2" customWidth="1"/>
    <col min="2" max="2" width="40.7109375" style="1" customWidth="1"/>
    <col min="3" max="7" width="18.7109375" style="1" customWidth="1"/>
    <col min="8" max="8" width="18.7109375" style="3" customWidth="1"/>
    <col min="9" max="11" width="18.7109375" style="1" customWidth="1"/>
    <col min="12" max="16384" width="9.140625" style="1"/>
  </cols>
  <sheetData>
    <row r="2" spans="2:8" x14ac:dyDescent="0.25">
      <c r="B2" s="5" t="s">
        <v>324</v>
      </c>
    </row>
    <row r="3" spans="2:8" x14ac:dyDescent="0.25">
      <c r="C3" s="6" t="s">
        <v>2</v>
      </c>
    </row>
    <row r="4" spans="2:8" x14ac:dyDescent="0.25">
      <c r="C4" s="4" t="s">
        <v>3</v>
      </c>
      <c r="D4" s="4"/>
      <c r="E4" s="4" t="s">
        <v>3</v>
      </c>
      <c r="F4" s="4"/>
      <c r="G4" s="4" t="s">
        <v>67</v>
      </c>
      <c r="H4" s="4"/>
    </row>
    <row r="5" spans="2:8" x14ac:dyDescent="0.25">
      <c r="C5" s="4" t="s">
        <v>262</v>
      </c>
      <c r="D5" s="4" t="s">
        <v>264</v>
      </c>
      <c r="E5" s="4" t="s">
        <v>263</v>
      </c>
      <c r="F5" s="4"/>
      <c r="G5" s="4" t="s">
        <v>282</v>
      </c>
      <c r="H5" s="4"/>
    </row>
    <row r="6" spans="2:8" x14ac:dyDescent="0.25">
      <c r="C6" s="5" t="s">
        <v>72</v>
      </c>
      <c r="D6" s="5" t="s">
        <v>5</v>
      </c>
      <c r="E6" s="5" t="s">
        <v>72</v>
      </c>
      <c r="F6" s="5" t="s">
        <v>5</v>
      </c>
      <c r="G6" s="5" t="s">
        <v>68</v>
      </c>
      <c r="H6" s="5" t="s">
        <v>12</v>
      </c>
    </row>
    <row r="8" spans="2:8" x14ac:dyDescent="0.25">
      <c r="B8" s="1" t="s">
        <v>252</v>
      </c>
      <c r="C8" s="1">
        <v>7311132</v>
      </c>
      <c r="D8" s="1">
        <v>-919945</v>
      </c>
      <c r="E8" s="1">
        <f>+C8+D8</f>
        <v>6391187</v>
      </c>
      <c r="F8" s="1">
        <v>-773231</v>
      </c>
      <c r="G8" s="1">
        <f>+C8+F8</f>
        <v>6537901</v>
      </c>
    </row>
    <row r="9" spans="2:8" x14ac:dyDescent="0.25">
      <c r="B9" s="1" t="s">
        <v>253</v>
      </c>
      <c r="C9" s="1">
        <v>0</v>
      </c>
      <c r="D9" s="1">
        <v>0</v>
      </c>
      <c r="E9" s="1">
        <f>+C9+D9</f>
        <v>0</v>
      </c>
      <c r="F9" s="1">
        <v>0</v>
      </c>
      <c r="G9" s="1">
        <v>0</v>
      </c>
    </row>
    <row r="10" spans="2:8" x14ac:dyDescent="0.25">
      <c r="B10" s="1" t="s">
        <v>265</v>
      </c>
      <c r="C10" s="7">
        <v>0</v>
      </c>
      <c r="D10" s="7">
        <v>0</v>
      </c>
      <c r="E10" s="7">
        <f>+C10+D10</f>
        <v>0</v>
      </c>
      <c r="F10" s="7">
        <v>0</v>
      </c>
      <c r="G10" s="7">
        <v>0</v>
      </c>
    </row>
    <row r="11" spans="2:8" x14ac:dyDescent="0.25">
      <c r="B11" s="8" t="s">
        <v>238</v>
      </c>
      <c r="C11" s="31">
        <f>+C8+C9+C10</f>
        <v>7311132</v>
      </c>
      <c r="D11" s="16">
        <f>+D8+D9+D10</f>
        <v>-919945</v>
      </c>
      <c r="E11" s="31">
        <f>+E8+E9+E10</f>
        <v>6391187</v>
      </c>
      <c r="F11" s="16">
        <f>+F8</f>
        <v>-773231</v>
      </c>
      <c r="G11" s="31">
        <f>+G8</f>
        <v>6537901</v>
      </c>
      <c r="H11" s="3" t="s">
        <v>459</v>
      </c>
    </row>
    <row r="12" spans="2:8" x14ac:dyDescent="0.25">
      <c r="B12" s="8"/>
    </row>
    <row r="13" spans="2:8" ht="18" x14ac:dyDescent="0.4">
      <c r="B13" s="47" t="s">
        <v>249</v>
      </c>
    </row>
    <row r="14" spans="2:8" x14ac:dyDescent="0.25">
      <c r="B14" s="48" t="s">
        <v>266</v>
      </c>
      <c r="C14" s="1">
        <v>0</v>
      </c>
      <c r="D14" s="1">
        <v>0</v>
      </c>
      <c r="E14" s="1">
        <f t="shared" ref="E14:E21" si="0">+C14+D14</f>
        <v>0</v>
      </c>
      <c r="F14" s="1">
        <v>0</v>
      </c>
      <c r="G14" s="1">
        <v>0</v>
      </c>
    </row>
    <row r="15" spans="2:8" x14ac:dyDescent="0.25">
      <c r="B15" s="1" t="s">
        <v>255</v>
      </c>
      <c r="C15" s="1">
        <v>0</v>
      </c>
      <c r="D15" s="1">
        <v>0</v>
      </c>
      <c r="E15" s="1">
        <f t="shared" si="0"/>
        <v>0</v>
      </c>
      <c r="F15" s="1">
        <v>0</v>
      </c>
      <c r="G15" s="1">
        <v>0</v>
      </c>
    </row>
    <row r="16" spans="2:8" x14ac:dyDescent="0.25">
      <c r="B16" s="1" t="s">
        <v>322</v>
      </c>
      <c r="C16" s="1">
        <v>0</v>
      </c>
      <c r="D16" s="1">
        <v>0</v>
      </c>
      <c r="E16" s="1">
        <f t="shared" si="0"/>
        <v>0</v>
      </c>
      <c r="F16" s="1">
        <v>0</v>
      </c>
      <c r="G16" s="1">
        <v>0</v>
      </c>
    </row>
    <row r="17" spans="1:7" x14ac:dyDescent="0.25">
      <c r="B17" s="1" t="s">
        <v>256</v>
      </c>
      <c r="C17" s="1">
        <v>0</v>
      </c>
      <c r="D17" s="1">
        <v>0</v>
      </c>
      <c r="E17" s="1">
        <f t="shared" si="0"/>
        <v>0</v>
      </c>
      <c r="F17" s="1">
        <v>0</v>
      </c>
      <c r="G17" s="1">
        <v>0</v>
      </c>
    </row>
    <row r="18" spans="1:7" x14ac:dyDescent="0.25">
      <c r="B18" s="1" t="s">
        <v>257</v>
      </c>
      <c r="C18" s="1">
        <v>0</v>
      </c>
      <c r="D18" s="1">
        <v>0</v>
      </c>
      <c r="E18" s="1">
        <f t="shared" si="0"/>
        <v>0</v>
      </c>
      <c r="F18" s="1">
        <v>0</v>
      </c>
      <c r="G18" s="1">
        <v>0</v>
      </c>
    </row>
    <row r="19" spans="1:7" x14ac:dyDescent="0.25">
      <c r="B19" s="1" t="s">
        <v>258</v>
      </c>
      <c r="C19" s="1">
        <v>0</v>
      </c>
      <c r="D19" s="1">
        <v>0</v>
      </c>
      <c r="E19" s="1">
        <f t="shared" si="0"/>
        <v>0</v>
      </c>
      <c r="F19" s="1">
        <v>0</v>
      </c>
      <c r="G19" s="1">
        <v>0</v>
      </c>
    </row>
    <row r="20" spans="1:7" x14ac:dyDescent="0.25">
      <c r="B20" s="1" t="s">
        <v>267</v>
      </c>
      <c r="C20" s="1">
        <v>0</v>
      </c>
      <c r="D20" s="1">
        <v>0</v>
      </c>
      <c r="E20" s="1">
        <f t="shared" si="0"/>
        <v>0</v>
      </c>
      <c r="F20" s="1">
        <v>0</v>
      </c>
      <c r="G20" s="1">
        <v>0</v>
      </c>
    </row>
    <row r="21" spans="1:7" x14ac:dyDescent="0.25">
      <c r="B21" s="1" t="s">
        <v>259</v>
      </c>
      <c r="C21" s="1">
        <v>0</v>
      </c>
      <c r="D21" s="1">
        <v>0</v>
      </c>
      <c r="E21" s="1">
        <f t="shared" si="0"/>
        <v>0</v>
      </c>
      <c r="F21" s="1">
        <v>0</v>
      </c>
      <c r="G21" s="1">
        <v>0</v>
      </c>
    </row>
    <row r="22" spans="1:7" ht="18" x14ac:dyDescent="0.4">
      <c r="B22" s="47" t="s">
        <v>251</v>
      </c>
    </row>
    <row r="23" spans="1:7" x14ac:dyDescent="0.25">
      <c r="B23" s="1" t="s">
        <v>255</v>
      </c>
      <c r="C23" s="1">
        <v>0</v>
      </c>
      <c r="D23" s="1">
        <v>0</v>
      </c>
      <c r="E23" s="1">
        <f>+C23+D23</f>
        <v>0</v>
      </c>
      <c r="F23" s="1">
        <v>0</v>
      </c>
      <c r="G23" s="1">
        <v>0</v>
      </c>
    </row>
    <row r="24" spans="1:7" x14ac:dyDescent="0.25">
      <c r="B24" s="1" t="s">
        <v>256</v>
      </c>
      <c r="C24" s="1">
        <v>7311132</v>
      </c>
      <c r="D24" s="1">
        <v>-919945</v>
      </c>
      <c r="E24" s="1">
        <f>+C24+D24</f>
        <v>6391187</v>
      </c>
      <c r="F24" s="1">
        <f>+F11</f>
        <v>-773231</v>
      </c>
      <c r="G24" s="1">
        <f>+C24+F24</f>
        <v>6537901</v>
      </c>
    </row>
    <row r="25" spans="1:7" x14ac:dyDescent="0.25">
      <c r="B25" s="1" t="s">
        <v>259</v>
      </c>
      <c r="C25" s="7">
        <v>0</v>
      </c>
      <c r="D25" s="7">
        <v>0</v>
      </c>
      <c r="E25" s="7">
        <f>+C25+D25</f>
        <v>0</v>
      </c>
      <c r="F25" s="7">
        <v>0</v>
      </c>
      <c r="G25" s="7">
        <v>0</v>
      </c>
    </row>
    <row r="26" spans="1:7" x14ac:dyDescent="0.25">
      <c r="B26" s="8" t="s">
        <v>238</v>
      </c>
      <c r="C26" s="31">
        <f>SUM(C14:C25)</f>
        <v>7311132</v>
      </c>
      <c r="D26" s="16">
        <f>SUM(D14:D25)</f>
        <v>-919945</v>
      </c>
      <c r="E26" s="31">
        <f>SUM(E14:E25)</f>
        <v>6391187</v>
      </c>
      <c r="F26" s="16">
        <f>+F24</f>
        <v>-773231</v>
      </c>
      <c r="G26" s="31">
        <f>+G24</f>
        <v>6537901</v>
      </c>
    </row>
    <row r="29" spans="1:7" x14ac:dyDescent="0.25">
      <c r="A29" s="20" t="s">
        <v>2</v>
      </c>
      <c r="B29" s="1" t="s">
        <v>325</v>
      </c>
    </row>
  </sheetData>
  <pageMargins left="0.7" right="0.7" top="0.83687500000000004" bottom="0.75" header="0.3" footer="0.3"/>
  <pageSetup scale="78" orientation="landscape" horizontalDpi="0" verticalDpi="0" r:id="rId1"/>
  <headerFooter>
    <oddHeader>&amp;L&amp;"Arial Narrow,Bold"&amp;K03+021Rhode Island Energy - Electric 
Test Year August 31, 2025
Rate Year 1- July 31, 2027&amp;C&amp;"Arial Narrow,Bold"&amp;K03+022RI Public Utilities Commission 
Docket No. 25-45-GE&amp;R&amp;"Arial Narrow,Bold"&amp;K03+022Schedule DM-29-Electric RY 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4B27E-0F28-4137-BD44-B7D20AA6A6EB}">
  <sheetPr>
    <pageSetUpPr fitToPage="1"/>
  </sheetPr>
  <dimension ref="A2:I36"/>
  <sheetViews>
    <sheetView view="pageLayout" topLeftCell="C15" zoomScaleNormal="100" workbookViewId="0">
      <selection activeCell="H17" sqref="H17"/>
    </sheetView>
  </sheetViews>
  <sheetFormatPr defaultRowHeight="16.5" x14ac:dyDescent="0.3"/>
  <cols>
    <col min="1" max="1" width="5.7109375" style="2" customWidth="1"/>
    <col min="2" max="2" width="6.7109375" style="2" customWidth="1"/>
    <col min="3" max="3" width="40.7109375" style="1" customWidth="1"/>
    <col min="4" max="8" width="20.7109375" style="1" customWidth="1"/>
    <col min="9" max="9" width="20.7109375" style="10" customWidth="1"/>
    <col min="10" max="10" width="20.7109375" style="1" customWidth="1"/>
    <col min="11" max="12" width="18.7109375" style="1" customWidth="1"/>
    <col min="13" max="16384" width="9.140625" style="1"/>
  </cols>
  <sheetData>
    <row r="2" spans="3:9" x14ac:dyDescent="0.3">
      <c r="C2" s="5" t="s">
        <v>38</v>
      </c>
    </row>
    <row r="3" spans="3:9" x14ac:dyDescent="0.3">
      <c r="D3" s="6" t="s">
        <v>2</v>
      </c>
    </row>
    <row r="4" spans="3:9" x14ac:dyDescent="0.3">
      <c r="D4" s="4" t="s">
        <v>42</v>
      </c>
      <c r="E4" s="4"/>
      <c r="F4" s="4" t="s">
        <v>44</v>
      </c>
      <c r="G4" s="4"/>
      <c r="H4" s="4" t="s">
        <v>283</v>
      </c>
    </row>
    <row r="5" spans="3:9" x14ac:dyDescent="0.3">
      <c r="D5" s="28">
        <v>45900</v>
      </c>
      <c r="E5" s="5" t="s">
        <v>43</v>
      </c>
      <c r="F5" s="28">
        <v>46599</v>
      </c>
      <c r="G5" s="5" t="s">
        <v>43</v>
      </c>
      <c r="H5" s="5" t="s">
        <v>6</v>
      </c>
      <c r="I5" s="11" t="s">
        <v>45</v>
      </c>
    </row>
    <row r="7" spans="3:9" x14ac:dyDescent="0.3">
      <c r="C7" s="8" t="s">
        <v>46</v>
      </c>
      <c r="D7" s="8">
        <v>2179171334</v>
      </c>
      <c r="E7" s="8">
        <f>+F7-D7</f>
        <v>230533321</v>
      </c>
      <c r="F7" s="8">
        <v>2409704655</v>
      </c>
      <c r="G7" s="8">
        <f>+H7-F7</f>
        <v>-25828744.599999905</v>
      </c>
      <c r="H7" s="8">
        <f>+'Electric Utility Plant in Serv '!E24</f>
        <v>2383875910.4000001</v>
      </c>
    </row>
    <row r="9" spans="3:9" x14ac:dyDescent="0.3">
      <c r="C9" s="1" t="s">
        <v>47</v>
      </c>
      <c r="D9" s="1">
        <v>-11938610</v>
      </c>
      <c r="E9" s="1">
        <f>+F9-D9</f>
        <v>-3322567</v>
      </c>
      <c r="F9" s="1">
        <v>-15261177</v>
      </c>
      <c r="G9" s="1">
        <v>0</v>
      </c>
      <c r="H9" s="1">
        <f>+F9</f>
        <v>-15261177</v>
      </c>
    </row>
    <row r="10" spans="3:9" x14ac:dyDescent="0.3">
      <c r="C10" s="1" t="s">
        <v>48</v>
      </c>
      <c r="D10" s="7">
        <v>-852285316</v>
      </c>
      <c r="E10" s="7">
        <f>+F10-D10</f>
        <v>-57278117</v>
      </c>
      <c r="F10" s="7">
        <v>-909563433</v>
      </c>
      <c r="G10" s="62">
        <f>+H10-F10</f>
        <v>368307</v>
      </c>
      <c r="H10" s="7">
        <f>-'Electric AD'!E17</f>
        <v>-909195126</v>
      </c>
    </row>
    <row r="12" spans="3:9" x14ac:dyDescent="0.3">
      <c r="C12" s="8" t="s">
        <v>49</v>
      </c>
      <c r="D12" s="19">
        <f>SUM(D7:D11)</f>
        <v>1314947408</v>
      </c>
      <c r="E12" s="12">
        <f>SUM(E7:E10)</f>
        <v>169932637</v>
      </c>
      <c r="F12" s="19">
        <f>SUM(F7:F11)</f>
        <v>1484880045</v>
      </c>
      <c r="G12" s="12">
        <f>+H12-F12</f>
        <v>-25460437.599999905</v>
      </c>
      <c r="H12" s="19">
        <f>+H7+H9+H10</f>
        <v>1459419607.4000001</v>
      </c>
    </row>
    <row r="14" spans="3:9" x14ac:dyDescent="0.3">
      <c r="C14" s="1" t="s">
        <v>50</v>
      </c>
      <c r="D14" s="1">
        <v>43263043</v>
      </c>
      <c r="E14" s="1">
        <f t="shared" ref="E14:E23" si="0">+F14-D14</f>
        <v>-9357717</v>
      </c>
      <c r="F14" s="1">
        <v>33905326</v>
      </c>
      <c r="G14" s="1">
        <v>0</v>
      </c>
      <c r="H14" s="1">
        <v>33905326</v>
      </c>
    </row>
    <row r="15" spans="3:9" x14ac:dyDescent="0.3">
      <c r="C15" s="1" t="s">
        <v>51</v>
      </c>
      <c r="D15" s="1">
        <v>4070263</v>
      </c>
      <c r="E15" s="1">
        <f t="shared" si="0"/>
        <v>1267957</v>
      </c>
      <c r="F15" s="1">
        <v>5338220</v>
      </c>
      <c r="G15" s="1">
        <v>0</v>
      </c>
      <c r="H15" s="1">
        <v>5338220</v>
      </c>
    </row>
    <row r="16" spans="3:9" x14ac:dyDescent="0.3">
      <c r="C16" s="1" t="s">
        <v>52</v>
      </c>
      <c r="D16" s="1">
        <v>600158</v>
      </c>
      <c r="E16" s="1">
        <f t="shared" si="0"/>
        <v>-57028</v>
      </c>
      <c r="F16" s="1">
        <v>543130</v>
      </c>
      <c r="G16" s="1">
        <v>0</v>
      </c>
      <c r="H16" s="1">
        <v>543130</v>
      </c>
    </row>
    <row r="17" spans="3:8" x14ac:dyDescent="0.3">
      <c r="C17" s="1" t="s">
        <v>53</v>
      </c>
      <c r="D17" s="1">
        <v>30885003</v>
      </c>
      <c r="E17" s="1">
        <f t="shared" si="0"/>
        <v>0</v>
      </c>
      <c r="F17" s="1">
        <v>30885003</v>
      </c>
      <c r="G17" s="1">
        <f>+H17-F17</f>
        <v>-2562806.0667694882</v>
      </c>
      <c r="H17" s="1">
        <f>+'Electric CWC'!G32</f>
        <v>28322196.933230512</v>
      </c>
    </row>
    <row r="18" spans="3:8" x14ac:dyDescent="0.3">
      <c r="C18" s="1" t="s">
        <v>54</v>
      </c>
      <c r="D18" s="1">
        <v>630450</v>
      </c>
      <c r="E18" s="1">
        <f t="shared" si="0"/>
        <v>-54077</v>
      </c>
      <c r="F18" s="1">
        <v>576373</v>
      </c>
      <c r="G18" s="1">
        <v>0</v>
      </c>
      <c r="H18" s="1">
        <f t="shared" ref="H18:H23" si="1">+F18</f>
        <v>576373</v>
      </c>
    </row>
    <row r="19" spans="3:8" x14ac:dyDescent="0.3">
      <c r="C19" s="1" t="s">
        <v>55</v>
      </c>
      <c r="D19" s="1">
        <v>620115</v>
      </c>
      <c r="E19" s="1">
        <f t="shared" si="0"/>
        <v>-46992</v>
      </c>
      <c r="F19" s="1">
        <v>573123</v>
      </c>
      <c r="G19" s="1">
        <v>0</v>
      </c>
      <c r="H19" s="1">
        <f t="shared" si="1"/>
        <v>573123</v>
      </c>
    </row>
    <row r="20" spans="3:8" x14ac:dyDescent="0.3">
      <c r="C20" s="1" t="s">
        <v>56</v>
      </c>
      <c r="D20" s="1">
        <v>255910</v>
      </c>
      <c r="E20" s="1">
        <f t="shared" si="0"/>
        <v>-139348</v>
      </c>
      <c r="F20" s="1">
        <v>116562</v>
      </c>
      <c r="G20" s="1">
        <v>0</v>
      </c>
      <c r="H20" s="1">
        <f t="shared" si="1"/>
        <v>116562</v>
      </c>
    </row>
    <row r="21" spans="3:8" x14ac:dyDescent="0.3">
      <c r="C21" s="1" t="s">
        <v>57</v>
      </c>
      <c r="D21" s="1">
        <v>1659366</v>
      </c>
      <c r="E21" s="1">
        <f t="shared" si="0"/>
        <v>-283098</v>
      </c>
      <c r="F21" s="1">
        <v>1376268</v>
      </c>
      <c r="G21" s="1">
        <v>0</v>
      </c>
      <c r="H21" s="1">
        <f t="shared" si="1"/>
        <v>1376268</v>
      </c>
    </row>
    <row r="22" spans="3:8" x14ac:dyDescent="0.3">
      <c r="C22" s="1" t="s">
        <v>58</v>
      </c>
      <c r="D22" s="1">
        <v>573300</v>
      </c>
      <c r="E22" s="1">
        <f t="shared" si="0"/>
        <v>-203713</v>
      </c>
      <c r="F22" s="1">
        <v>369587</v>
      </c>
      <c r="G22" s="1">
        <v>0</v>
      </c>
      <c r="H22" s="1">
        <f t="shared" si="1"/>
        <v>369587</v>
      </c>
    </row>
    <row r="23" spans="3:8" x14ac:dyDescent="0.3">
      <c r="C23" s="1" t="s">
        <v>59</v>
      </c>
      <c r="D23" s="7">
        <v>0</v>
      </c>
      <c r="E23" s="7">
        <f t="shared" si="0"/>
        <v>1377241</v>
      </c>
      <c r="F23" s="7">
        <v>1377241</v>
      </c>
      <c r="G23" s="7">
        <v>0</v>
      </c>
      <c r="H23" s="7">
        <f t="shared" si="1"/>
        <v>1377241</v>
      </c>
    </row>
    <row r="24" spans="3:8" x14ac:dyDescent="0.3">
      <c r="C24" s="8" t="s">
        <v>60</v>
      </c>
      <c r="D24" s="29">
        <f>SUM(D14:D23)</f>
        <v>82557608</v>
      </c>
      <c r="E24" s="8">
        <f>SUM(E14:E23)</f>
        <v>-7496775</v>
      </c>
      <c r="F24" s="29">
        <f>SUM(F14:F23)</f>
        <v>75060833</v>
      </c>
      <c r="G24" s="8">
        <f>+H24-F24</f>
        <v>-2562806.0667694807</v>
      </c>
      <c r="H24" s="29">
        <f>SUM(H14:H23)</f>
        <v>72498026.933230519</v>
      </c>
    </row>
    <row r="26" spans="3:8" x14ac:dyDescent="0.3">
      <c r="C26" s="1" t="s">
        <v>61</v>
      </c>
      <c r="D26" s="34">
        <v>-91913006</v>
      </c>
      <c r="E26" s="1">
        <f>+F26-D26</f>
        <v>-32026023</v>
      </c>
      <c r="F26" s="34">
        <v>-123939029</v>
      </c>
      <c r="G26" s="1">
        <f>+H26-F26</f>
        <v>-70846</v>
      </c>
      <c r="H26" s="34">
        <f>-'Electric ADIT'!E19</f>
        <v>-124009875</v>
      </c>
    </row>
    <row r="28" spans="3:8" ht="32.25" x14ac:dyDescent="0.3">
      <c r="C28" s="30" t="s">
        <v>62</v>
      </c>
      <c r="D28" s="1">
        <v>-126033</v>
      </c>
      <c r="E28" s="1">
        <f>+F28-D28</f>
        <v>11976</v>
      </c>
      <c r="F28" s="1">
        <v>-114057</v>
      </c>
      <c r="G28" s="1">
        <v>0</v>
      </c>
      <c r="H28" s="1">
        <f>+F28</f>
        <v>-114057</v>
      </c>
    </row>
    <row r="29" spans="3:8" x14ac:dyDescent="0.3">
      <c r="C29" s="1" t="s">
        <v>63</v>
      </c>
      <c r="D29" s="7">
        <v>-7152425</v>
      </c>
      <c r="E29" s="7">
        <f>+F29-D29</f>
        <v>333784</v>
      </c>
      <c r="F29" s="7">
        <v>-6818641</v>
      </c>
      <c r="G29" s="7">
        <v>0</v>
      </c>
      <c r="H29" s="7">
        <f>+F29</f>
        <v>-6818641</v>
      </c>
    </row>
    <row r="30" spans="3:8" x14ac:dyDescent="0.3">
      <c r="C30" s="8" t="s">
        <v>60</v>
      </c>
      <c r="D30" s="29">
        <f>SUM(D26:D29)</f>
        <v>-99191464</v>
      </c>
      <c r="E30" s="8">
        <f>SUM(E26:E29)</f>
        <v>-31680263</v>
      </c>
      <c r="F30" s="29">
        <f>SUM(F26:F29)</f>
        <v>-130871727</v>
      </c>
      <c r="G30" s="8">
        <f>+H30-F30</f>
        <v>-70846</v>
      </c>
      <c r="H30" s="8">
        <f>+H26+H28+H29</f>
        <v>-130942573</v>
      </c>
    </row>
    <row r="32" spans="3:8" x14ac:dyDescent="0.3">
      <c r="C32" s="8" t="s">
        <v>64</v>
      </c>
      <c r="D32" s="19">
        <f>+D12+D24+D30</f>
        <v>1298313552</v>
      </c>
      <c r="E32" s="12">
        <f>+F32-D32</f>
        <v>130755599</v>
      </c>
      <c r="F32" s="19">
        <f>+F12+F24+F30</f>
        <v>1429069151</v>
      </c>
      <c r="G32" s="12">
        <f>+H32-F32</f>
        <v>-28094089.666769505</v>
      </c>
      <c r="H32" s="19">
        <f>+H12+H24+H30</f>
        <v>1400975061.3332305</v>
      </c>
    </row>
    <row r="36" spans="1:3" x14ac:dyDescent="0.3">
      <c r="A36" s="20" t="s">
        <v>2</v>
      </c>
      <c r="C36" s="1" t="s">
        <v>66</v>
      </c>
    </row>
  </sheetData>
  <pageMargins left="0.7" right="0.7" top="0.765625" bottom="0.75" header="0.3" footer="0.3"/>
  <pageSetup scale="70" orientation="landscape" horizontalDpi="0" verticalDpi="0" r:id="rId1"/>
  <headerFooter>
    <oddHeader>&amp;L&amp;"Arial Narrow,Bold"&amp;K03+021Rhode Island Energy - Electric
Test Year August 31, 2025
Rate Year 1 - July 31, 2027&amp;C&amp;"Arial Narrow,Bold"&amp;K03+023RI Public Utilities Commission
Docket No. 25-45-GE&amp;R&amp;"Arial Narrow,Bold"&amp;K03+023Schedule DM-3 Electric RY 1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384B9-7A6D-43A2-A436-517748B35043}">
  <sheetPr>
    <pageSetUpPr fitToPage="1"/>
  </sheetPr>
  <dimension ref="A2:H30"/>
  <sheetViews>
    <sheetView view="pageLayout" topLeftCell="C9" zoomScaleNormal="100" workbookViewId="0">
      <selection activeCell="G16" sqref="G16"/>
    </sheetView>
  </sheetViews>
  <sheetFormatPr defaultRowHeight="15.75" x14ac:dyDescent="0.25"/>
  <cols>
    <col min="1" max="1" width="6.7109375" style="2" customWidth="1"/>
    <col min="2" max="2" width="40.7109375" style="1" customWidth="1"/>
    <col min="3" max="7" width="18.7109375" style="1" customWidth="1"/>
    <col min="8" max="8" width="18.7109375" style="3" customWidth="1"/>
    <col min="9" max="11" width="18.7109375" style="1" customWidth="1"/>
    <col min="12" max="16384" width="9.140625" style="1"/>
  </cols>
  <sheetData>
    <row r="2" spans="2:8" x14ac:dyDescent="0.25">
      <c r="B2" s="5" t="s">
        <v>326</v>
      </c>
    </row>
    <row r="3" spans="2:8" x14ac:dyDescent="0.25">
      <c r="C3" s="6" t="s">
        <v>2</v>
      </c>
    </row>
    <row r="4" spans="2:8" x14ac:dyDescent="0.25">
      <c r="C4" s="4" t="s">
        <v>3</v>
      </c>
      <c r="D4" s="4"/>
      <c r="E4" s="4" t="s">
        <v>3</v>
      </c>
      <c r="F4" s="4"/>
      <c r="G4" s="4" t="s">
        <v>67</v>
      </c>
      <c r="H4" s="4"/>
    </row>
    <row r="5" spans="2:8" x14ac:dyDescent="0.25">
      <c r="C5" s="4" t="s">
        <v>262</v>
      </c>
      <c r="D5" s="4" t="s">
        <v>264</v>
      </c>
      <c r="E5" s="4" t="s">
        <v>263</v>
      </c>
      <c r="F5" s="4"/>
      <c r="G5" s="4" t="s">
        <v>282</v>
      </c>
      <c r="H5" s="4"/>
    </row>
    <row r="6" spans="2:8" x14ac:dyDescent="0.25">
      <c r="C6" s="5" t="s">
        <v>72</v>
      </c>
      <c r="D6" s="5" t="s">
        <v>5</v>
      </c>
      <c r="E6" s="5" t="s">
        <v>72</v>
      </c>
      <c r="F6" s="5" t="s">
        <v>5</v>
      </c>
      <c r="G6" s="5" t="s">
        <v>68</v>
      </c>
      <c r="H6" s="5" t="s">
        <v>12</v>
      </c>
    </row>
    <row r="8" spans="2:8" x14ac:dyDescent="0.25">
      <c r="B8" s="1" t="s">
        <v>252</v>
      </c>
      <c r="C8" s="1">
        <v>1030234</v>
      </c>
      <c r="D8" s="1">
        <v>54248</v>
      </c>
      <c r="E8" s="1">
        <f>+C8+D8</f>
        <v>1084482</v>
      </c>
      <c r="F8" s="1">
        <f>-D8</f>
        <v>-54248</v>
      </c>
      <c r="G8" s="1">
        <f>+E8+F8</f>
        <v>1030234</v>
      </c>
    </row>
    <row r="9" spans="2:8" x14ac:dyDescent="0.25">
      <c r="B9" s="1" t="s">
        <v>253</v>
      </c>
      <c r="C9" s="1">
        <v>30954</v>
      </c>
      <c r="D9" s="1">
        <v>1630</v>
      </c>
      <c r="E9" s="1">
        <f>+C9+D9</f>
        <v>32584</v>
      </c>
      <c r="F9" s="1">
        <f>-D9</f>
        <v>-1630</v>
      </c>
      <c r="G9" s="1">
        <f>+E9+F9</f>
        <v>30954</v>
      </c>
    </row>
    <row r="10" spans="2:8" x14ac:dyDescent="0.25">
      <c r="B10" s="1" t="s">
        <v>265</v>
      </c>
      <c r="C10" s="7">
        <v>18032</v>
      </c>
      <c r="D10" s="7">
        <v>949</v>
      </c>
      <c r="E10" s="7">
        <f>+C10+D10</f>
        <v>18981</v>
      </c>
      <c r="F10" s="7">
        <f>-D10</f>
        <v>-949</v>
      </c>
      <c r="G10" s="7">
        <f>+E10+F10</f>
        <v>18032</v>
      </c>
    </row>
    <row r="11" spans="2:8" x14ac:dyDescent="0.25">
      <c r="B11" s="8" t="s">
        <v>238</v>
      </c>
      <c r="C11" s="31">
        <f>+C8+C9+C10</f>
        <v>1079220</v>
      </c>
      <c r="D11" s="16">
        <f>+D8+D9+D10</f>
        <v>56827</v>
      </c>
      <c r="E11" s="31">
        <f>+E8+E9+E10</f>
        <v>1136047</v>
      </c>
      <c r="F11" s="16">
        <f>SUM(F8:F10)</f>
        <v>-56827</v>
      </c>
      <c r="G11" s="31">
        <f>SUM(G8:G10)</f>
        <v>1079220</v>
      </c>
      <c r="H11" s="3" t="s">
        <v>460</v>
      </c>
    </row>
    <row r="12" spans="2:8" x14ac:dyDescent="0.25">
      <c r="B12" s="8"/>
    </row>
    <row r="13" spans="2:8" ht="18" x14ac:dyDescent="0.4">
      <c r="B13" s="47" t="s">
        <v>249</v>
      </c>
    </row>
    <row r="14" spans="2:8" x14ac:dyDescent="0.25">
      <c r="B14" s="48" t="s">
        <v>266</v>
      </c>
      <c r="C14" s="1">
        <v>0</v>
      </c>
      <c r="D14" s="1">
        <v>0</v>
      </c>
      <c r="E14" s="1">
        <f t="shared" ref="E14:E21" si="0">+C14+D14</f>
        <v>0</v>
      </c>
      <c r="F14" s="1">
        <v>0</v>
      </c>
      <c r="G14" s="1">
        <v>0</v>
      </c>
    </row>
    <row r="15" spans="2:8" x14ac:dyDescent="0.25">
      <c r="B15" s="1" t="s">
        <v>255</v>
      </c>
      <c r="C15" s="1">
        <v>44886</v>
      </c>
      <c r="D15" s="1">
        <v>2364</v>
      </c>
      <c r="E15" s="1">
        <f t="shared" si="0"/>
        <v>47250</v>
      </c>
      <c r="F15" s="1">
        <f>-D15</f>
        <v>-2364</v>
      </c>
      <c r="G15" s="1">
        <f>+E15+F15</f>
        <v>44886</v>
      </c>
    </row>
    <row r="16" spans="2:8" x14ac:dyDescent="0.25">
      <c r="B16" s="1" t="s">
        <v>322</v>
      </c>
      <c r="C16" s="1">
        <v>0</v>
      </c>
      <c r="D16" s="1">
        <v>0</v>
      </c>
      <c r="E16" s="1">
        <f t="shared" si="0"/>
        <v>0</v>
      </c>
      <c r="F16" s="1">
        <v>0</v>
      </c>
      <c r="G16" s="1">
        <v>0</v>
      </c>
    </row>
    <row r="17" spans="1:7" x14ac:dyDescent="0.25">
      <c r="B17" s="1" t="s">
        <v>256</v>
      </c>
      <c r="C17" s="1">
        <v>312562</v>
      </c>
      <c r="D17" s="1">
        <v>16458</v>
      </c>
      <c r="E17" s="1">
        <f t="shared" si="0"/>
        <v>329020</v>
      </c>
      <c r="F17" s="1">
        <f>-D17</f>
        <v>-16458</v>
      </c>
      <c r="G17" s="1">
        <f>+E17+F17</f>
        <v>312562</v>
      </c>
    </row>
    <row r="18" spans="1:7" x14ac:dyDescent="0.25">
      <c r="B18" s="1" t="s">
        <v>257</v>
      </c>
      <c r="C18" s="1">
        <v>9947</v>
      </c>
      <c r="D18" s="1">
        <v>524</v>
      </c>
      <c r="E18" s="1">
        <f t="shared" si="0"/>
        <v>10471</v>
      </c>
      <c r="F18" s="1">
        <f>-D18</f>
        <v>-524</v>
      </c>
      <c r="G18" s="1">
        <f>+E18+F18</f>
        <v>9947</v>
      </c>
    </row>
    <row r="19" spans="1:7" x14ac:dyDescent="0.25">
      <c r="B19" s="1" t="s">
        <v>258</v>
      </c>
      <c r="C19" s="1">
        <v>124</v>
      </c>
      <c r="D19" s="1">
        <v>7</v>
      </c>
      <c r="E19" s="1">
        <f t="shared" si="0"/>
        <v>131</v>
      </c>
      <c r="F19" s="1">
        <f>-D19</f>
        <v>-7</v>
      </c>
      <c r="G19" s="1">
        <f>+E19+F19</f>
        <v>124</v>
      </c>
    </row>
    <row r="20" spans="1:7" x14ac:dyDescent="0.25">
      <c r="B20" s="1" t="s">
        <v>267</v>
      </c>
      <c r="C20" s="1">
        <v>0</v>
      </c>
      <c r="D20" s="1">
        <v>0</v>
      </c>
      <c r="E20" s="1">
        <f t="shared" si="0"/>
        <v>0</v>
      </c>
      <c r="F20" s="1">
        <v>0</v>
      </c>
      <c r="G20" s="1">
        <v>0</v>
      </c>
    </row>
    <row r="21" spans="1:7" x14ac:dyDescent="0.25">
      <c r="B21" s="1" t="s">
        <v>259</v>
      </c>
      <c r="C21" s="1">
        <v>435485</v>
      </c>
      <c r="D21" s="1">
        <v>22931</v>
      </c>
      <c r="E21" s="1">
        <f t="shared" si="0"/>
        <v>458416</v>
      </c>
      <c r="F21" s="1">
        <f>-D21</f>
        <v>-22931</v>
      </c>
      <c r="G21" s="1">
        <f>+E21+F21</f>
        <v>435485</v>
      </c>
    </row>
    <row r="22" spans="1:7" ht="18" x14ac:dyDescent="0.4">
      <c r="B22" s="47" t="s">
        <v>251</v>
      </c>
    </row>
    <row r="23" spans="1:7" x14ac:dyDescent="0.25">
      <c r="B23" s="1" t="s">
        <v>255</v>
      </c>
      <c r="C23" s="1">
        <v>83138</v>
      </c>
      <c r="D23" s="1">
        <v>4378</v>
      </c>
      <c r="E23" s="1">
        <f>+C23+D23</f>
        <v>87516</v>
      </c>
      <c r="F23" s="1">
        <f>-D23</f>
        <v>-4378</v>
      </c>
      <c r="G23" s="1">
        <f>+E23+F23</f>
        <v>83138</v>
      </c>
    </row>
    <row r="24" spans="1:7" x14ac:dyDescent="0.25">
      <c r="B24" s="1" t="s">
        <v>256</v>
      </c>
      <c r="C24" s="1">
        <v>174944</v>
      </c>
      <c r="D24" s="1">
        <v>9212</v>
      </c>
      <c r="E24" s="1">
        <f>+C24+D24</f>
        <v>184156</v>
      </c>
      <c r="F24" s="1">
        <f>-D24</f>
        <v>-9212</v>
      </c>
      <c r="G24" s="1">
        <f>+E24+F24</f>
        <v>174944</v>
      </c>
    </row>
    <row r="25" spans="1:7" x14ac:dyDescent="0.25">
      <c r="B25" s="1" t="s">
        <v>259</v>
      </c>
      <c r="C25" s="7">
        <v>18133</v>
      </c>
      <c r="D25" s="7">
        <v>955</v>
      </c>
      <c r="E25" s="7">
        <f>+C25+D25</f>
        <v>19088</v>
      </c>
      <c r="F25" s="7">
        <f>-D25</f>
        <v>-955</v>
      </c>
      <c r="G25" s="7">
        <f>+E25+F25</f>
        <v>18133</v>
      </c>
    </row>
    <row r="26" spans="1:7" x14ac:dyDescent="0.25">
      <c r="B26" s="8" t="s">
        <v>238</v>
      </c>
      <c r="C26" s="31">
        <f>SUM(C14:C25)</f>
        <v>1079219</v>
      </c>
      <c r="D26" s="16">
        <f>SUM(D14:D25)</f>
        <v>56829</v>
      </c>
      <c r="E26" s="31">
        <f>SUM(E14:E25)</f>
        <v>1136048</v>
      </c>
      <c r="F26" s="16">
        <f>SUM(F14:F25)</f>
        <v>-56829</v>
      </c>
      <c r="G26" s="31">
        <f>SUM(G14:G25)</f>
        <v>1079219</v>
      </c>
    </row>
    <row r="30" spans="1:7" x14ac:dyDescent="0.25">
      <c r="A30" s="20" t="s">
        <v>2</v>
      </c>
      <c r="B30" s="1" t="s">
        <v>426</v>
      </c>
    </row>
  </sheetData>
  <pageMargins left="0.7" right="0.7" top="0.72437499999999999" bottom="0.75" header="0.3" footer="0.3"/>
  <pageSetup scale="57" orientation="portrait" horizontalDpi="0" verticalDpi="0" r:id="rId1"/>
  <headerFooter>
    <oddHeader>&amp;L&amp;"Arial Narrow,Bold"&amp;K03+021Rhode Island Energy - Electric 
Test Year August 31, 2025
Rate Year 1 - July 31, 2027&amp;C&amp;"Arial Narrow,Bold"&amp;K03+023RI Public Utilities Commission 
Docket No. 25-45-GE&amp;R&amp;"Arial Narrow,Bold"&amp;K03+023Schedule DM-30-Electric RY 1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BF003-58FA-43DD-B127-612F7EC42736}">
  <sheetPr>
    <pageSetUpPr fitToPage="1"/>
  </sheetPr>
  <dimension ref="A2:H31"/>
  <sheetViews>
    <sheetView view="pageLayout" topLeftCell="C5" zoomScaleNormal="100" workbookViewId="0">
      <selection activeCell="H13" sqref="H13"/>
    </sheetView>
  </sheetViews>
  <sheetFormatPr defaultRowHeight="15.75" x14ac:dyDescent="0.25"/>
  <cols>
    <col min="1" max="1" width="6.7109375" style="2" customWidth="1"/>
    <col min="2" max="2" width="40.7109375" style="1" customWidth="1"/>
    <col min="3" max="7" width="18.7109375" style="1" customWidth="1"/>
    <col min="8" max="8" width="18.7109375" style="3" customWidth="1"/>
    <col min="9" max="11" width="18.7109375" style="1" customWidth="1"/>
    <col min="12" max="16384" width="9.140625" style="1"/>
  </cols>
  <sheetData>
    <row r="2" spans="2:8" x14ac:dyDescent="0.25">
      <c r="B2" s="5" t="s">
        <v>327</v>
      </c>
    </row>
    <row r="3" spans="2:8" x14ac:dyDescent="0.25">
      <c r="C3" s="6" t="s">
        <v>2</v>
      </c>
    </row>
    <row r="4" spans="2:8" x14ac:dyDescent="0.25">
      <c r="C4" s="4" t="s">
        <v>3</v>
      </c>
      <c r="D4" s="4"/>
      <c r="E4" s="4" t="s">
        <v>3</v>
      </c>
      <c r="F4" s="4"/>
      <c r="G4" s="4" t="s">
        <v>67</v>
      </c>
      <c r="H4" s="4"/>
    </row>
    <row r="5" spans="2:8" x14ac:dyDescent="0.25">
      <c r="C5" s="4" t="s">
        <v>262</v>
      </c>
      <c r="D5" s="4" t="s">
        <v>264</v>
      </c>
      <c r="E5" s="4" t="s">
        <v>263</v>
      </c>
      <c r="F5" s="4"/>
      <c r="G5" s="4" t="s">
        <v>282</v>
      </c>
      <c r="H5" s="4"/>
    </row>
    <row r="6" spans="2:8" x14ac:dyDescent="0.25">
      <c r="C6" s="5" t="s">
        <v>72</v>
      </c>
      <c r="D6" s="5" t="s">
        <v>5</v>
      </c>
      <c r="E6" s="5" t="s">
        <v>72</v>
      </c>
      <c r="F6" s="5" t="s">
        <v>5</v>
      </c>
      <c r="G6" s="5" t="s">
        <v>68</v>
      </c>
      <c r="H6" s="5" t="s">
        <v>12</v>
      </c>
    </row>
    <row r="8" spans="2:8" x14ac:dyDescent="0.25">
      <c r="B8" s="1" t="s">
        <v>252</v>
      </c>
      <c r="C8" s="1">
        <v>137461</v>
      </c>
      <c r="D8" s="1">
        <v>7238</v>
      </c>
      <c r="E8" s="1">
        <f>+C8+D8</f>
        <v>144699</v>
      </c>
      <c r="F8" s="1">
        <f>-D8</f>
        <v>-7238</v>
      </c>
      <c r="G8" s="1">
        <f>+E8+F8</f>
        <v>137461</v>
      </c>
    </row>
    <row r="9" spans="2:8" x14ac:dyDescent="0.25">
      <c r="B9" s="1" t="s">
        <v>253</v>
      </c>
      <c r="C9" s="1">
        <v>5713</v>
      </c>
      <c r="D9" s="1">
        <v>301</v>
      </c>
      <c r="E9" s="1">
        <f>+C9+D9</f>
        <v>6014</v>
      </c>
      <c r="F9" s="1">
        <f>-D9</f>
        <v>-301</v>
      </c>
      <c r="G9" s="1">
        <f>+E9+F9</f>
        <v>5713</v>
      </c>
    </row>
    <row r="10" spans="2:8" x14ac:dyDescent="0.25">
      <c r="B10" s="1" t="s">
        <v>265</v>
      </c>
      <c r="C10" s="7">
        <v>0</v>
      </c>
      <c r="D10" s="7">
        <v>0</v>
      </c>
      <c r="E10" s="7">
        <f>+C10+D10</f>
        <v>0</v>
      </c>
      <c r="F10" s="7">
        <v>0</v>
      </c>
      <c r="G10" s="7">
        <v>0</v>
      </c>
    </row>
    <row r="11" spans="2:8" x14ac:dyDescent="0.25">
      <c r="B11" s="8" t="s">
        <v>238</v>
      </c>
      <c r="C11" s="31">
        <f>+C8+C9+C10</f>
        <v>143174</v>
      </c>
      <c r="D11" s="16">
        <f>+D8+D9+D10</f>
        <v>7539</v>
      </c>
      <c r="E11" s="31">
        <f>+E8+E9+E10</f>
        <v>150713</v>
      </c>
      <c r="F11" s="16">
        <f>SUM(F8:F10)</f>
        <v>-7539</v>
      </c>
      <c r="G11" s="31">
        <f>SUM(G8:G10)</f>
        <v>143174</v>
      </c>
      <c r="H11" s="3" t="s">
        <v>461</v>
      </c>
    </row>
    <row r="12" spans="2:8" x14ac:dyDescent="0.25">
      <c r="B12" s="8"/>
    </row>
    <row r="13" spans="2:8" ht="18" x14ac:dyDescent="0.4">
      <c r="B13" s="47" t="s">
        <v>249</v>
      </c>
    </row>
    <row r="14" spans="2:8" x14ac:dyDescent="0.25">
      <c r="B14" s="48" t="s">
        <v>266</v>
      </c>
      <c r="C14" s="1">
        <v>0</v>
      </c>
      <c r="D14" s="1">
        <v>0</v>
      </c>
      <c r="E14" s="1">
        <f t="shared" ref="E14:E21" si="0">+C14+D14</f>
        <v>0</v>
      </c>
      <c r="F14" s="1">
        <v>0</v>
      </c>
      <c r="G14" s="1">
        <v>0</v>
      </c>
    </row>
    <row r="15" spans="2:8" x14ac:dyDescent="0.25">
      <c r="B15" s="1" t="s">
        <v>255</v>
      </c>
      <c r="C15" s="1">
        <v>28452</v>
      </c>
      <c r="D15" s="1">
        <v>1498</v>
      </c>
      <c r="E15" s="1">
        <f t="shared" si="0"/>
        <v>29950</v>
      </c>
      <c r="F15" s="1">
        <f>-D15</f>
        <v>-1498</v>
      </c>
      <c r="G15" s="1">
        <f>+E15+F15</f>
        <v>28452</v>
      </c>
    </row>
    <row r="16" spans="2:8" x14ac:dyDescent="0.25">
      <c r="B16" s="1" t="s">
        <v>322</v>
      </c>
      <c r="C16" s="1">
        <v>0</v>
      </c>
      <c r="D16" s="1">
        <v>0</v>
      </c>
      <c r="E16" s="1">
        <f t="shared" si="0"/>
        <v>0</v>
      </c>
      <c r="F16" s="1">
        <v>0</v>
      </c>
      <c r="G16" s="1">
        <v>0</v>
      </c>
    </row>
    <row r="17" spans="1:7" x14ac:dyDescent="0.25">
      <c r="B17" s="1" t="s">
        <v>256</v>
      </c>
      <c r="C17" s="1">
        <v>43932</v>
      </c>
      <c r="D17" s="1">
        <v>2313</v>
      </c>
      <c r="E17" s="1">
        <f t="shared" si="0"/>
        <v>46245</v>
      </c>
      <c r="F17" s="1">
        <f>-D17</f>
        <v>-2313</v>
      </c>
      <c r="G17" s="1">
        <f>+E17+F17</f>
        <v>43932</v>
      </c>
    </row>
    <row r="18" spans="1:7" x14ac:dyDescent="0.25">
      <c r="B18" s="1" t="s">
        <v>257</v>
      </c>
      <c r="C18" s="1">
        <v>0</v>
      </c>
      <c r="D18" s="1">
        <v>0</v>
      </c>
      <c r="E18" s="1">
        <f t="shared" si="0"/>
        <v>0</v>
      </c>
      <c r="F18" s="1">
        <v>0</v>
      </c>
      <c r="G18" s="1">
        <v>0</v>
      </c>
    </row>
    <row r="19" spans="1:7" x14ac:dyDescent="0.25">
      <c r="B19" s="1" t="s">
        <v>258</v>
      </c>
      <c r="C19" s="1">
        <v>0</v>
      </c>
      <c r="D19" s="1">
        <v>0</v>
      </c>
      <c r="E19" s="1">
        <f t="shared" si="0"/>
        <v>0</v>
      </c>
      <c r="F19" s="1">
        <v>0</v>
      </c>
      <c r="G19" s="1">
        <v>0</v>
      </c>
    </row>
    <row r="20" spans="1:7" x14ac:dyDescent="0.25">
      <c r="B20" s="1" t="s">
        <v>267</v>
      </c>
      <c r="C20" s="1">
        <v>0</v>
      </c>
      <c r="D20" s="1">
        <v>0</v>
      </c>
      <c r="E20" s="1">
        <f t="shared" si="0"/>
        <v>0</v>
      </c>
      <c r="F20" s="1">
        <v>0</v>
      </c>
      <c r="G20" s="1">
        <v>0</v>
      </c>
    </row>
    <row r="21" spans="1:7" x14ac:dyDescent="0.25">
      <c r="B21" s="1" t="s">
        <v>259</v>
      </c>
      <c r="C21" s="1">
        <v>64380</v>
      </c>
      <c r="D21" s="1">
        <v>3390</v>
      </c>
      <c r="E21" s="1">
        <f t="shared" si="0"/>
        <v>67770</v>
      </c>
      <c r="F21" s="1">
        <f>-D21</f>
        <v>-3390</v>
      </c>
      <c r="G21" s="1">
        <f>+E21+F21</f>
        <v>64380</v>
      </c>
    </row>
    <row r="22" spans="1:7" ht="18" x14ac:dyDescent="0.4">
      <c r="B22" s="47" t="s">
        <v>251</v>
      </c>
    </row>
    <row r="23" spans="1:7" x14ac:dyDescent="0.25">
      <c r="B23" s="1" t="s">
        <v>255</v>
      </c>
      <c r="C23" s="1">
        <v>-14781</v>
      </c>
      <c r="D23" s="1">
        <v>-778</v>
      </c>
      <c r="E23" s="1">
        <f>+C23+D23</f>
        <v>-15559</v>
      </c>
      <c r="F23" s="1">
        <f>-D23</f>
        <v>778</v>
      </c>
      <c r="G23" s="1">
        <f>+E23+F23</f>
        <v>-14781</v>
      </c>
    </row>
    <row r="24" spans="1:7" x14ac:dyDescent="0.25">
      <c r="B24" s="1" t="s">
        <v>256</v>
      </c>
      <c r="C24" s="1">
        <v>21191</v>
      </c>
      <c r="D24" s="1">
        <v>1116</v>
      </c>
      <c r="E24" s="1">
        <f>+C24+D24</f>
        <v>22307</v>
      </c>
      <c r="F24" s="1">
        <f>-D24</f>
        <v>-1116</v>
      </c>
      <c r="G24" s="1">
        <f>+E24+F24</f>
        <v>21191</v>
      </c>
    </row>
    <row r="25" spans="1:7" x14ac:dyDescent="0.25">
      <c r="B25" s="1" t="s">
        <v>259</v>
      </c>
      <c r="C25" s="7">
        <v>0</v>
      </c>
      <c r="D25" s="7">
        <v>0</v>
      </c>
      <c r="E25" s="7">
        <f>+C25+D25</f>
        <v>0</v>
      </c>
      <c r="F25" s="7">
        <v>0</v>
      </c>
      <c r="G25" s="7">
        <v>0</v>
      </c>
    </row>
    <row r="26" spans="1:7" x14ac:dyDescent="0.25">
      <c r="B26" s="8" t="s">
        <v>238</v>
      </c>
      <c r="C26" s="31">
        <f>SUM(C14:C25)</f>
        <v>143174</v>
      </c>
      <c r="D26" s="16">
        <f>SUM(D14:D25)</f>
        <v>7539</v>
      </c>
      <c r="E26" s="31">
        <f>SUM(E14:E25)</f>
        <v>150713</v>
      </c>
      <c r="F26" s="16">
        <f>SUM(F14:F25)</f>
        <v>-7539</v>
      </c>
      <c r="G26" s="31">
        <f>SUM(G14:G25)</f>
        <v>143174</v>
      </c>
    </row>
    <row r="31" spans="1:7" x14ac:dyDescent="0.25">
      <c r="A31" s="20" t="s">
        <v>2</v>
      </c>
      <c r="B31" s="1" t="s">
        <v>427</v>
      </c>
    </row>
  </sheetData>
  <pageMargins left="0.7" right="0.7" top="0.82874999999999999" bottom="0.75" header="0.3" footer="0.3"/>
  <pageSetup scale="78" orientation="landscape" horizontalDpi="0" verticalDpi="0" r:id="rId1"/>
  <headerFooter>
    <oddHeader>&amp;L&amp;"Arial Narrow,Bold"&amp;K03+023Rhode Island Energy - Electric 
Test Year August 31, 2025
Rate Year 1 - July 31, 2027&amp;C&amp;"Arial Narrow,Bold"&amp;K03+023RI Public Utilities Commission 
Docket No. 25-45-GE&amp;R&amp;"Arial Narrow,Bold"&amp;K03+023Schedule DM-31-Electric RY 1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4F622-6107-4A0D-AF3A-85F0016616D9}">
  <sheetPr>
    <pageSetUpPr fitToPage="1"/>
  </sheetPr>
  <dimension ref="A2:H30"/>
  <sheetViews>
    <sheetView view="pageLayout" topLeftCell="D1" zoomScaleNormal="100" workbookViewId="0">
      <selection activeCell="H13" sqref="H13"/>
    </sheetView>
  </sheetViews>
  <sheetFormatPr defaultRowHeight="15.75" x14ac:dyDescent="0.25"/>
  <cols>
    <col min="1" max="1" width="6.7109375" style="2" customWidth="1"/>
    <col min="2" max="2" width="40.7109375" style="1" customWidth="1"/>
    <col min="3" max="7" width="18.7109375" style="1" customWidth="1"/>
    <col min="8" max="8" width="18.7109375" style="3" customWidth="1"/>
    <col min="9" max="11" width="18.7109375" style="1" customWidth="1"/>
    <col min="12" max="16384" width="9.140625" style="1"/>
  </cols>
  <sheetData>
    <row r="2" spans="2:8" x14ac:dyDescent="0.25">
      <c r="B2" s="5" t="s">
        <v>328</v>
      </c>
    </row>
    <row r="3" spans="2:8" x14ac:dyDescent="0.25">
      <c r="C3" s="6" t="s">
        <v>2</v>
      </c>
    </row>
    <row r="4" spans="2:8" x14ac:dyDescent="0.25">
      <c r="C4" s="4" t="s">
        <v>3</v>
      </c>
      <c r="D4" s="4"/>
      <c r="E4" s="4" t="s">
        <v>3</v>
      </c>
      <c r="F4" s="4"/>
      <c r="G4" s="4" t="s">
        <v>67</v>
      </c>
      <c r="H4" s="4"/>
    </row>
    <row r="5" spans="2:8" x14ac:dyDescent="0.25">
      <c r="C5" s="4" t="s">
        <v>262</v>
      </c>
      <c r="D5" s="4" t="s">
        <v>264</v>
      </c>
      <c r="E5" s="4" t="s">
        <v>263</v>
      </c>
      <c r="F5" s="4"/>
      <c r="G5" s="4" t="s">
        <v>282</v>
      </c>
      <c r="H5" s="4"/>
    </row>
    <row r="6" spans="2:8" x14ac:dyDescent="0.25">
      <c r="C6" s="5" t="s">
        <v>72</v>
      </c>
      <c r="D6" s="5" t="s">
        <v>5</v>
      </c>
      <c r="E6" s="5" t="s">
        <v>72</v>
      </c>
      <c r="F6" s="5" t="s">
        <v>5</v>
      </c>
      <c r="G6" s="5" t="s">
        <v>68</v>
      </c>
      <c r="H6" s="5" t="s">
        <v>12</v>
      </c>
    </row>
    <row r="8" spans="2:8" x14ac:dyDescent="0.25">
      <c r="B8" s="1" t="s">
        <v>252</v>
      </c>
      <c r="C8" s="1">
        <v>5142503</v>
      </c>
      <c r="D8" s="1">
        <v>270782</v>
      </c>
      <c r="E8" s="1">
        <f>+C8+D8</f>
        <v>5413285</v>
      </c>
      <c r="F8" s="1">
        <f>-D8</f>
        <v>-270782</v>
      </c>
      <c r="G8" s="1">
        <f>+E8+F8</f>
        <v>5142503</v>
      </c>
    </row>
    <row r="9" spans="2:8" x14ac:dyDescent="0.25">
      <c r="B9" s="1" t="s">
        <v>253</v>
      </c>
      <c r="C9" s="1">
        <v>-24231</v>
      </c>
      <c r="D9" s="1">
        <v>-1276</v>
      </c>
      <c r="E9" s="1">
        <f>+C9+D9</f>
        <v>-25507</v>
      </c>
      <c r="F9" s="1">
        <f>-D9</f>
        <v>1276</v>
      </c>
      <c r="G9" s="1">
        <f>+E9+F9</f>
        <v>-24231</v>
      </c>
    </row>
    <row r="10" spans="2:8" x14ac:dyDescent="0.25">
      <c r="B10" s="1" t="s">
        <v>265</v>
      </c>
      <c r="C10" s="7">
        <v>-60164</v>
      </c>
      <c r="D10" s="7">
        <v>-3168</v>
      </c>
      <c r="E10" s="7">
        <f>+C10+D10</f>
        <v>-63332</v>
      </c>
      <c r="F10" s="7">
        <f>-D10</f>
        <v>3168</v>
      </c>
      <c r="G10" s="7">
        <f>+E10+F10</f>
        <v>-60164</v>
      </c>
    </row>
    <row r="11" spans="2:8" x14ac:dyDescent="0.25">
      <c r="B11" s="8" t="s">
        <v>238</v>
      </c>
      <c r="C11" s="31">
        <f>+C8+C9+C10</f>
        <v>5058108</v>
      </c>
      <c r="D11" s="16">
        <f>+D8+D9+D10</f>
        <v>266338</v>
      </c>
      <c r="E11" s="31">
        <f>+E8+E9+E10</f>
        <v>5324446</v>
      </c>
      <c r="F11" s="16">
        <f>SUM(F8:F10)</f>
        <v>-266338</v>
      </c>
      <c r="G11" s="31">
        <f>SUM(G8:G10)</f>
        <v>5058108</v>
      </c>
      <c r="H11" s="3" t="s">
        <v>463</v>
      </c>
    </row>
    <row r="12" spans="2:8" x14ac:dyDescent="0.25">
      <c r="B12" s="8"/>
    </row>
    <row r="13" spans="2:8" ht="18" x14ac:dyDescent="0.4">
      <c r="B13" s="47" t="s">
        <v>249</v>
      </c>
    </row>
    <row r="14" spans="2:8" x14ac:dyDescent="0.25">
      <c r="B14" s="48" t="s">
        <v>266</v>
      </c>
      <c r="C14" s="1">
        <v>-12926</v>
      </c>
      <c r="D14" s="1">
        <v>-681</v>
      </c>
      <c r="E14" s="1">
        <f t="shared" ref="E14:E21" si="0">+C14+D14</f>
        <v>-13607</v>
      </c>
      <c r="F14" s="1">
        <f>-D14</f>
        <v>681</v>
      </c>
      <c r="G14" s="1">
        <f>+E14+F14</f>
        <v>-12926</v>
      </c>
    </row>
    <row r="15" spans="2:8" x14ac:dyDescent="0.25">
      <c r="B15" s="1" t="s">
        <v>255</v>
      </c>
      <c r="C15" s="1">
        <v>43575</v>
      </c>
      <c r="D15" s="1">
        <v>2294</v>
      </c>
      <c r="E15" s="1">
        <f t="shared" si="0"/>
        <v>45869</v>
      </c>
      <c r="F15" s="1">
        <f>-D15</f>
        <v>-2294</v>
      </c>
      <c r="G15" s="1">
        <f>+E15+F15</f>
        <v>43575</v>
      </c>
    </row>
    <row r="16" spans="2:8" x14ac:dyDescent="0.25">
      <c r="B16" s="1" t="s">
        <v>322</v>
      </c>
      <c r="C16" s="1">
        <v>0</v>
      </c>
      <c r="D16" s="1">
        <v>0</v>
      </c>
      <c r="E16" s="1">
        <f t="shared" si="0"/>
        <v>0</v>
      </c>
      <c r="F16" s="1">
        <v>0</v>
      </c>
      <c r="G16" s="1">
        <v>0</v>
      </c>
    </row>
    <row r="17" spans="1:7" x14ac:dyDescent="0.25">
      <c r="B17" s="1" t="s">
        <v>256</v>
      </c>
      <c r="C17" s="1">
        <v>2395536</v>
      </c>
      <c r="D17" s="1">
        <v>126139</v>
      </c>
      <c r="E17" s="1">
        <f t="shared" si="0"/>
        <v>2521675</v>
      </c>
      <c r="F17" s="1">
        <f>-D17</f>
        <v>-126139</v>
      </c>
      <c r="G17" s="1">
        <f>+E17+F17</f>
        <v>2395536</v>
      </c>
    </row>
    <row r="18" spans="1:7" x14ac:dyDescent="0.25">
      <c r="B18" s="1" t="s">
        <v>257</v>
      </c>
      <c r="C18" s="1">
        <v>606543</v>
      </c>
      <c r="D18" s="1">
        <v>31938</v>
      </c>
      <c r="E18" s="1">
        <f t="shared" si="0"/>
        <v>638481</v>
      </c>
      <c r="F18" s="1">
        <f>-D18</f>
        <v>-31938</v>
      </c>
      <c r="G18" s="1">
        <f>+E18+F18</f>
        <v>606543</v>
      </c>
    </row>
    <row r="19" spans="1:7" x14ac:dyDescent="0.25">
      <c r="B19" s="1" t="s">
        <v>258</v>
      </c>
      <c r="C19" s="1">
        <v>0</v>
      </c>
      <c r="D19" s="1">
        <v>0</v>
      </c>
      <c r="E19" s="1">
        <f t="shared" si="0"/>
        <v>0</v>
      </c>
      <c r="F19" s="1">
        <v>0</v>
      </c>
      <c r="G19" s="1">
        <v>0</v>
      </c>
    </row>
    <row r="20" spans="1:7" x14ac:dyDescent="0.25">
      <c r="B20" s="1" t="s">
        <v>267</v>
      </c>
      <c r="C20" s="1">
        <v>0</v>
      </c>
      <c r="D20" s="1">
        <v>0</v>
      </c>
      <c r="E20" s="1">
        <f t="shared" si="0"/>
        <v>0</v>
      </c>
      <c r="F20" s="1">
        <v>0</v>
      </c>
      <c r="G20" s="1">
        <v>0</v>
      </c>
    </row>
    <row r="21" spans="1:7" x14ac:dyDescent="0.25">
      <c r="B21" s="1" t="s">
        <v>259</v>
      </c>
      <c r="C21" s="1">
        <v>157130</v>
      </c>
      <c r="D21" s="1">
        <v>8274</v>
      </c>
      <c r="E21" s="1">
        <f t="shared" si="0"/>
        <v>165404</v>
      </c>
      <c r="F21" s="1">
        <f>-D21</f>
        <v>-8274</v>
      </c>
      <c r="G21" s="1">
        <f>+E21+F21</f>
        <v>157130</v>
      </c>
    </row>
    <row r="22" spans="1:7" ht="18" x14ac:dyDescent="0.4">
      <c r="B22" s="47" t="s">
        <v>251</v>
      </c>
    </row>
    <row r="23" spans="1:7" x14ac:dyDescent="0.25">
      <c r="B23" s="1" t="s">
        <v>255</v>
      </c>
      <c r="C23" s="1">
        <v>124566</v>
      </c>
      <c r="D23" s="1">
        <v>6559</v>
      </c>
      <c r="E23" s="1">
        <f>+C23+D23</f>
        <v>131125</v>
      </c>
      <c r="F23" s="1">
        <f>-D23</f>
        <v>-6559</v>
      </c>
      <c r="G23" s="1">
        <f>+E23+F23</f>
        <v>124566</v>
      </c>
    </row>
    <row r="24" spans="1:7" x14ac:dyDescent="0.25">
      <c r="B24" s="1" t="s">
        <v>256</v>
      </c>
      <c r="C24" s="1">
        <v>1723439</v>
      </c>
      <c r="D24" s="1">
        <v>90749</v>
      </c>
      <c r="E24" s="1">
        <f>+C24+D24</f>
        <v>1814188</v>
      </c>
      <c r="F24" s="1">
        <f>-D24</f>
        <v>-90749</v>
      </c>
      <c r="G24" s="1">
        <f>+E24+F24</f>
        <v>1723439</v>
      </c>
    </row>
    <row r="25" spans="1:7" x14ac:dyDescent="0.25">
      <c r="B25" s="1" t="s">
        <v>259</v>
      </c>
      <c r="C25" s="7">
        <v>20245</v>
      </c>
      <c r="D25" s="7">
        <v>1066</v>
      </c>
      <c r="E25" s="7">
        <f>+C25+D25</f>
        <v>21311</v>
      </c>
      <c r="F25" s="7">
        <f>-D25</f>
        <v>-1066</v>
      </c>
      <c r="G25" s="7">
        <f>+E25+F25</f>
        <v>20245</v>
      </c>
    </row>
    <row r="26" spans="1:7" x14ac:dyDescent="0.25">
      <c r="B26" s="8" t="s">
        <v>238</v>
      </c>
      <c r="C26" s="31">
        <f>SUM(C14:C25)</f>
        <v>5058108</v>
      </c>
      <c r="D26" s="16">
        <f>SUM(D14:D25)</f>
        <v>266338</v>
      </c>
      <c r="E26" s="31">
        <f>SUM(E14:E25)</f>
        <v>5324446</v>
      </c>
      <c r="F26" s="16">
        <f>SUM(F14:F25)</f>
        <v>-266338</v>
      </c>
      <c r="G26" s="31">
        <f>SUM(G14:G25)</f>
        <v>5058108</v>
      </c>
    </row>
    <row r="30" spans="1:7" x14ac:dyDescent="0.25">
      <c r="A30" s="20" t="s">
        <v>2</v>
      </c>
      <c r="B30" s="1" t="s">
        <v>428</v>
      </c>
    </row>
  </sheetData>
  <pageMargins left="0.7" right="0.7" top="0.82062500000000005" bottom="0.75" header="0.3" footer="0.3"/>
  <pageSetup scale="78" orientation="landscape" horizontalDpi="0" verticalDpi="0" r:id="rId1"/>
  <headerFooter>
    <oddHeader>&amp;L&amp;"Arial Narrow,Bold"&amp;K03+022Rhode Island Energy - Electric 
Test Year August 31, 2025
Rate Year 1 - July 31, 2027&amp;C&amp;"Arial Narrow,Bold"&amp;K03+022RI Public Utilities Commission 
Docket No. 25-45-GE&amp;R&amp;"Arial Narrow,Bold"&amp;K03+022Schedule DM-32-Electric RY 1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4A7A5-7FF1-4753-9D76-633E6A32815F}">
  <sheetPr>
    <pageSetUpPr fitToPage="1"/>
  </sheetPr>
  <dimension ref="A2:H40"/>
  <sheetViews>
    <sheetView view="pageLayout" topLeftCell="A19" zoomScaleNormal="100" workbookViewId="0">
      <selection activeCell="E35" sqref="E35"/>
    </sheetView>
  </sheetViews>
  <sheetFormatPr defaultRowHeight="15.75" x14ac:dyDescent="0.25"/>
  <cols>
    <col min="1" max="1" width="6.7109375" style="2" customWidth="1"/>
    <col min="2" max="2" width="40.7109375" style="1" customWidth="1"/>
    <col min="3" max="7" width="18.7109375" style="1" customWidth="1"/>
    <col min="8" max="8" width="18.7109375" style="3" customWidth="1"/>
    <col min="9" max="11" width="18.7109375" style="1" customWidth="1"/>
    <col min="12" max="16384" width="9.140625" style="1"/>
  </cols>
  <sheetData>
    <row r="2" spans="2:8" x14ac:dyDescent="0.25">
      <c r="B2" s="5" t="s">
        <v>329</v>
      </c>
    </row>
    <row r="3" spans="2:8" x14ac:dyDescent="0.25">
      <c r="C3" s="6" t="s">
        <v>2</v>
      </c>
    </row>
    <row r="4" spans="2:8" x14ac:dyDescent="0.25">
      <c r="C4" s="4" t="s">
        <v>3</v>
      </c>
      <c r="D4" s="4"/>
      <c r="E4" s="4" t="s">
        <v>3</v>
      </c>
      <c r="F4" s="4"/>
      <c r="G4" s="4" t="s">
        <v>67</v>
      </c>
      <c r="H4" s="4"/>
    </row>
    <row r="5" spans="2:8" x14ac:dyDescent="0.25">
      <c r="C5" s="4" t="s">
        <v>262</v>
      </c>
      <c r="D5" s="4" t="s">
        <v>264</v>
      </c>
      <c r="E5" s="4" t="s">
        <v>263</v>
      </c>
      <c r="F5" s="4"/>
      <c r="G5" s="4" t="s">
        <v>282</v>
      </c>
      <c r="H5" s="4"/>
    </row>
    <row r="6" spans="2:8" x14ac:dyDescent="0.25">
      <c r="C6" s="5" t="s">
        <v>72</v>
      </c>
      <c r="D6" s="5" t="s">
        <v>5</v>
      </c>
      <c r="E6" s="5" t="s">
        <v>72</v>
      </c>
      <c r="F6" s="5" t="s">
        <v>5</v>
      </c>
      <c r="G6" s="5" t="s">
        <v>68</v>
      </c>
      <c r="H6" s="5" t="s">
        <v>12</v>
      </c>
    </row>
    <row r="8" spans="2:8" x14ac:dyDescent="0.25">
      <c r="B8" s="1" t="s">
        <v>271</v>
      </c>
      <c r="C8" s="1">
        <v>0</v>
      </c>
      <c r="D8" s="1">
        <v>2000962</v>
      </c>
      <c r="E8" s="1">
        <f>+C8+D8</f>
        <v>2000962</v>
      </c>
      <c r="F8" s="1">
        <f>+G8-E8</f>
        <v>-166702</v>
      </c>
      <c r="G8" s="1">
        <v>1834260</v>
      </c>
    </row>
    <row r="9" spans="2:8" x14ac:dyDescent="0.25">
      <c r="B9" s="1" t="s">
        <v>272</v>
      </c>
      <c r="C9" s="1">
        <v>0</v>
      </c>
      <c r="D9" s="1">
        <v>0</v>
      </c>
      <c r="E9" s="1">
        <f>+C9+D9</f>
        <v>0</v>
      </c>
    </row>
    <row r="10" spans="2:8" x14ac:dyDescent="0.25">
      <c r="B10" s="1" t="s">
        <v>250</v>
      </c>
      <c r="C10" s="7">
        <v>0</v>
      </c>
      <c r="D10" s="7">
        <v>0</v>
      </c>
      <c r="E10" s="7">
        <f>+C10+D10</f>
        <v>0</v>
      </c>
      <c r="F10" s="7"/>
      <c r="G10" s="7"/>
    </row>
    <row r="11" spans="2:8" x14ac:dyDescent="0.25">
      <c r="B11" s="8" t="s">
        <v>238</v>
      </c>
      <c r="C11" s="31">
        <f>+C8+C9+C10</f>
        <v>0</v>
      </c>
      <c r="D11" s="16">
        <f>+D8+D9+D10</f>
        <v>2000962</v>
      </c>
      <c r="E11" s="31">
        <f>+E8+E9+E10</f>
        <v>2000962</v>
      </c>
      <c r="F11" s="16">
        <f>+G11-E11</f>
        <v>-111654.60071599996</v>
      </c>
      <c r="G11" s="31">
        <f>+G38</f>
        <v>1889307.399284</v>
      </c>
      <c r="H11" s="3" t="s">
        <v>467</v>
      </c>
    </row>
    <row r="12" spans="2:8" x14ac:dyDescent="0.25">
      <c r="B12" s="8"/>
      <c r="H12" s="3" t="s">
        <v>468</v>
      </c>
    </row>
    <row r="13" spans="2:8" ht="18" x14ac:dyDescent="0.4">
      <c r="B13" s="47" t="s">
        <v>249</v>
      </c>
    </row>
    <row r="14" spans="2:8" x14ac:dyDescent="0.25">
      <c r="B14" s="48" t="s">
        <v>273</v>
      </c>
      <c r="C14" s="1">
        <v>0</v>
      </c>
      <c r="D14" s="1">
        <v>0</v>
      </c>
      <c r="E14" s="1">
        <f t="shared" ref="E14:E21" si="0">+C14+D14</f>
        <v>0</v>
      </c>
    </row>
    <row r="15" spans="2:8" x14ac:dyDescent="0.25">
      <c r="B15" s="1" t="s">
        <v>131</v>
      </c>
      <c r="C15" s="1">
        <v>0</v>
      </c>
      <c r="D15" s="1">
        <v>0</v>
      </c>
      <c r="E15" s="1">
        <f t="shared" si="0"/>
        <v>0</v>
      </c>
    </row>
    <row r="16" spans="2:8" x14ac:dyDescent="0.25">
      <c r="B16" s="1" t="s">
        <v>321</v>
      </c>
      <c r="C16" s="1">
        <v>0</v>
      </c>
      <c r="D16" s="1">
        <v>0</v>
      </c>
      <c r="E16" s="1">
        <f t="shared" si="0"/>
        <v>0</v>
      </c>
    </row>
    <row r="17" spans="2:7" x14ac:dyDescent="0.25">
      <c r="B17" s="1" t="s">
        <v>274</v>
      </c>
      <c r="C17" s="1">
        <v>0</v>
      </c>
      <c r="D17" s="1">
        <v>0</v>
      </c>
      <c r="E17" s="1">
        <f t="shared" si="0"/>
        <v>0</v>
      </c>
    </row>
    <row r="18" spans="2:7" x14ac:dyDescent="0.25">
      <c r="B18" s="1" t="s">
        <v>275</v>
      </c>
      <c r="C18" s="1">
        <v>0</v>
      </c>
      <c r="D18" s="1">
        <v>0</v>
      </c>
      <c r="E18" s="1">
        <f t="shared" si="0"/>
        <v>0</v>
      </c>
    </row>
    <row r="19" spans="2:7" x14ac:dyDescent="0.25">
      <c r="B19" s="1" t="s">
        <v>276</v>
      </c>
      <c r="C19" s="1">
        <v>0</v>
      </c>
      <c r="D19" s="1">
        <v>0</v>
      </c>
      <c r="E19" s="1">
        <f t="shared" si="0"/>
        <v>0</v>
      </c>
    </row>
    <row r="20" spans="2:7" x14ac:dyDescent="0.25">
      <c r="B20" s="1" t="s">
        <v>277</v>
      </c>
      <c r="C20" s="1">
        <v>0</v>
      </c>
      <c r="D20" s="1">
        <v>0</v>
      </c>
      <c r="E20" s="1">
        <f t="shared" si="0"/>
        <v>0</v>
      </c>
    </row>
    <row r="21" spans="2:7" x14ac:dyDescent="0.25">
      <c r="B21" s="1" t="s">
        <v>278</v>
      </c>
      <c r="C21" s="1">
        <v>0</v>
      </c>
      <c r="D21" s="1">
        <v>0</v>
      </c>
      <c r="E21" s="1">
        <f t="shared" si="0"/>
        <v>0</v>
      </c>
    </row>
    <row r="22" spans="2:7" ht="18" x14ac:dyDescent="0.4">
      <c r="B22" s="47" t="s">
        <v>251</v>
      </c>
    </row>
    <row r="23" spans="2:7" x14ac:dyDescent="0.25">
      <c r="B23" s="1" t="s">
        <v>131</v>
      </c>
      <c r="C23" s="1">
        <v>0</v>
      </c>
      <c r="D23" s="1">
        <v>0</v>
      </c>
      <c r="E23" s="1">
        <f>+C23+D23</f>
        <v>0</v>
      </c>
    </row>
    <row r="24" spans="2:7" x14ac:dyDescent="0.25">
      <c r="B24" s="1" t="s">
        <v>274</v>
      </c>
      <c r="C24" s="1">
        <v>0</v>
      </c>
    </row>
    <row r="25" spans="2:7" x14ac:dyDescent="0.25">
      <c r="B25" s="1" t="s">
        <v>278</v>
      </c>
      <c r="C25" s="7">
        <v>0</v>
      </c>
      <c r="D25" s="1">
        <v>2000962</v>
      </c>
      <c r="E25" s="1">
        <f>+C24+D25</f>
        <v>2000962</v>
      </c>
      <c r="F25" s="7">
        <f>+G25-E25</f>
        <v>-166702</v>
      </c>
      <c r="G25" s="7">
        <v>1834260</v>
      </c>
    </row>
    <row r="26" spans="2:7" x14ac:dyDescent="0.25">
      <c r="B26" s="8" t="s">
        <v>238</v>
      </c>
      <c r="C26" s="31">
        <f>SUM(C14:C25)</f>
        <v>0</v>
      </c>
      <c r="D26" s="16">
        <f>SUM(D14:D25)</f>
        <v>2000962</v>
      </c>
      <c r="E26" s="31">
        <f>SUM(E14:E25)</f>
        <v>2000962</v>
      </c>
      <c r="F26" s="16">
        <f>+G26-E26</f>
        <v>-111654.60071599996</v>
      </c>
      <c r="G26" s="31">
        <f>+G11</f>
        <v>1889307.399284</v>
      </c>
    </row>
    <row r="27" spans="2:7" x14ac:dyDescent="0.25">
      <c r="C27" s="26"/>
      <c r="D27" s="26"/>
      <c r="E27" s="26"/>
      <c r="F27" s="26"/>
      <c r="G27" s="26"/>
    </row>
    <row r="28" spans="2:7" x14ac:dyDescent="0.25">
      <c r="C28" s="55" t="s">
        <v>472</v>
      </c>
      <c r="D28" s="55" t="s">
        <v>470</v>
      </c>
      <c r="E28" s="55" t="s">
        <v>469</v>
      </c>
      <c r="F28" s="55" t="s">
        <v>471</v>
      </c>
      <c r="G28" s="55" t="s">
        <v>473</v>
      </c>
    </row>
    <row r="29" spans="2:7" x14ac:dyDescent="0.25">
      <c r="B29" s="1" t="s">
        <v>464</v>
      </c>
      <c r="C29" s="1">
        <f>15304*12</f>
        <v>183648</v>
      </c>
      <c r="D29" s="1">
        <v>290155</v>
      </c>
      <c r="E29" s="56">
        <v>9.8100000000000007E-2</v>
      </c>
      <c r="F29" s="1">
        <f>+D29*E29</f>
        <v>28464.205500000004</v>
      </c>
      <c r="G29" s="1">
        <f>+C29+F29</f>
        <v>212112.20550000001</v>
      </c>
    </row>
    <row r="30" spans="2:7" x14ac:dyDescent="0.25">
      <c r="B30" s="1" t="s">
        <v>465</v>
      </c>
      <c r="C30" s="1">
        <f>10018*12</f>
        <v>120216</v>
      </c>
      <c r="D30" s="1">
        <v>427364</v>
      </c>
      <c r="E30" s="56">
        <v>9.8100000000000007E-2</v>
      </c>
      <c r="F30" s="1">
        <f>+D30*E30</f>
        <v>41924.4084</v>
      </c>
      <c r="G30" s="1">
        <f>+C30+F30</f>
        <v>162140.40840000001</v>
      </c>
    </row>
    <row r="31" spans="2:7" x14ac:dyDescent="0.25">
      <c r="B31" s="1" t="s">
        <v>466</v>
      </c>
      <c r="C31" s="7">
        <f>87883*12</f>
        <v>1054596</v>
      </c>
      <c r="D31" s="7">
        <v>5831948</v>
      </c>
      <c r="E31" s="57">
        <v>9.8100000000000007E-2</v>
      </c>
      <c r="F31" s="7">
        <f>+D31*E31</f>
        <v>572114.09880000004</v>
      </c>
      <c r="G31" s="7">
        <f>+C31+F31</f>
        <v>1626710.0988</v>
      </c>
    </row>
    <row r="32" spans="2:7" x14ac:dyDescent="0.25">
      <c r="B32" s="8" t="s">
        <v>238</v>
      </c>
      <c r="C32" s="1">
        <v>0</v>
      </c>
      <c r="D32" s="1">
        <v>0</v>
      </c>
      <c r="E32" s="1">
        <v>0</v>
      </c>
      <c r="G32" s="8">
        <f>SUM(G29:G31)</f>
        <v>2000962.7127</v>
      </c>
    </row>
    <row r="34" spans="1:7" x14ac:dyDescent="0.25">
      <c r="A34" s="1"/>
      <c r="B34" s="1" t="s">
        <v>474</v>
      </c>
    </row>
    <row r="35" spans="1:7" x14ac:dyDescent="0.25">
      <c r="B35" s="1" t="s">
        <v>464</v>
      </c>
      <c r="C35" s="1">
        <f t="shared" ref="C35:D37" si="1">+C29</f>
        <v>183648</v>
      </c>
      <c r="D35" s="1">
        <f t="shared" si="1"/>
        <v>290155</v>
      </c>
      <c r="E35" s="22">
        <f>+'Rate of Return'!D25</f>
        <v>8.1051999999999999E-2</v>
      </c>
      <c r="F35" s="1">
        <f>+D35*E35</f>
        <v>23517.643059999999</v>
      </c>
      <c r="G35" s="1">
        <f>+C35+F35</f>
        <v>207165.64306</v>
      </c>
    </row>
    <row r="36" spans="1:7" x14ac:dyDescent="0.25">
      <c r="B36" s="1" t="s">
        <v>477</v>
      </c>
      <c r="C36" s="1">
        <f t="shared" si="1"/>
        <v>120216</v>
      </c>
      <c r="D36" s="1">
        <f t="shared" si="1"/>
        <v>427364</v>
      </c>
      <c r="E36" s="22">
        <f>+E35</f>
        <v>8.1051999999999999E-2</v>
      </c>
      <c r="F36" s="1">
        <f>+D36*E36</f>
        <v>34638.706928</v>
      </c>
      <c r="G36" s="1">
        <f>+C36+F36</f>
        <v>154854.706928</v>
      </c>
    </row>
    <row r="37" spans="1:7" x14ac:dyDescent="0.25">
      <c r="B37" s="1" t="s">
        <v>466</v>
      </c>
      <c r="C37" s="7">
        <f t="shared" si="1"/>
        <v>1054596</v>
      </c>
      <c r="D37" s="7">
        <f t="shared" si="1"/>
        <v>5831948</v>
      </c>
      <c r="E37" s="23">
        <f>+E36</f>
        <v>8.1051999999999999E-2</v>
      </c>
      <c r="F37" s="7">
        <f>+D37*E37</f>
        <v>472691.04929599998</v>
      </c>
      <c r="G37" s="7">
        <f>+C37+F37</f>
        <v>1527287.049296</v>
      </c>
    </row>
    <row r="38" spans="1:7" x14ac:dyDescent="0.25">
      <c r="B38" s="1" t="s">
        <v>238</v>
      </c>
      <c r="C38" s="1">
        <f>SUM(C35:C37)</f>
        <v>1358460</v>
      </c>
      <c r="G38" s="59">
        <f>SUM(G35:G37)</f>
        <v>1889307.399284</v>
      </c>
    </row>
    <row r="40" spans="1:7" x14ac:dyDescent="0.25">
      <c r="A40" s="20" t="s">
        <v>2</v>
      </c>
      <c r="B40" s="1" t="s">
        <v>330</v>
      </c>
    </row>
  </sheetData>
  <pageMargins left="0.7" right="0.7" top="0.84499999999999997" bottom="0.75" header="0.3" footer="0.3"/>
  <pageSetup scale="78" orientation="landscape" horizontalDpi="0" verticalDpi="0" r:id="rId1"/>
  <headerFooter>
    <oddHeader>&amp;L&amp;"Arial Narrow,Bold"&amp;K03+022Rhode Island Energy - Electric 
Test Year August 31, 2025
Rate Year 1 - July 1, 2027&amp;C&amp;"Arial Narrow,Bold"&amp;K03+023RI Public Utilities Commission 
Docket No. 25-45-GE&amp;R&amp;"Arial Narrow,Bold"&amp;K03+023Schedule DM-33-Electric RY 1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79A7D-AB77-4077-845F-5104BBE66F2D}">
  <sheetPr>
    <pageSetUpPr fitToPage="1"/>
  </sheetPr>
  <dimension ref="A2:H30"/>
  <sheetViews>
    <sheetView view="pageLayout" topLeftCell="C5" zoomScaleNormal="100" workbookViewId="0">
      <selection activeCell="G19" sqref="G19"/>
    </sheetView>
  </sheetViews>
  <sheetFormatPr defaultRowHeight="15.75" x14ac:dyDescent="0.25"/>
  <cols>
    <col min="1" max="1" width="6.7109375" style="2" customWidth="1"/>
    <col min="2" max="2" width="40.7109375" style="1" customWidth="1"/>
    <col min="3" max="7" width="18.7109375" style="1" customWidth="1"/>
    <col min="8" max="8" width="18.7109375" style="3" customWidth="1"/>
    <col min="9" max="11" width="18.7109375" style="1" customWidth="1"/>
    <col min="12" max="16384" width="9.140625" style="1"/>
  </cols>
  <sheetData>
    <row r="2" spans="2:8" x14ac:dyDescent="0.25">
      <c r="B2" s="5" t="s">
        <v>331</v>
      </c>
    </row>
    <row r="3" spans="2:8" x14ac:dyDescent="0.25">
      <c r="C3" s="6" t="s">
        <v>2</v>
      </c>
    </row>
    <row r="4" spans="2:8" x14ac:dyDescent="0.25">
      <c r="C4" s="4" t="s">
        <v>3</v>
      </c>
      <c r="D4" s="4"/>
      <c r="E4" s="4" t="s">
        <v>3</v>
      </c>
      <c r="F4" s="4"/>
      <c r="G4" s="4" t="s">
        <v>67</v>
      </c>
      <c r="H4" s="4"/>
    </row>
    <row r="5" spans="2:8" x14ac:dyDescent="0.25">
      <c r="C5" s="4" t="s">
        <v>262</v>
      </c>
      <c r="D5" s="4" t="s">
        <v>264</v>
      </c>
      <c r="E5" s="4" t="s">
        <v>263</v>
      </c>
      <c r="F5" s="4"/>
      <c r="G5" s="4" t="s">
        <v>282</v>
      </c>
      <c r="H5" s="4"/>
    </row>
    <row r="6" spans="2:8" x14ac:dyDescent="0.25">
      <c r="C6" s="5" t="s">
        <v>72</v>
      </c>
      <c r="D6" s="5" t="s">
        <v>5</v>
      </c>
      <c r="E6" s="5" t="s">
        <v>72</v>
      </c>
      <c r="F6" s="5" t="s">
        <v>5</v>
      </c>
      <c r="G6" s="5" t="s">
        <v>68</v>
      </c>
      <c r="H6" s="5" t="s">
        <v>12</v>
      </c>
    </row>
    <row r="8" spans="2:8" x14ac:dyDescent="0.25">
      <c r="B8" s="1" t="s">
        <v>252</v>
      </c>
      <c r="C8" s="1">
        <v>9474</v>
      </c>
      <c r="D8" s="1">
        <v>499</v>
      </c>
      <c r="E8" s="1">
        <f>+C8+D8</f>
        <v>9973</v>
      </c>
      <c r="F8" s="1">
        <f>-D8</f>
        <v>-499</v>
      </c>
      <c r="G8" s="1">
        <f>+E8+F8</f>
        <v>9474</v>
      </c>
    </row>
    <row r="9" spans="2:8" x14ac:dyDescent="0.25">
      <c r="B9" s="1" t="s">
        <v>253</v>
      </c>
      <c r="C9" s="1">
        <v>0</v>
      </c>
      <c r="D9" s="1">
        <v>0</v>
      </c>
      <c r="E9" s="1">
        <f>+C9+D9</f>
        <v>0</v>
      </c>
      <c r="F9" s="1">
        <v>0</v>
      </c>
      <c r="G9" s="1">
        <v>0</v>
      </c>
    </row>
    <row r="10" spans="2:8" x14ac:dyDescent="0.25">
      <c r="B10" s="1" t="s">
        <v>265</v>
      </c>
      <c r="C10" s="7">
        <v>0</v>
      </c>
      <c r="D10" s="7">
        <v>0</v>
      </c>
      <c r="E10" s="7">
        <f>+C10+D10</f>
        <v>0</v>
      </c>
      <c r="F10" s="7">
        <v>0</v>
      </c>
      <c r="G10" s="7">
        <v>0</v>
      </c>
    </row>
    <row r="11" spans="2:8" x14ac:dyDescent="0.25">
      <c r="B11" s="8" t="s">
        <v>238</v>
      </c>
      <c r="C11" s="31">
        <f>+C8+C9+C10</f>
        <v>9474</v>
      </c>
      <c r="D11" s="16">
        <f>+D8+D9+D10</f>
        <v>499</v>
      </c>
      <c r="E11" s="31">
        <f>+E8+E9+E10</f>
        <v>9973</v>
      </c>
      <c r="F11" s="16">
        <f>SUM(F8:F10)</f>
        <v>-499</v>
      </c>
      <c r="G11" s="31">
        <f>+G8</f>
        <v>9474</v>
      </c>
      <c r="H11" s="3" t="s">
        <v>478</v>
      </c>
    </row>
    <row r="12" spans="2:8" x14ac:dyDescent="0.25">
      <c r="B12" s="8"/>
    </row>
    <row r="13" spans="2:8" ht="18" x14ac:dyDescent="0.4">
      <c r="B13" s="47" t="s">
        <v>249</v>
      </c>
    </row>
    <row r="14" spans="2:8" x14ac:dyDescent="0.25">
      <c r="B14" s="48" t="s">
        <v>266</v>
      </c>
      <c r="C14" s="1">
        <v>0</v>
      </c>
      <c r="D14" s="1">
        <v>0</v>
      </c>
      <c r="E14" s="1">
        <f t="shared" ref="E14:E21" si="0">+C14+D14</f>
        <v>0</v>
      </c>
      <c r="F14" s="1">
        <v>0</v>
      </c>
      <c r="G14" s="1">
        <v>0</v>
      </c>
    </row>
    <row r="15" spans="2:8" x14ac:dyDescent="0.25">
      <c r="B15" s="1" t="s">
        <v>255</v>
      </c>
      <c r="C15" s="1">
        <v>0</v>
      </c>
      <c r="D15" s="1">
        <v>0</v>
      </c>
      <c r="E15" s="1">
        <f t="shared" si="0"/>
        <v>0</v>
      </c>
      <c r="F15" s="1">
        <v>0</v>
      </c>
      <c r="G15" s="1">
        <v>0</v>
      </c>
    </row>
    <row r="16" spans="2:8" x14ac:dyDescent="0.25">
      <c r="B16" s="1" t="s">
        <v>321</v>
      </c>
      <c r="C16" s="1">
        <v>0</v>
      </c>
      <c r="D16" s="1">
        <v>0</v>
      </c>
      <c r="E16" s="1">
        <f t="shared" si="0"/>
        <v>0</v>
      </c>
      <c r="F16" s="1">
        <v>0</v>
      </c>
      <c r="G16" s="1">
        <v>0</v>
      </c>
    </row>
    <row r="17" spans="1:7" x14ac:dyDescent="0.25">
      <c r="B17" s="1" t="s">
        <v>256</v>
      </c>
      <c r="C17" s="1">
        <v>1600</v>
      </c>
      <c r="D17" s="1">
        <v>84</v>
      </c>
      <c r="E17" s="1">
        <f t="shared" si="0"/>
        <v>1684</v>
      </c>
      <c r="F17" s="1">
        <f>-D17</f>
        <v>-84</v>
      </c>
      <c r="G17" s="1">
        <f>+E17+F17</f>
        <v>1600</v>
      </c>
    </row>
    <row r="18" spans="1:7" x14ac:dyDescent="0.25">
      <c r="B18" s="1" t="s">
        <v>257</v>
      </c>
      <c r="C18" s="1">
        <v>0</v>
      </c>
      <c r="D18" s="1">
        <v>0</v>
      </c>
      <c r="E18" s="1">
        <f t="shared" si="0"/>
        <v>0</v>
      </c>
      <c r="F18" s="1">
        <v>0</v>
      </c>
      <c r="G18" s="1">
        <v>0</v>
      </c>
    </row>
    <row r="19" spans="1:7" x14ac:dyDescent="0.25">
      <c r="B19" s="1" t="s">
        <v>258</v>
      </c>
      <c r="C19" s="1">
        <v>0</v>
      </c>
      <c r="D19" s="1">
        <v>0</v>
      </c>
      <c r="E19" s="1">
        <f t="shared" si="0"/>
        <v>0</v>
      </c>
      <c r="F19" s="1">
        <v>0</v>
      </c>
      <c r="G19" s="1">
        <v>0</v>
      </c>
    </row>
    <row r="20" spans="1:7" x14ac:dyDescent="0.25">
      <c r="B20" s="1" t="s">
        <v>267</v>
      </c>
      <c r="C20" s="1">
        <v>0</v>
      </c>
      <c r="D20" s="1">
        <v>0</v>
      </c>
      <c r="E20" s="1">
        <f t="shared" si="0"/>
        <v>0</v>
      </c>
      <c r="F20" s="1">
        <v>0</v>
      </c>
      <c r="G20" s="1">
        <v>0</v>
      </c>
    </row>
    <row r="21" spans="1:7" x14ac:dyDescent="0.25">
      <c r="B21" s="1" t="s">
        <v>259</v>
      </c>
      <c r="C21" s="1">
        <v>0</v>
      </c>
      <c r="D21" s="1">
        <v>0</v>
      </c>
      <c r="E21" s="1">
        <f t="shared" si="0"/>
        <v>0</v>
      </c>
      <c r="F21" s="1">
        <v>0</v>
      </c>
      <c r="G21" s="1">
        <v>0</v>
      </c>
    </row>
    <row r="22" spans="1:7" ht="18" x14ac:dyDescent="0.4">
      <c r="B22" s="47" t="s">
        <v>251</v>
      </c>
    </row>
    <row r="23" spans="1:7" x14ac:dyDescent="0.25">
      <c r="B23" s="1" t="s">
        <v>255</v>
      </c>
      <c r="C23" s="1">
        <v>0</v>
      </c>
      <c r="D23" s="1">
        <v>0</v>
      </c>
      <c r="E23" s="1">
        <f>+C23+D23</f>
        <v>0</v>
      </c>
      <c r="F23" s="1">
        <v>0</v>
      </c>
      <c r="G23" s="1">
        <v>0</v>
      </c>
    </row>
    <row r="24" spans="1:7" x14ac:dyDescent="0.25">
      <c r="B24" s="1" t="s">
        <v>256</v>
      </c>
      <c r="C24" s="1">
        <v>7873</v>
      </c>
      <c r="D24" s="1">
        <v>415</v>
      </c>
      <c r="E24" s="1">
        <f>+C24+D24</f>
        <v>8288</v>
      </c>
      <c r="F24" s="1">
        <f>-D24</f>
        <v>-415</v>
      </c>
      <c r="G24" s="1">
        <f>+E24+F24</f>
        <v>7873</v>
      </c>
    </row>
    <row r="25" spans="1:7" x14ac:dyDescent="0.25">
      <c r="B25" s="1" t="s">
        <v>259</v>
      </c>
      <c r="C25" s="7">
        <v>0</v>
      </c>
      <c r="D25" s="7">
        <v>0</v>
      </c>
      <c r="E25" s="7">
        <f>+C25+D25</f>
        <v>0</v>
      </c>
      <c r="F25" s="7">
        <v>0</v>
      </c>
      <c r="G25" s="7">
        <v>0</v>
      </c>
    </row>
    <row r="26" spans="1:7" x14ac:dyDescent="0.25">
      <c r="B26" s="8" t="s">
        <v>238</v>
      </c>
      <c r="C26" s="31">
        <f>SUM(C14:C25)</f>
        <v>9473</v>
      </c>
      <c r="D26" s="16">
        <f>SUM(D14:D25)</f>
        <v>499</v>
      </c>
      <c r="E26" s="31">
        <f>SUM(E14:E25)</f>
        <v>9972</v>
      </c>
      <c r="F26" s="16">
        <f>SUM(F14:F25)</f>
        <v>-499</v>
      </c>
      <c r="G26" s="31">
        <f>SUM(G14:G25)</f>
        <v>9473</v>
      </c>
    </row>
    <row r="30" spans="1:7" x14ac:dyDescent="0.25">
      <c r="A30" s="20" t="s">
        <v>2</v>
      </c>
      <c r="B30" s="1" t="s">
        <v>332</v>
      </c>
    </row>
  </sheetData>
  <pageMargins left="0.7" right="0.7" top="0.85312500000000002" bottom="0.75" header="0.3" footer="0.3"/>
  <pageSetup scale="78" orientation="landscape" horizontalDpi="0" verticalDpi="0" r:id="rId1"/>
  <headerFooter>
    <oddHeader>&amp;L&amp;"Arial Narrow,Bold"&amp;K03+020Rhode Island Energy - Electric 
Test Year August 31, 2025
Rate Year 1 - July 31, 2027&amp;C&amp;"Arial Narrow,Bold"&amp;K03+021RI Public Utilities Commission 
Docket No. 25-45-GE&amp;R&amp;"Arial Narrow,Bold"&amp;K03+022Schedule DM-34-Electric RY 1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C5D2A-34CF-4726-A8AA-443559272903}">
  <sheetPr>
    <pageSetUpPr fitToPage="1"/>
  </sheetPr>
  <dimension ref="A2:H29"/>
  <sheetViews>
    <sheetView view="pageLayout" topLeftCell="C5" zoomScaleNormal="100" workbookViewId="0">
      <selection activeCell="F22" sqref="F22"/>
    </sheetView>
  </sheetViews>
  <sheetFormatPr defaultRowHeight="15.75" x14ac:dyDescent="0.25"/>
  <cols>
    <col min="1" max="1" width="6.7109375" style="2" customWidth="1"/>
    <col min="2" max="2" width="40.7109375" style="1" customWidth="1"/>
    <col min="3" max="7" width="18.7109375" style="1" customWidth="1"/>
    <col min="8" max="8" width="18.7109375" style="3" customWidth="1"/>
    <col min="9" max="11" width="18.7109375" style="1" customWidth="1"/>
    <col min="12" max="16384" width="9.140625" style="1"/>
  </cols>
  <sheetData>
    <row r="2" spans="2:8" x14ac:dyDescent="0.25">
      <c r="B2" s="5" t="s">
        <v>333</v>
      </c>
    </row>
    <row r="3" spans="2:8" x14ac:dyDescent="0.25">
      <c r="C3" s="6" t="s">
        <v>2</v>
      </c>
    </row>
    <row r="4" spans="2:8" x14ac:dyDescent="0.25">
      <c r="C4" s="4" t="s">
        <v>3</v>
      </c>
      <c r="D4" s="4"/>
      <c r="E4" s="4" t="s">
        <v>3</v>
      </c>
      <c r="F4" s="4"/>
      <c r="G4" s="4" t="s">
        <v>67</v>
      </c>
      <c r="H4" s="4"/>
    </row>
    <row r="5" spans="2:8" x14ac:dyDescent="0.25">
      <c r="C5" s="4" t="s">
        <v>262</v>
      </c>
      <c r="D5" s="4" t="s">
        <v>264</v>
      </c>
      <c r="E5" s="4" t="s">
        <v>263</v>
      </c>
      <c r="F5" s="4"/>
      <c r="G5" s="4" t="s">
        <v>282</v>
      </c>
      <c r="H5" s="4"/>
    </row>
    <row r="6" spans="2:8" x14ac:dyDescent="0.25">
      <c r="C6" s="5" t="s">
        <v>72</v>
      </c>
      <c r="D6" s="5" t="s">
        <v>5</v>
      </c>
      <c r="E6" s="5" t="s">
        <v>72</v>
      </c>
      <c r="F6" s="5" t="s">
        <v>5</v>
      </c>
      <c r="G6" s="5" t="s">
        <v>68</v>
      </c>
      <c r="H6" s="5" t="s">
        <v>12</v>
      </c>
    </row>
    <row r="8" spans="2:8" x14ac:dyDescent="0.25">
      <c r="B8" s="1" t="s">
        <v>334</v>
      </c>
      <c r="C8" s="1">
        <v>336217</v>
      </c>
      <c r="D8" s="1">
        <v>11801</v>
      </c>
      <c r="E8" s="1">
        <f>+C8+D8</f>
        <v>348018</v>
      </c>
      <c r="F8" s="1">
        <f>-D8</f>
        <v>-11801</v>
      </c>
      <c r="G8" s="1">
        <f>+E8+F8</f>
        <v>336217</v>
      </c>
    </row>
    <row r="9" spans="2:8" x14ac:dyDescent="0.25">
      <c r="B9" s="1" t="s">
        <v>335</v>
      </c>
      <c r="C9" s="1">
        <v>1659044</v>
      </c>
      <c r="D9" s="1">
        <v>58232</v>
      </c>
      <c r="E9" s="1">
        <f>+C9+D9</f>
        <v>1717276</v>
      </c>
      <c r="F9" s="1">
        <f>-D9</f>
        <v>-58232</v>
      </c>
      <c r="G9" s="1">
        <f>+E9+F9</f>
        <v>1659044</v>
      </c>
    </row>
    <row r="10" spans="2:8" x14ac:dyDescent="0.25">
      <c r="B10" s="1" t="s">
        <v>336</v>
      </c>
      <c r="C10" s="7">
        <v>100919</v>
      </c>
      <c r="D10" s="7">
        <v>3542</v>
      </c>
      <c r="E10" s="7">
        <f>+C10+D10</f>
        <v>104461</v>
      </c>
      <c r="F10" s="7">
        <f>-D10</f>
        <v>-3542</v>
      </c>
      <c r="G10" s="7">
        <f>+E10+F10</f>
        <v>100919</v>
      </c>
    </row>
    <row r="11" spans="2:8" x14ac:dyDescent="0.25">
      <c r="B11" s="8" t="s">
        <v>238</v>
      </c>
      <c r="C11" s="31">
        <f>+C8+C9+C10</f>
        <v>2096180</v>
      </c>
      <c r="D11" s="16">
        <f>+D8+D9+D10</f>
        <v>73575</v>
      </c>
      <c r="E11" s="31">
        <f>+E8+E9+E10</f>
        <v>2169755</v>
      </c>
      <c r="F11" s="16">
        <f>SUM(F8:F10)</f>
        <v>-73575</v>
      </c>
      <c r="G11" s="31">
        <f>SUM(G8:G10)</f>
        <v>2096180</v>
      </c>
      <c r="H11" s="3" t="s">
        <v>479</v>
      </c>
    </row>
    <row r="12" spans="2:8" x14ac:dyDescent="0.25">
      <c r="B12" s="8"/>
    </row>
    <row r="13" spans="2:8" ht="18" x14ac:dyDescent="0.4">
      <c r="B13" s="47" t="s">
        <v>249</v>
      </c>
    </row>
    <row r="14" spans="2:8" x14ac:dyDescent="0.25">
      <c r="B14" s="48" t="s">
        <v>337</v>
      </c>
      <c r="C14" s="1">
        <v>0</v>
      </c>
      <c r="D14" s="1">
        <v>0</v>
      </c>
      <c r="E14" s="1">
        <f t="shared" ref="E14:E21" si="0">+C14+D14</f>
        <v>0</v>
      </c>
    </row>
    <row r="15" spans="2:8" x14ac:dyDescent="0.25">
      <c r="B15" s="1" t="s">
        <v>338</v>
      </c>
      <c r="C15" s="1">
        <v>68393</v>
      </c>
      <c r="D15" s="1">
        <v>0</v>
      </c>
      <c r="E15" s="1">
        <f t="shared" si="0"/>
        <v>68393</v>
      </c>
      <c r="F15" s="1">
        <v>0</v>
      </c>
      <c r="G15" s="1">
        <f>+E15+F15</f>
        <v>68393</v>
      </c>
    </row>
    <row r="16" spans="2:8" x14ac:dyDescent="0.25">
      <c r="B16" s="1" t="s">
        <v>321</v>
      </c>
      <c r="C16" s="1">
        <v>0</v>
      </c>
      <c r="D16" s="1">
        <v>0</v>
      </c>
      <c r="E16" s="1">
        <f t="shared" si="0"/>
        <v>0</v>
      </c>
      <c r="F16" s="1">
        <v>0</v>
      </c>
      <c r="G16" s="1">
        <v>0</v>
      </c>
    </row>
    <row r="17" spans="1:7" x14ac:dyDescent="0.25">
      <c r="B17" s="1" t="s">
        <v>339</v>
      </c>
      <c r="C17" s="1">
        <v>-594019</v>
      </c>
      <c r="D17" s="1">
        <v>0</v>
      </c>
      <c r="E17" s="1">
        <f t="shared" si="0"/>
        <v>-594019</v>
      </c>
      <c r="F17" s="1">
        <v>0</v>
      </c>
      <c r="G17" s="1">
        <f>+E17+F17</f>
        <v>-594019</v>
      </c>
    </row>
    <row r="18" spans="1:7" x14ac:dyDescent="0.25">
      <c r="B18" s="1" t="s">
        <v>340</v>
      </c>
      <c r="C18" s="1">
        <v>-24744</v>
      </c>
      <c r="D18" s="1">
        <v>0</v>
      </c>
      <c r="E18" s="1">
        <f t="shared" si="0"/>
        <v>-24744</v>
      </c>
      <c r="F18" s="1">
        <v>0</v>
      </c>
      <c r="G18" s="1">
        <f>+E18+F18</f>
        <v>-24744</v>
      </c>
    </row>
    <row r="19" spans="1:7" x14ac:dyDescent="0.25">
      <c r="B19" s="1" t="s">
        <v>341</v>
      </c>
      <c r="C19" s="1">
        <v>-40835</v>
      </c>
      <c r="D19" s="1">
        <v>0</v>
      </c>
      <c r="E19" s="1">
        <f t="shared" si="0"/>
        <v>-40835</v>
      </c>
      <c r="F19" s="1">
        <v>0</v>
      </c>
      <c r="G19" s="1">
        <f>+E19+F19</f>
        <v>-40835</v>
      </c>
    </row>
    <row r="20" spans="1:7" x14ac:dyDescent="0.25">
      <c r="B20" s="1" t="s">
        <v>342</v>
      </c>
      <c r="C20" s="1">
        <v>0</v>
      </c>
      <c r="D20" s="1">
        <v>0</v>
      </c>
      <c r="E20" s="1">
        <f t="shared" si="0"/>
        <v>0</v>
      </c>
      <c r="F20" s="1">
        <v>0</v>
      </c>
      <c r="G20" s="1">
        <v>0</v>
      </c>
    </row>
    <row r="21" spans="1:7" x14ac:dyDescent="0.25">
      <c r="B21" s="1" t="s">
        <v>343</v>
      </c>
      <c r="C21" s="1">
        <v>2491595</v>
      </c>
      <c r="D21" s="1">
        <v>73576</v>
      </c>
      <c r="E21" s="1">
        <f t="shared" si="0"/>
        <v>2565171</v>
      </c>
      <c r="F21" s="1">
        <f>-D21</f>
        <v>-73576</v>
      </c>
      <c r="G21" s="1">
        <f>+E21+F21</f>
        <v>2491595</v>
      </c>
    </row>
    <row r="22" spans="1:7" ht="18" x14ac:dyDescent="0.4">
      <c r="B22" s="47" t="s">
        <v>251</v>
      </c>
    </row>
    <row r="23" spans="1:7" x14ac:dyDescent="0.25">
      <c r="B23" s="1" t="s">
        <v>338</v>
      </c>
      <c r="C23" s="1">
        <v>76320</v>
      </c>
      <c r="D23" s="1">
        <v>0</v>
      </c>
      <c r="E23" s="1">
        <f>+C23+D23</f>
        <v>76320</v>
      </c>
      <c r="F23" s="1">
        <v>0</v>
      </c>
      <c r="G23" s="1">
        <f>+E23+F23</f>
        <v>76320</v>
      </c>
    </row>
    <row r="24" spans="1:7" x14ac:dyDescent="0.25">
      <c r="B24" s="1" t="s">
        <v>339</v>
      </c>
      <c r="C24" s="1">
        <v>120599</v>
      </c>
      <c r="D24" s="1">
        <v>0</v>
      </c>
      <c r="E24" s="1">
        <f>+C24+D24</f>
        <v>120599</v>
      </c>
      <c r="F24" s="1">
        <v>0</v>
      </c>
      <c r="G24" s="1">
        <f>+E24+F24</f>
        <v>120599</v>
      </c>
    </row>
    <row r="25" spans="1:7" x14ac:dyDescent="0.25">
      <c r="B25" s="1" t="s">
        <v>343</v>
      </c>
      <c r="C25" s="7">
        <v>-1129</v>
      </c>
      <c r="D25" s="7">
        <v>0</v>
      </c>
      <c r="E25" s="7">
        <f>+C25+D25</f>
        <v>-1129</v>
      </c>
      <c r="F25" s="7">
        <v>0</v>
      </c>
      <c r="G25" s="7">
        <f>+E25+F25</f>
        <v>-1129</v>
      </c>
    </row>
    <row r="26" spans="1:7" x14ac:dyDescent="0.25">
      <c r="B26" s="8" t="s">
        <v>238</v>
      </c>
      <c r="C26" s="31">
        <f>SUM(C14:C25)</f>
        <v>2096180</v>
      </c>
      <c r="D26" s="16">
        <f>SUM(D14:D25)</f>
        <v>73576</v>
      </c>
      <c r="E26" s="31">
        <f>SUM(E14:E25)</f>
        <v>2169756</v>
      </c>
      <c r="F26" s="16">
        <f>SUM(F15:F25)</f>
        <v>-73576</v>
      </c>
      <c r="G26" s="31">
        <f>SUM(G15:G25)</f>
        <v>2096180</v>
      </c>
    </row>
    <row r="29" spans="1:7" x14ac:dyDescent="0.25">
      <c r="A29" s="20" t="s">
        <v>2</v>
      </c>
      <c r="B29" s="1" t="s">
        <v>344</v>
      </c>
    </row>
  </sheetData>
  <pageMargins left="0.7" right="0.7" top="0.82874999999999999" bottom="0.75" header="0.3" footer="0.3"/>
  <pageSetup scale="78" orientation="landscape" horizontalDpi="0" verticalDpi="0" r:id="rId1"/>
  <headerFooter>
    <oddHeader>&amp;L&amp;"Arial Narrow,Bold"&amp;K03+021Rhode Island Energy - Electric 
Test Year August 31, 2025
Rate Year 1 - July 31, 2027
&amp;C&amp;"Arial Narrow,Bold"&amp;K03+022RI Public Utilities Commission 
Docket No. 25-45-GE&amp;R&amp;"Arial Narrow,Bold"&amp;K03+022Schedule DM-35-Electric RY 1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553CB-EEEB-4ABC-86B2-F965473D135A}">
  <sheetPr>
    <pageSetUpPr fitToPage="1"/>
  </sheetPr>
  <dimension ref="A2:H30"/>
  <sheetViews>
    <sheetView view="pageLayout" topLeftCell="C1" zoomScaleNormal="100" workbookViewId="0">
      <selection activeCell="F26" sqref="F26"/>
    </sheetView>
  </sheetViews>
  <sheetFormatPr defaultRowHeight="15.75" x14ac:dyDescent="0.25"/>
  <cols>
    <col min="1" max="1" width="6.7109375" style="2" customWidth="1"/>
    <col min="2" max="2" width="40.7109375" style="1" customWidth="1"/>
    <col min="3" max="11" width="18.7109375" style="1" customWidth="1"/>
    <col min="12" max="16384" width="9.140625" style="1"/>
  </cols>
  <sheetData>
    <row r="2" spans="2:8" x14ac:dyDescent="0.25">
      <c r="B2" s="5" t="s">
        <v>345</v>
      </c>
    </row>
    <row r="3" spans="2:8" x14ac:dyDescent="0.25">
      <c r="C3" s="6" t="s">
        <v>2</v>
      </c>
    </row>
    <row r="4" spans="2:8" x14ac:dyDescent="0.25">
      <c r="C4" s="4" t="s">
        <v>3</v>
      </c>
      <c r="D4" s="4"/>
      <c r="E4" s="4" t="s">
        <v>3</v>
      </c>
      <c r="F4" s="4"/>
      <c r="G4" s="4" t="s">
        <v>67</v>
      </c>
      <c r="H4" s="4"/>
    </row>
    <row r="5" spans="2:8" x14ac:dyDescent="0.25">
      <c r="C5" s="4" t="s">
        <v>262</v>
      </c>
      <c r="D5" s="4" t="s">
        <v>264</v>
      </c>
      <c r="E5" s="4" t="s">
        <v>263</v>
      </c>
      <c r="F5" s="4"/>
      <c r="G5" s="4" t="s">
        <v>282</v>
      </c>
      <c r="H5" s="4"/>
    </row>
    <row r="6" spans="2:8" x14ac:dyDescent="0.25">
      <c r="C6" s="5" t="s">
        <v>72</v>
      </c>
      <c r="D6" s="5" t="s">
        <v>5</v>
      </c>
      <c r="E6" s="5" t="s">
        <v>72</v>
      </c>
      <c r="F6" s="5" t="s">
        <v>5</v>
      </c>
      <c r="G6" s="5" t="s">
        <v>68</v>
      </c>
      <c r="H6" s="5" t="s">
        <v>12</v>
      </c>
    </row>
    <row r="8" spans="2:8" x14ac:dyDescent="0.25">
      <c r="B8" s="1" t="s">
        <v>252</v>
      </c>
      <c r="C8" s="1">
        <v>-1435487</v>
      </c>
      <c r="D8" s="1">
        <v>-75587</v>
      </c>
      <c r="E8" s="1">
        <f>+C8+D8</f>
        <v>-1511074</v>
      </c>
      <c r="F8" s="1">
        <f>-D8</f>
        <v>75587</v>
      </c>
      <c r="G8" s="1">
        <f>+E8+F8</f>
        <v>-1435487</v>
      </c>
    </row>
    <row r="9" spans="2:8" x14ac:dyDescent="0.25">
      <c r="B9" s="1" t="s">
        <v>346</v>
      </c>
      <c r="C9" s="1">
        <v>0</v>
      </c>
      <c r="D9" s="1">
        <v>0</v>
      </c>
      <c r="E9" s="1">
        <f>+C9+D9</f>
        <v>0</v>
      </c>
      <c r="F9" s="1">
        <v>0</v>
      </c>
      <c r="G9" s="1">
        <v>0</v>
      </c>
    </row>
    <row r="10" spans="2:8" x14ac:dyDescent="0.25">
      <c r="B10" s="1" t="s">
        <v>265</v>
      </c>
      <c r="C10" s="7">
        <v>0</v>
      </c>
      <c r="D10" s="7">
        <v>0</v>
      </c>
      <c r="E10" s="7">
        <f>+C10+D10</f>
        <v>0</v>
      </c>
      <c r="F10" s="7">
        <v>0</v>
      </c>
      <c r="G10" s="7">
        <v>0</v>
      </c>
    </row>
    <row r="11" spans="2:8" x14ac:dyDescent="0.25">
      <c r="B11" s="8" t="s">
        <v>238</v>
      </c>
      <c r="C11" s="31">
        <f>+C8+C9+C10</f>
        <v>-1435487</v>
      </c>
      <c r="D11" s="16">
        <f>+D8+D9+D10</f>
        <v>-75587</v>
      </c>
      <c r="E11" s="31">
        <f>+E8+E9+E10</f>
        <v>-1511074</v>
      </c>
      <c r="F11" s="16">
        <f>SUM(F8:F10)</f>
        <v>75587</v>
      </c>
      <c r="G11" s="31">
        <f>SUM(G8:G10)</f>
        <v>-1435487</v>
      </c>
    </row>
    <row r="12" spans="2:8" x14ac:dyDescent="0.25">
      <c r="B12" s="8"/>
    </row>
    <row r="13" spans="2:8" ht="18" x14ac:dyDescent="0.4">
      <c r="B13" s="47" t="s">
        <v>249</v>
      </c>
    </row>
    <row r="14" spans="2:8" x14ac:dyDescent="0.25">
      <c r="B14" s="48" t="s">
        <v>266</v>
      </c>
      <c r="C14" s="1">
        <v>0</v>
      </c>
      <c r="D14" s="1">
        <v>0</v>
      </c>
      <c r="E14" s="1">
        <f t="shared" ref="E14:E21" si="0">+C14+D14</f>
        <v>0</v>
      </c>
      <c r="F14" s="1">
        <v>0</v>
      </c>
      <c r="G14" s="1">
        <v>0</v>
      </c>
    </row>
    <row r="15" spans="2:8" x14ac:dyDescent="0.25">
      <c r="B15" s="1" t="s">
        <v>255</v>
      </c>
      <c r="C15" s="1">
        <v>0</v>
      </c>
      <c r="D15" s="1">
        <v>0</v>
      </c>
      <c r="E15" s="1">
        <f t="shared" si="0"/>
        <v>0</v>
      </c>
      <c r="F15" s="1">
        <v>0</v>
      </c>
      <c r="G15" s="1">
        <v>0</v>
      </c>
    </row>
    <row r="16" spans="2:8" x14ac:dyDescent="0.25">
      <c r="B16" s="1" t="s">
        <v>321</v>
      </c>
      <c r="C16" s="1">
        <v>0</v>
      </c>
      <c r="D16" s="1">
        <v>0</v>
      </c>
      <c r="E16" s="1">
        <f t="shared" si="0"/>
        <v>0</v>
      </c>
      <c r="F16" s="1">
        <v>0</v>
      </c>
      <c r="G16" s="1">
        <v>0</v>
      </c>
    </row>
    <row r="17" spans="1:7" x14ac:dyDescent="0.25">
      <c r="B17" s="1" t="s">
        <v>256</v>
      </c>
      <c r="C17" s="1">
        <v>-43166</v>
      </c>
      <c r="D17" s="1">
        <v>-2273</v>
      </c>
      <c r="E17" s="1">
        <f t="shared" si="0"/>
        <v>-45439</v>
      </c>
      <c r="F17" s="1">
        <f>-D17</f>
        <v>2273</v>
      </c>
      <c r="G17" s="1">
        <f>+E17+F17</f>
        <v>-43166</v>
      </c>
    </row>
    <row r="18" spans="1:7" x14ac:dyDescent="0.25">
      <c r="B18" s="1" t="s">
        <v>257</v>
      </c>
      <c r="C18" s="1">
        <v>0</v>
      </c>
      <c r="D18" s="1">
        <v>0</v>
      </c>
      <c r="E18" s="1">
        <f t="shared" si="0"/>
        <v>0</v>
      </c>
      <c r="F18" s="1">
        <v>0</v>
      </c>
      <c r="G18" s="1">
        <v>0</v>
      </c>
    </row>
    <row r="19" spans="1:7" x14ac:dyDescent="0.25">
      <c r="B19" s="1" t="s">
        <v>258</v>
      </c>
      <c r="C19" s="1">
        <v>0</v>
      </c>
      <c r="D19" s="1">
        <v>0</v>
      </c>
      <c r="E19" s="1">
        <f t="shared" si="0"/>
        <v>0</v>
      </c>
      <c r="F19" s="1">
        <v>0</v>
      </c>
      <c r="G19" s="1">
        <v>0</v>
      </c>
    </row>
    <row r="20" spans="1:7" x14ac:dyDescent="0.25">
      <c r="B20" s="1" t="s">
        <v>267</v>
      </c>
      <c r="C20" s="1">
        <v>0</v>
      </c>
      <c r="D20" s="1">
        <v>0</v>
      </c>
      <c r="E20" s="1">
        <f t="shared" si="0"/>
        <v>0</v>
      </c>
      <c r="F20" s="1">
        <v>0</v>
      </c>
      <c r="G20" s="1">
        <v>0</v>
      </c>
    </row>
    <row r="21" spans="1:7" x14ac:dyDescent="0.25">
      <c r="B21" s="1" t="s">
        <v>259</v>
      </c>
      <c r="C21" s="1">
        <v>-167</v>
      </c>
      <c r="D21" s="1">
        <v>-9</v>
      </c>
      <c r="E21" s="1">
        <f t="shared" si="0"/>
        <v>-176</v>
      </c>
      <c r="F21" s="1">
        <f>-D21</f>
        <v>9</v>
      </c>
      <c r="G21" s="1">
        <f>+E21+F21</f>
        <v>-167</v>
      </c>
    </row>
    <row r="22" spans="1:7" ht="18" x14ac:dyDescent="0.4">
      <c r="B22" s="47" t="s">
        <v>251</v>
      </c>
    </row>
    <row r="23" spans="1:7" x14ac:dyDescent="0.25">
      <c r="B23" s="1" t="s">
        <v>255</v>
      </c>
      <c r="C23" s="1">
        <v>-157833</v>
      </c>
      <c r="D23" s="1">
        <v>-8311</v>
      </c>
      <c r="E23" s="1">
        <f>+C23+D23</f>
        <v>-166144</v>
      </c>
      <c r="F23" s="1">
        <f>-D23</f>
        <v>8311</v>
      </c>
      <c r="G23" s="1">
        <f>+E23+F23</f>
        <v>-157833</v>
      </c>
    </row>
    <row r="24" spans="1:7" x14ac:dyDescent="0.25">
      <c r="B24" s="1" t="s">
        <v>256</v>
      </c>
      <c r="C24" s="1">
        <v>-1234321</v>
      </c>
      <c r="D24" s="1">
        <v>-64994</v>
      </c>
      <c r="E24" s="1">
        <f>+C24+D24</f>
        <v>-1299315</v>
      </c>
      <c r="F24" s="1">
        <f>-D24</f>
        <v>64994</v>
      </c>
      <c r="G24" s="1">
        <f>+E24+F24</f>
        <v>-1234321</v>
      </c>
    </row>
    <row r="25" spans="1:7" x14ac:dyDescent="0.25">
      <c r="B25" s="1" t="s">
        <v>259</v>
      </c>
      <c r="C25" s="7">
        <v>0</v>
      </c>
      <c r="D25" s="7">
        <v>0</v>
      </c>
      <c r="E25" s="7">
        <f>+C25+D25</f>
        <v>0</v>
      </c>
      <c r="F25" s="7">
        <v>0</v>
      </c>
      <c r="G25" s="7">
        <v>0</v>
      </c>
    </row>
    <row r="26" spans="1:7" x14ac:dyDescent="0.25">
      <c r="B26" s="8" t="s">
        <v>238</v>
      </c>
      <c r="C26" s="31">
        <f>SUM(C14:C25)</f>
        <v>-1435487</v>
      </c>
      <c r="D26" s="16">
        <f>SUM(D14:D25)</f>
        <v>-75587</v>
      </c>
      <c r="E26" s="31">
        <f>SUM(E14:E25)</f>
        <v>-1511074</v>
      </c>
      <c r="F26" s="16">
        <f>SUM(F14:F25)</f>
        <v>75587</v>
      </c>
      <c r="G26" s="31">
        <f>SUM(G14:G25)</f>
        <v>-1435487</v>
      </c>
    </row>
    <row r="30" spans="1:7" x14ac:dyDescent="0.25">
      <c r="A30" s="20" t="s">
        <v>2</v>
      </c>
      <c r="B30" s="1" t="s">
        <v>347</v>
      </c>
    </row>
  </sheetData>
  <pageMargins left="0.7" right="0.7" top="0.89375000000000004" bottom="0.75" header="0.3" footer="0.3"/>
  <pageSetup scale="78" orientation="landscape" horizontalDpi="0" verticalDpi="0" r:id="rId1"/>
  <headerFooter>
    <oddHeader>&amp;L&amp;"Arial Narrow,Bold"&amp;K03+020Rhode Island Energy - Electric 
Test Year August 31, 2025
Rate Year 1 - July 31, 2027&amp;C&amp;"Arial Narrow,Bold"&amp;K03+022RI Public Utilities Commission 
Docket No. 25-45-GE&amp;R&amp;"Arial Narrow,Bold"&amp;K03+023Schedule DM-36-Electric RY 1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D443E-2924-4D19-8046-F55EBC8D6ADC}">
  <sheetPr>
    <pageSetUpPr fitToPage="1"/>
  </sheetPr>
  <dimension ref="A2:I32"/>
  <sheetViews>
    <sheetView view="pageLayout" topLeftCell="D4" zoomScaleNormal="100" workbookViewId="0">
      <selection activeCell="H8" sqref="H8"/>
    </sheetView>
  </sheetViews>
  <sheetFormatPr defaultRowHeight="15.75" x14ac:dyDescent="0.25"/>
  <cols>
    <col min="1" max="1" width="5.7109375" style="52" customWidth="1"/>
    <col min="2" max="2" width="6.7109375" style="2" customWidth="1"/>
    <col min="3" max="3" width="40.7109375" style="1" customWidth="1"/>
    <col min="4" max="12" width="18.7109375" style="1" customWidth="1"/>
    <col min="13" max="16384" width="9.140625" style="1"/>
  </cols>
  <sheetData>
    <row r="2" spans="2:9" ht="31.5" x14ac:dyDescent="0.25">
      <c r="C2" s="40" t="s">
        <v>348</v>
      </c>
    </row>
    <row r="3" spans="2:9" x14ac:dyDescent="0.25">
      <c r="D3" s="6" t="s">
        <v>2</v>
      </c>
    </row>
    <row r="4" spans="2:9" x14ac:dyDescent="0.25">
      <c r="D4" s="4" t="s">
        <v>3</v>
      </c>
      <c r="E4" s="4"/>
      <c r="F4" s="4" t="s">
        <v>3</v>
      </c>
      <c r="G4" s="4"/>
      <c r="H4" s="4" t="s">
        <v>67</v>
      </c>
      <c r="I4" s="4"/>
    </row>
    <row r="5" spans="2:9" x14ac:dyDescent="0.25">
      <c r="D5" s="4" t="s">
        <v>262</v>
      </c>
      <c r="E5" s="4" t="s">
        <v>264</v>
      </c>
      <c r="F5" s="4" t="s">
        <v>263</v>
      </c>
      <c r="G5" s="4"/>
      <c r="H5" s="4" t="s">
        <v>282</v>
      </c>
      <c r="I5" s="4"/>
    </row>
    <row r="6" spans="2:9" x14ac:dyDescent="0.25">
      <c r="D6" s="5" t="s">
        <v>72</v>
      </c>
      <c r="E6" s="5" t="s">
        <v>5</v>
      </c>
      <c r="F6" s="5" t="s">
        <v>72</v>
      </c>
      <c r="G6" s="5" t="s">
        <v>5</v>
      </c>
      <c r="H6" s="5" t="s">
        <v>68</v>
      </c>
      <c r="I6" s="5" t="s">
        <v>12</v>
      </c>
    </row>
    <row r="8" spans="2:9" x14ac:dyDescent="0.25">
      <c r="B8" s="20" t="s">
        <v>20</v>
      </c>
      <c r="C8" s="1" t="s">
        <v>349</v>
      </c>
      <c r="D8" s="1">
        <v>0</v>
      </c>
      <c r="E8" s="1">
        <v>689341</v>
      </c>
      <c r="F8" s="1">
        <f>+F29/3</f>
        <v>689340.66666666663</v>
      </c>
      <c r="G8" s="1">
        <f>+H8-F8</f>
        <v>-172335.16666666663</v>
      </c>
      <c r="H8" s="1">
        <f>+F29/4</f>
        <v>517005.5</v>
      </c>
    </row>
    <row r="9" spans="2:9" x14ac:dyDescent="0.25">
      <c r="C9" s="1" t="s">
        <v>350</v>
      </c>
      <c r="D9" s="1">
        <v>0</v>
      </c>
      <c r="E9" s="1">
        <v>953893</v>
      </c>
      <c r="F9" s="1">
        <f>+D9+E9</f>
        <v>953893</v>
      </c>
      <c r="G9" s="1">
        <v>0</v>
      </c>
      <c r="H9" s="1">
        <f>+F9</f>
        <v>953893</v>
      </c>
    </row>
    <row r="10" spans="2:9" x14ac:dyDescent="0.25">
      <c r="C10" s="1" t="s">
        <v>351</v>
      </c>
      <c r="D10" s="1">
        <v>0</v>
      </c>
      <c r="E10" s="1">
        <v>150000</v>
      </c>
      <c r="F10" s="1">
        <f>+D10+E10</f>
        <v>150000</v>
      </c>
      <c r="G10" s="1">
        <v>0</v>
      </c>
      <c r="H10" s="44">
        <v>150000</v>
      </c>
    </row>
    <row r="11" spans="2:9" x14ac:dyDescent="0.25">
      <c r="C11" s="1" t="s">
        <v>352</v>
      </c>
      <c r="D11" s="7">
        <v>0</v>
      </c>
      <c r="E11" s="7">
        <f>2350000/3</f>
        <v>783333.33333333337</v>
      </c>
      <c r="F11" s="7">
        <f>+D11+E11</f>
        <v>783333.33333333337</v>
      </c>
      <c r="G11" s="7">
        <v>0</v>
      </c>
      <c r="H11" s="68">
        <v>783333</v>
      </c>
    </row>
    <row r="12" spans="2:9" x14ac:dyDescent="0.25">
      <c r="C12" s="8" t="s">
        <v>238</v>
      </c>
      <c r="D12" s="12"/>
      <c r="E12" s="19">
        <f>SUM(E8:E11)</f>
        <v>2576567.3333333335</v>
      </c>
      <c r="F12" s="19">
        <f>SUM(F8:F11)</f>
        <v>2576567</v>
      </c>
      <c r="G12" s="12">
        <f>+H12-F12</f>
        <v>-172335.5</v>
      </c>
      <c r="H12" s="19">
        <f>SUM(H8:H11)</f>
        <v>2404231.5</v>
      </c>
    </row>
    <row r="14" spans="2:9" x14ac:dyDescent="0.25">
      <c r="C14" s="26"/>
      <c r="D14" s="26"/>
      <c r="E14" s="26"/>
      <c r="F14" s="26"/>
      <c r="G14" s="26"/>
      <c r="H14" s="26"/>
    </row>
    <row r="16" spans="2:9" x14ac:dyDescent="0.25">
      <c r="B16" s="20" t="s">
        <v>20</v>
      </c>
      <c r="C16" s="1" t="s">
        <v>353</v>
      </c>
    </row>
    <row r="18" spans="2:8" x14ac:dyDescent="0.25">
      <c r="C18" s="1" t="s">
        <v>354</v>
      </c>
      <c r="F18" s="1">
        <v>55912</v>
      </c>
    </row>
    <row r="19" spans="2:8" ht="31.5" x14ac:dyDescent="0.25">
      <c r="C19" s="30" t="s">
        <v>355</v>
      </c>
      <c r="F19" s="1">
        <v>327500</v>
      </c>
    </row>
    <row r="20" spans="2:8" x14ac:dyDescent="0.25">
      <c r="C20" s="1" t="s">
        <v>356</v>
      </c>
      <c r="F20" s="1">
        <v>82500</v>
      </c>
    </row>
    <row r="21" spans="2:8" x14ac:dyDescent="0.25">
      <c r="C21" s="1" t="s">
        <v>357</v>
      </c>
      <c r="F21" s="1">
        <v>872110</v>
      </c>
    </row>
    <row r="22" spans="2:8" x14ac:dyDescent="0.25">
      <c r="C22" s="1" t="s">
        <v>358</v>
      </c>
      <c r="F22" s="1">
        <v>0</v>
      </c>
    </row>
    <row r="23" spans="2:8" x14ac:dyDescent="0.25">
      <c r="C23" s="1" t="s">
        <v>359</v>
      </c>
      <c r="F23" s="1">
        <v>70000</v>
      </c>
    </row>
    <row r="24" spans="2:8" x14ac:dyDescent="0.25">
      <c r="C24" s="1" t="s">
        <v>360</v>
      </c>
      <c r="F24" s="1">
        <v>37500</v>
      </c>
    </row>
    <row r="25" spans="2:8" x14ac:dyDescent="0.25">
      <c r="C25" s="1" t="s">
        <v>361</v>
      </c>
      <c r="F25" s="1">
        <v>170000</v>
      </c>
    </row>
    <row r="26" spans="2:8" x14ac:dyDescent="0.25">
      <c r="C26" s="1" t="s">
        <v>362</v>
      </c>
      <c r="F26" s="1">
        <v>45000</v>
      </c>
    </row>
    <row r="27" spans="2:8" x14ac:dyDescent="0.25">
      <c r="C27" s="1" t="s">
        <v>363</v>
      </c>
      <c r="F27" s="1">
        <v>7500</v>
      </c>
    </row>
    <row r="28" spans="2:8" x14ac:dyDescent="0.25">
      <c r="C28" s="1" t="s">
        <v>364</v>
      </c>
      <c r="D28" s="7"/>
      <c r="E28" s="7"/>
      <c r="F28" s="7">
        <v>400000</v>
      </c>
      <c r="G28" s="7"/>
      <c r="H28" s="7"/>
    </row>
    <row r="29" spans="2:8" x14ac:dyDescent="0.25">
      <c r="C29" s="8" t="s">
        <v>238</v>
      </c>
      <c r="D29" s="31"/>
      <c r="E29" s="16"/>
      <c r="F29" s="31">
        <f>SUM(F18:F28)</f>
        <v>2068022</v>
      </c>
      <c r="G29" s="16"/>
      <c r="H29" s="31"/>
    </row>
    <row r="32" spans="2:8" x14ac:dyDescent="0.25">
      <c r="B32" s="20" t="s">
        <v>2</v>
      </c>
      <c r="C32" s="1" t="s">
        <v>365</v>
      </c>
    </row>
  </sheetData>
  <pageMargins left="0.7" right="0.7" top="0.8046875" bottom="0.75" header="0.3" footer="0.3"/>
  <pageSetup scale="75" orientation="landscape" horizontalDpi="0" verticalDpi="0" r:id="rId1"/>
  <headerFooter>
    <oddHeader>&amp;L&amp;"Arial Narrow,Bold"&amp;K03+024Rhode Island Energy - Electric 
Test Year August 31, 2025
Rate Year 1 - July 31, 2027&amp;C&amp;"Arial Narrow,Bold"&amp;K03+024RI Public Utilities Commission 
Docket No. 25-45-GE&amp;R&amp;"Arial Narrow,Bold"&amp;K03+024Schedule DM-37-Electric RY 1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D9C26-649B-44B5-81B4-A87E28689528}">
  <sheetPr>
    <pageSetUpPr fitToPage="1"/>
  </sheetPr>
  <dimension ref="A2:F34"/>
  <sheetViews>
    <sheetView view="pageLayout" topLeftCell="B1" zoomScaleNormal="100" workbookViewId="0">
      <selection activeCell="D11" sqref="D11"/>
    </sheetView>
  </sheetViews>
  <sheetFormatPr defaultRowHeight="15.75" x14ac:dyDescent="0.25"/>
  <cols>
    <col min="1" max="1" width="6.7109375" style="2" customWidth="1"/>
    <col min="2" max="2" width="40.7109375" style="1" customWidth="1"/>
    <col min="3" max="5" width="18.7109375" style="1" customWidth="1"/>
    <col min="6" max="6" width="18.7109375" style="3" customWidth="1"/>
    <col min="7" max="11" width="18.7109375" style="1" customWidth="1"/>
    <col min="12" max="16384" width="9.140625" style="1"/>
  </cols>
  <sheetData>
    <row r="2" spans="2:6" x14ac:dyDescent="0.25">
      <c r="B2" s="5" t="s">
        <v>366</v>
      </c>
    </row>
    <row r="3" spans="2:6" x14ac:dyDescent="0.25">
      <c r="C3" s="6" t="s">
        <v>2</v>
      </c>
    </row>
    <row r="4" spans="2:6" x14ac:dyDescent="0.25">
      <c r="C4" s="4" t="s">
        <v>3</v>
      </c>
      <c r="D4" s="4"/>
      <c r="E4" s="4" t="s">
        <v>7</v>
      </c>
      <c r="F4" s="4"/>
    </row>
    <row r="5" spans="2:6" x14ac:dyDescent="0.25">
      <c r="C5" s="5" t="s">
        <v>72</v>
      </c>
      <c r="D5" s="5" t="s">
        <v>5</v>
      </c>
      <c r="E5" s="5" t="s">
        <v>68</v>
      </c>
      <c r="F5" s="5" t="s">
        <v>12</v>
      </c>
    </row>
    <row r="7" spans="2:6" x14ac:dyDescent="0.25">
      <c r="B7" s="1" t="s">
        <v>367</v>
      </c>
      <c r="C7" s="1">
        <v>0</v>
      </c>
    </row>
    <row r="9" spans="2:6" x14ac:dyDescent="0.25">
      <c r="B9" s="1" t="s">
        <v>368</v>
      </c>
      <c r="C9" s="1">
        <v>0</v>
      </c>
    </row>
    <row r="11" spans="2:6" x14ac:dyDescent="0.25">
      <c r="B11" s="1" t="s">
        <v>377</v>
      </c>
      <c r="C11" s="1">
        <v>61221571</v>
      </c>
      <c r="D11" s="1">
        <f>+('Electric Utility Plant in Serv '!D15+'Electric Utility Plant in Serv '!D16)*0.02807</f>
        <v>-656654.78711000003</v>
      </c>
      <c r="E11" s="1">
        <f>+C11+D11</f>
        <v>60564916.212889999</v>
      </c>
    </row>
    <row r="13" spans="2:6" x14ac:dyDescent="0.25">
      <c r="B13" s="1" t="s">
        <v>378</v>
      </c>
      <c r="C13" s="1">
        <v>42870</v>
      </c>
      <c r="D13" s="1">
        <v>0</v>
      </c>
      <c r="E13" s="1">
        <v>42870</v>
      </c>
    </row>
    <row r="14" spans="2:6" x14ac:dyDescent="0.25">
      <c r="F14" s="3" t="s">
        <v>485</v>
      </c>
    </row>
    <row r="15" spans="2:6" x14ac:dyDescent="0.25">
      <c r="B15" s="1" t="s">
        <v>379</v>
      </c>
      <c r="C15" s="7">
        <v>2386271</v>
      </c>
      <c r="D15" s="7">
        <f>+'Electric Utility Plant in Serv '!D14*0.032834</f>
        <v>-79959.674880400009</v>
      </c>
      <c r="E15" s="7">
        <f>+C15+D15</f>
        <v>2306311.3251196002</v>
      </c>
      <c r="F15" s="3" t="s">
        <v>484</v>
      </c>
    </row>
    <row r="16" spans="2:6" x14ac:dyDescent="0.25">
      <c r="B16" s="8" t="s">
        <v>380</v>
      </c>
      <c r="C16" s="31">
        <f>SUM(C7:C15)</f>
        <v>63650712</v>
      </c>
      <c r="D16" s="16">
        <f>+E16-C16</f>
        <v>-736614.46199040115</v>
      </c>
      <c r="E16" s="31">
        <f>SUM(E11:E15)</f>
        <v>62914097.538009599</v>
      </c>
    </row>
    <row r="18" spans="2:5" x14ac:dyDescent="0.25">
      <c r="B18" s="1" t="s">
        <v>369</v>
      </c>
      <c r="C18" s="1">
        <v>107192263</v>
      </c>
      <c r="E18" s="1">
        <v>107192263</v>
      </c>
    </row>
    <row r="19" spans="2:5" x14ac:dyDescent="0.25">
      <c r="B19" s="1" t="s">
        <v>370</v>
      </c>
      <c r="C19" s="1">
        <v>-37650178</v>
      </c>
      <c r="E19" s="1">
        <v>-37650178</v>
      </c>
    </row>
    <row r="20" spans="2:5" x14ac:dyDescent="0.25">
      <c r="B20" s="1" t="s">
        <v>371</v>
      </c>
      <c r="C20" s="7">
        <v>-6992</v>
      </c>
      <c r="D20" s="7"/>
      <c r="E20" s="7">
        <v>-6992</v>
      </c>
    </row>
    <row r="21" spans="2:5" x14ac:dyDescent="0.25">
      <c r="B21" s="8" t="s">
        <v>372</v>
      </c>
      <c r="C21" s="29">
        <f>+C18+C19+C20</f>
        <v>69535093</v>
      </c>
      <c r="D21" s="8">
        <f>+E21-C21</f>
        <v>0</v>
      </c>
      <c r="E21" s="29">
        <f>+E18+E19+E20</f>
        <v>69535093</v>
      </c>
    </row>
    <row r="23" spans="2:5" x14ac:dyDescent="0.25">
      <c r="B23" s="1" t="s">
        <v>373</v>
      </c>
      <c r="C23" s="1">
        <v>-269860</v>
      </c>
      <c r="E23" s="1">
        <v>-269860</v>
      </c>
    </row>
    <row r="24" spans="2:5" x14ac:dyDescent="0.25">
      <c r="B24" s="1" t="s">
        <v>374</v>
      </c>
      <c r="C24" s="1">
        <v>-389920</v>
      </c>
      <c r="E24" s="1">
        <v>-389920</v>
      </c>
    </row>
    <row r="25" spans="2:5" x14ac:dyDescent="0.25">
      <c r="B25" s="1" t="s">
        <v>250</v>
      </c>
      <c r="C25" s="7">
        <v>-29997</v>
      </c>
      <c r="D25" s="7"/>
      <c r="E25" s="7">
        <v>-29997</v>
      </c>
    </row>
    <row r="26" spans="2:5" x14ac:dyDescent="0.25">
      <c r="C26" s="7"/>
      <c r="D26" s="7"/>
      <c r="E26" s="7">
        <v>0</v>
      </c>
    </row>
    <row r="27" spans="2:5" x14ac:dyDescent="0.25">
      <c r="B27" s="8" t="s">
        <v>375</v>
      </c>
      <c r="C27" s="31">
        <f>+C21+C23+C24+C25</f>
        <v>68845316</v>
      </c>
      <c r="D27" s="16">
        <f>+E27-C27</f>
        <v>-736615</v>
      </c>
      <c r="E27" s="31">
        <f>+E21+E23+E24+E25-79960-656655</f>
        <v>68108701</v>
      </c>
    </row>
    <row r="28" spans="2:5" x14ac:dyDescent="0.25">
      <c r="B28" s="1" t="s">
        <v>490</v>
      </c>
    </row>
    <row r="29" spans="2:5" x14ac:dyDescent="0.25">
      <c r="C29" s="1">
        <f>+C27-C21</f>
        <v>-689777</v>
      </c>
    </row>
    <row r="34" spans="1:2" x14ac:dyDescent="0.25">
      <c r="A34" s="20" t="s">
        <v>2</v>
      </c>
      <c r="B34" s="1" t="s">
        <v>376</v>
      </c>
    </row>
  </sheetData>
  <pageMargins left="0.7" right="0.7" top="0.8359375" bottom="0.75" header="0.3" footer="0.3"/>
  <pageSetup scale="75" orientation="portrait" horizontalDpi="0" verticalDpi="0" r:id="rId1"/>
  <headerFooter>
    <oddHeader>&amp;L&amp;"Arial Narrow,Bold"&amp;K03+024Rhode Island Energy - Electric 
Test Year August 31, 2025
Rate Year 1-July 31, 2027&amp;C&amp;"Arial Narrow,Bold"&amp;K03+024RI Public Utilities Commission 
Docket No. 25-45-GE&amp;R&amp;"Arial Narrow,Bold"&amp;K03+024Schedule DM-38-Electric RY 1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E30F0-D868-46FE-B1C2-B287E2534EFA}">
  <sheetPr>
    <pageSetUpPr fitToPage="1"/>
  </sheetPr>
  <dimension ref="A2:F18"/>
  <sheetViews>
    <sheetView view="pageLayout" topLeftCell="B1" zoomScaleNormal="100" workbookViewId="0">
      <selection activeCell="C14" sqref="C14"/>
    </sheetView>
  </sheetViews>
  <sheetFormatPr defaultRowHeight="15.75" x14ac:dyDescent="0.25"/>
  <cols>
    <col min="1" max="1" width="6.7109375" style="2" customWidth="1"/>
    <col min="2" max="2" width="40.7109375" style="1" customWidth="1"/>
    <col min="3" max="5" width="18.7109375" style="1" customWidth="1"/>
    <col min="6" max="6" width="18.7109375" style="3" customWidth="1"/>
    <col min="7" max="11" width="18.7109375" style="1" customWidth="1"/>
    <col min="12" max="16384" width="9.140625" style="1"/>
  </cols>
  <sheetData>
    <row r="2" spans="2:6" x14ac:dyDescent="0.25">
      <c r="B2" s="5" t="s">
        <v>381</v>
      </c>
    </row>
    <row r="3" spans="2:6" x14ac:dyDescent="0.25">
      <c r="C3" s="6" t="s">
        <v>2</v>
      </c>
    </row>
    <row r="4" spans="2:6" x14ac:dyDescent="0.25">
      <c r="C4" s="4" t="s">
        <v>3</v>
      </c>
      <c r="D4" s="4"/>
      <c r="E4" s="4" t="s">
        <v>67</v>
      </c>
      <c r="F4" s="4"/>
    </row>
    <row r="5" spans="2:6" x14ac:dyDescent="0.25">
      <c r="C5" s="5" t="s">
        <v>72</v>
      </c>
      <c r="D5" s="5" t="s">
        <v>5</v>
      </c>
      <c r="E5" s="5" t="s">
        <v>68</v>
      </c>
      <c r="F5" s="5" t="s">
        <v>12</v>
      </c>
    </row>
    <row r="7" spans="2:6" x14ac:dyDescent="0.25">
      <c r="B7" s="8" t="s">
        <v>382</v>
      </c>
      <c r="C7" s="12">
        <v>37520198</v>
      </c>
      <c r="D7" s="12">
        <v>0</v>
      </c>
      <c r="E7" s="12">
        <f>+C7</f>
        <v>37520198</v>
      </c>
      <c r="F7" s="3" t="s">
        <v>482</v>
      </c>
    </row>
    <row r="9" spans="2:6" x14ac:dyDescent="0.25">
      <c r="B9" s="1" t="s">
        <v>383</v>
      </c>
    </row>
    <row r="10" spans="2:6" x14ac:dyDescent="0.25">
      <c r="B10" s="1" t="s">
        <v>384</v>
      </c>
      <c r="C10" s="1">
        <f>39327435/12*5</f>
        <v>16386431.25</v>
      </c>
      <c r="D10" s="1">
        <v>0</v>
      </c>
      <c r="E10" s="1">
        <f>+C10</f>
        <v>16386431.25</v>
      </c>
    </row>
    <row r="11" spans="2:6" x14ac:dyDescent="0.25">
      <c r="B11" s="1" t="s">
        <v>385</v>
      </c>
      <c r="C11" s="7">
        <f>41879831/12*7</f>
        <v>24429901.416666664</v>
      </c>
      <c r="D11" s="7">
        <v>0</v>
      </c>
      <c r="E11" s="7">
        <f>+C11</f>
        <v>24429901.416666664</v>
      </c>
    </row>
    <row r="12" spans="2:6" x14ac:dyDescent="0.25">
      <c r="B12" s="8" t="s">
        <v>238</v>
      </c>
      <c r="C12" s="31">
        <f>SUM(C10:C11)</f>
        <v>40816332.666666664</v>
      </c>
      <c r="D12" s="16">
        <v>0</v>
      </c>
      <c r="E12" s="31">
        <f>+E10+E11</f>
        <v>40816332.666666664</v>
      </c>
    </row>
    <row r="14" spans="2:6" x14ac:dyDescent="0.25">
      <c r="B14" s="1" t="s">
        <v>386</v>
      </c>
      <c r="C14" s="34">
        <f>+C12-C7</f>
        <v>3296134.6666666642</v>
      </c>
      <c r="D14" s="1">
        <v>0</v>
      </c>
      <c r="E14" s="34">
        <f>+E12-E7</f>
        <v>3296134.6666666642</v>
      </c>
    </row>
    <row r="18" spans="1:2" x14ac:dyDescent="0.25">
      <c r="A18" s="20" t="s">
        <v>2</v>
      </c>
      <c r="B18" s="1" t="s">
        <v>387</v>
      </c>
    </row>
  </sheetData>
  <pageMargins left="0.7" right="0.7" top="0.8046875" bottom="0.75" header="0.3" footer="0.3"/>
  <pageSetup scale="75" orientation="portrait" horizontalDpi="0" verticalDpi="0" r:id="rId1"/>
  <headerFooter>
    <oddHeader>&amp;L&amp;"Arial Narrow,Bold"&amp;K03+023Rhode Island Energy - Electric
Test Year August 31, 2025
Rate Year 1 - July 31, 2027&amp;C&amp;"Arial Narrow,Bold"&amp;K03+024RI Public Utilities Commission 
Docket No. 25-45-GE&amp;R&amp;"Arial Narrow,Bold"&amp;K03+024Schedule DM-39-Electric RY-1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4915F-4D4D-4986-9CAF-0D216F756E69}">
  <sheetPr>
    <pageSetUpPr fitToPage="1"/>
  </sheetPr>
  <dimension ref="B2:K36"/>
  <sheetViews>
    <sheetView view="pageLayout" topLeftCell="E6" zoomScaleNormal="100" workbookViewId="0">
      <selection activeCell="J17" sqref="J17"/>
    </sheetView>
  </sheetViews>
  <sheetFormatPr defaultRowHeight="16.5" x14ac:dyDescent="0.3"/>
  <cols>
    <col min="1" max="1" width="5.7109375" style="1" customWidth="1"/>
    <col min="2" max="2" width="6.7109375" style="2" customWidth="1"/>
    <col min="3" max="3" width="40.7109375" style="1" customWidth="1"/>
    <col min="4" max="10" width="20.7109375" style="1" customWidth="1"/>
    <col min="11" max="11" width="18.7109375" style="39" customWidth="1"/>
    <col min="12" max="14" width="18.7109375" style="1" customWidth="1"/>
    <col min="15" max="16384" width="9.140625" style="1"/>
  </cols>
  <sheetData>
    <row r="2" spans="2:11" x14ac:dyDescent="0.3">
      <c r="C2" s="5" t="s">
        <v>65</v>
      </c>
    </row>
    <row r="3" spans="2:11" x14ac:dyDescent="0.3">
      <c r="D3" s="6" t="s">
        <v>2</v>
      </c>
    </row>
    <row r="4" spans="2:11" x14ac:dyDescent="0.3">
      <c r="D4" s="4" t="s">
        <v>42</v>
      </c>
      <c r="E4" s="4" t="s">
        <v>83</v>
      </c>
      <c r="F4" s="4" t="s">
        <v>44</v>
      </c>
      <c r="G4" s="4" t="s">
        <v>70</v>
      </c>
      <c r="H4" s="4" t="s">
        <v>72</v>
      </c>
      <c r="I4" s="4"/>
      <c r="J4" s="4" t="s">
        <v>283</v>
      </c>
      <c r="K4" s="10"/>
    </row>
    <row r="5" spans="2:11" x14ac:dyDescent="0.3">
      <c r="D5" s="28">
        <v>45900</v>
      </c>
      <c r="E5" s="5" t="s">
        <v>43</v>
      </c>
      <c r="F5" s="28">
        <v>46599</v>
      </c>
      <c r="G5" s="5" t="s">
        <v>71</v>
      </c>
      <c r="H5" s="5" t="s">
        <v>73</v>
      </c>
      <c r="I5" s="5" t="s">
        <v>43</v>
      </c>
      <c r="J5" s="5" t="s">
        <v>68</v>
      </c>
      <c r="K5" s="11" t="s">
        <v>45</v>
      </c>
    </row>
    <row r="7" spans="2:11" x14ac:dyDescent="0.3">
      <c r="C7" s="8" t="s">
        <v>69</v>
      </c>
      <c r="D7" s="12">
        <v>361576793</v>
      </c>
      <c r="E7" s="12">
        <v>1245264</v>
      </c>
      <c r="F7" s="12">
        <f>+D7+E7</f>
        <v>362822057</v>
      </c>
      <c r="G7" s="12">
        <v>78753267</v>
      </c>
      <c r="H7" s="12">
        <f>+F7+G7</f>
        <v>441575324</v>
      </c>
      <c r="I7" s="12"/>
      <c r="J7" s="12">
        <v>362822057</v>
      </c>
    </row>
    <row r="9" spans="2:11" x14ac:dyDescent="0.3">
      <c r="C9" s="1" t="s">
        <v>16</v>
      </c>
      <c r="D9" s="7">
        <v>0</v>
      </c>
      <c r="E9" s="7">
        <v>0</v>
      </c>
      <c r="F9" s="7">
        <v>0</v>
      </c>
      <c r="G9" s="7">
        <v>-12825506</v>
      </c>
      <c r="H9" s="7">
        <f>+G9</f>
        <v>-12825506</v>
      </c>
      <c r="I9" s="7"/>
      <c r="J9" s="7">
        <v>0</v>
      </c>
    </row>
    <row r="10" spans="2:11" x14ac:dyDescent="0.3">
      <c r="C10" s="8" t="s">
        <v>74</v>
      </c>
      <c r="D10" s="16">
        <f>+D7+D9</f>
        <v>361576793</v>
      </c>
      <c r="E10" s="16">
        <f>+E7+E9</f>
        <v>1245264</v>
      </c>
      <c r="F10" s="31">
        <f>+F7+F9</f>
        <v>362822057</v>
      </c>
      <c r="G10" s="16">
        <f>+G7+G9</f>
        <v>65927761</v>
      </c>
      <c r="H10" s="31">
        <f>+H7+H9</f>
        <v>428749818</v>
      </c>
      <c r="I10" s="16"/>
      <c r="J10" s="16">
        <f>+J7+J9</f>
        <v>362822057</v>
      </c>
    </row>
    <row r="12" spans="2:11" x14ac:dyDescent="0.3">
      <c r="B12" s="20" t="s">
        <v>20</v>
      </c>
      <c r="C12" s="1" t="s">
        <v>75</v>
      </c>
      <c r="D12" s="1">
        <v>160154551</v>
      </c>
      <c r="E12" s="1">
        <v>26622426</v>
      </c>
      <c r="F12" s="1">
        <f>+D12+E12</f>
        <v>186776977</v>
      </c>
      <c r="G12" s="44">
        <f>+G10*0.022089298</f>
        <v>1456297.9592017781</v>
      </c>
      <c r="H12" s="1">
        <f>+F12+G12</f>
        <v>188233274.95920178</v>
      </c>
      <c r="I12" s="1">
        <f>+J12-H12</f>
        <v>-23028663.006398886</v>
      </c>
      <c r="J12" s="44">
        <f>+'O&amp;M Expenses RY 1'!G37</f>
        <v>165204611.9528029</v>
      </c>
      <c r="K12" s="39" t="s">
        <v>172</v>
      </c>
    </row>
    <row r="13" spans="2:11" x14ac:dyDescent="0.3">
      <c r="B13" s="20"/>
      <c r="C13" s="1" t="s">
        <v>176</v>
      </c>
      <c r="G13" s="44"/>
      <c r="J13" s="1">
        <f>+Uncollectible!E29</f>
        <v>94226.638999999996</v>
      </c>
      <c r="K13" s="39" t="s">
        <v>493</v>
      </c>
    </row>
    <row r="14" spans="2:11" x14ac:dyDescent="0.3">
      <c r="C14" s="1" t="s">
        <v>76</v>
      </c>
      <c r="D14" s="1">
        <v>0</v>
      </c>
      <c r="E14" s="1">
        <v>2576567</v>
      </c>
      <c r="F14" s="1">
        <f>+D14+E14</f>
        <v>2576567</v>
      </c>
      <c r="G14" s="1">
        <v>0</v>
      </c>
      <c r="H14" s="1">
        <f>+F14+G14</f>
        <v>2576567</v>
      </c>
      <c r="I14" s="1">
        <f>+J14-H14</f>
        <v>-172335.5</v>
      </c>
      <c r="J14" s="1">
        <f>+'Amort. of Reg Deferrals'!H12</f>
        <v>2404231.5</v>
      </c>
    </row>
    <row r="15" spans="2:11" x14ac:dyDescent="0.3">
      <c r="C15" s="1" t="s">
        <v>77</v>
      </c>
      <c r="D15" s="1">
        <v>69535094</v>
      </c>
      <c r="E15" s="1">
        <v>-689777</v>
      </c>
      <c r="F15" s="44">
        <f>+D15+E15</f>
        <v>68845317</v>
      </c>
      <c r="G15" s="1">
        <v>0</v>
      </c>
      <c r="H15" s="1">
        <f>+F15+G15</f>
        <v>68845317</v>
      </c>
      <c r="I15" s="1">
        <f>+J15-H15</f>
        <v>-736616</v>
      </c>
      <c r="J15" s="44">
        <f>+'Depreciation '!E27</f>
        <v>68108701</v>
      </c>
    </row>
    <row r="16" spans="2:11" x14ac:dyDescent="0.3">
      <c r="C16" s="1" t="s">
        <v>78</v>
      </c>
      <c r="D16" s="1">
        <v>37520198</v>
      </c>
      <c r="E16" s="1">
        <v>3296135</v>
      </c>
      <c r="F16" s="1">
        <f>+D16+E16</f>
        <v>40816333</v>
      </c>
      <c r="G16" s="1">
        <v>0</v>
      </c>
      <c r="H16" s="1">
        <f>+F16+G16</f>
        <v>40816333</v>
      </c>
      <c r="I16" s="1">
        <v>0</v>
      </c>
      <c r="J16" s="1">
        <f>+'Muni Taxes'!E12</f>
        <v>40816332.666666664</v>
      </c>
    </row>
    <row r="17" spans="3:10" x14ac:dyDescent="0.3">
      <c r="C17" s="1" t="s">
        <v>79</v>
      </c>
      <c r="D17" s="1">
        <v>6124810</v>
      </c>
      <c r="E17" s="1">
        <v>214981</v>
      </c>
      <c r="F17" s="1">
        <f>+D17+E17</f>
        <v>6339791</v>
      </c>
      <c r="G17" s="1">
        <v>0</v>
      </c>
      <c r="H17" s="1">
        <f>+F17+G17</f>
        <v>6339791</v>
      </c>
      <c r="I17" s="1">
        <f>+J17-H17</f>
        <v>-396342.88520395383</v>
      </c>
      <c r="J17" s="1">
        <f>+'Payroll Taxes'!E19</f>
        <v>5943448.1147960462</v>
      </c>
    </row>
    <row r="18" spans="3:10" x14ac:dyDescent="0.3">
      <c r="C18" s="1" t="s">
        <v>80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</row>
    <row r="19" spans="3:10" x14ac:dyDescent="0.3">
      <c r="C19" s="1" t="s">
        <v>81</v>
      </c>
      <c r="D19" s="1">
        <v>3596</v>
      </c>
      <c r="E19" s="1">
        <v>189</v>
      </c>
      <c r="F19" s="1">
        <f>+D19+E19</f>
        <v>3785</v>
      </c>
      <c r="G19" s="1">
        <v>0</v>
      </c>
      <c r="H19" s="1">
        <f>+F19+G19</f>
        <v>3785</v>
      </c>
      <c r="I19" s="1">
        <v>0</v>
      </c>
      <c r="J19" s="1">
        <v>3785</v>
      </c>
    </row>
    <row r="20" spans="3:10" x14ac:dyDescent="0.3">
      <c r="C20" s="1" t="s">
        <v>82</v>
      </c>
      <c r="D20" s="7">
        <v>0</v>
      </c>
      <c r="E20" s="7">
        <v>375259</v>
      </c>
      <c r="F20" s="7">
        <f>+D20+E20</f>
        <v>375259</v>
      </c>
      <c r="G20" s="7">
        <v>0</v>
      </c>
      <c r="H20" s="7">
        <f>+F20+G20</f>
        <v>375259</v>
      </c>
      <c r="I20" s="7">
        <v>0</v>
      </c>
      <c r="J20" s="7">
        <v>375259</v>
      </c>
    </row>
    <row r="21" spans="3:10" x14ac:dyDescent="0.3">
      <c r="C21" s="8" t="s">
        <v>84</v>
      </c>
      <c r="D21" s="16">
        <f>SUM(D12:D20)</f>
        <v>273338249</v>
      </c>
      <c r="E21" s="16">
        <f>SUM(E12:E20)</f>
        <v>32395780</v>
      </c>
      <c r="F21" s="31">
        <f>SUM(F12:F20)</f>
        <v>305734029</v>
      </c>
      <c r="G21" s="16">
        <f>SUM(G12:G20)</f>
        <v>1456297.9592017781</v>
      </c>
      <c r="H21" s="31">
        <f>SUM(H12:H20)</f>
        <v>307190326.95920181</v>
      </c>
      <c r="I21" s="16">
        <f>+J21-H21</f>
        <v>-24239731.085936189</v>
      </c>
      <c r="J21" s="31">
        <f>SUM(J12:J20)</f>
        <v>282950595.87326562</v>
      </c>
    </row>
    <row r="23" spans="3:10" x14ac:dyDescent="0.3">
      <c r="C23" s="8" t="s">
        <v>85</v>
      </c>
      <c r="D23" s="12">
        <f>+D10-D21</f>
        <v>88238544</v>
      </c>
      <c r="E23" s="12">
        <f>+E10-E21</f>
        <v>-31150516</v>
      </c>
      <c r="F23" s="19">
        <f>+F10-F21</f>
        <v>57088028</v>
      </c>
      <c r="G23" s="12">
        <f>+G10-G21</f>
        <v>64471463.040798225</v>
      </c>
      <c r="H23" s="19">
        <f>+H10-H21</f>
        <v>121559491.04079819</v>
      </c>
      <c r="I23" s="12">
        <f>+J23-H23</f>
        <v>-41688029.914063811</v>
      </c>
      <c r="J23" s="19">
        <f>+J10-J21</f>
        <v>79871461.126734376</v>
      </c>
    </row>
    <row r="25" spans="3:10" x14ac:dyDescent="0.3">
      <c r="C25" s="8" t="s">
        <v>86</v>
      </c>
      <c r="D25" s="12">
        <v>0</v>
      </c>
      <c r="E25" s="12">
        <v>0</v>
      </c>
      <c r="F25" s="12">
        <v>1030967</v>
      </c>
      <c r="G25" s="12">
        <v>13539007</v>
      </c>
      <c r="H25" s="12">
        <f>+F25+G25</f>
        <v>14569974</v>
      </c>
      <c r="I25" s="7">
        <f>+J25-H25</f>
        <v>-9759462.429967016</v>
      </c>
      <c r="J25" s="7">
        <f>+'Income Taxes'!G30</f>
        <v>4810511.570032984</v>
      </c>
    </row>
    <row r="27" spans="3:10" x14ac:dyDescent="0.3">
      <c r="C27" s="1" t="s">
        <v>87</v>
      </c>
      <c r="D27" s="1">
        <v>0</v>
      </c>
      <c r="E27" s="1">
        <v>0</v>
      </c>
      <c r="F27" s="1">
        <f>+F23-F25</f>
        <v>56057061</v>
      </c>
      <c r="G27" s="1">
        <f>+G23-G25</f>
        <v>50932456.040798225</v>
      </c>
      <c r="H27" s="1">
        <f>+H23-H25</f>
        <v>106989517.04079819</v>
      </c>
      <c r="I27" s="1">
        <f>+J27-H27</f>
        <v>-31928567.484096795</v>
      </c>
      <c r="J27" s="1">
        <f>+J23-J25</f>
        <v>75060949.556701392</v>
      </c>
    </row>
    <row r="29" spans="3:10" x14ac:dyDescent="0.3">
      <c r="C29" s="32" t="s">
        <v>8</v>
      </c>
      <c r="D29" s="32"/>
      <c r="E29" s="32"/>
      <c r="F29" s="32">
        <f>+'RR Electric Summary RY1'!C8</f>
        <v>1429069150</v>
      </c>
      <c r="G29" s="32"/>
      <c r="H29" s="32">
        <f>+'RR Electric Summary RY1'!C8</f>
        <v>1429069150</v>
      </c>
      <c r="I29" s="32"/>
      <c r="J29" s="32">
        <f>+'RR Electric Summary RY1'!E8</f>
        <v>1400975061.3332305</v>
      </c>
    </row>
    <row r="30" spans="3:10" x14ac:dyDescent="0.3">
      <c r="C30" s="32" t="s">
        <v>9</v>
      </c>
      <c r="D30" s="32"/>
      <c r="E30" s="32"/>
      <c r="F30" s="33">
        <f>+F27/F29</f>
        <v>3.9226276069286081E-2</v>
      </c>
      <c r="G30" s="33"/>
      <c r="H30" s="33">
        <v>8.1799999999999998E-2</v>
      </c>
      <c r="I30" s="33"/>
      <c r="J30" s="33">
        <f>+'Rate of Return'!E21</f>
        <v>6.4752000000000004E-2</v>
      </c>
    </row>
    <row r="31" spans="3:10" x14ac:dyDescent="0.3">
      <c r="C31" s="32" t="s">
        <v>88</v>
      </c>
      <c r="D31" s="32"/>
      <c r="E31" s="32"/>
      <c r="F31" s="32">
        <f>+F29*F30</f>
        <v>56057061</v>
      </c>
      <c r="G31" s="32">
        <f>+H31-F31</f>
        <v>60840795.469999999</v>
      </c>
      <c r="H31" s="32">
        <f>+H29*H30</f>
        <v>116897856.47</v>
      </c>
      <c r="I31" s="32"/>
      <c r="J31" s="32">
        <f>+J29*J30</f>
        <v>90715937.171449348</v>
      </c>
    </row>
    <row r="35" spans="2:11" x14ac:dyDescent="0.3">
      <c r="B35" s="20" t="s">
        <v>2</v>
      </c>
      <c r="C35" s="1" t="s">
        <v>40</v>
      </c>
    </row>
    <row r="36" spans="2:11" x14ac:dyDescent="0.3">
      <c r="B36" s="20" t="s">
        <v>20</v>
      </c>
      <c r="C36" s="1" t="s">
        <v>176</v>
      </c>
      <c r="K36" s="39" t="s">
        <v>172</v>
      </c>
    </row>
  </sheetData>
  <pageMargins left="0.7" right="0.7" top="0.75" bottom="0.75" header="0.3" footer="0.3"/>
  <pageSetup scale="57" orientation="landscape" horizontalDpi="0" verticalDpi="0" r:id="rId1"/>
  <headerFooter>
    <oddHeader>&amp;L&amp;"Arial Narrow,Bold"&amp;K03+023Rhode Island Energy - Electric 
Test Year August 31, 2025
Rate Year 1 July 31, 2027 &amp;C&amp;"Arial Narrow,Bold"&amp;K03+021RI Public Utilities Commission 
Docket No. 25-45-GE&amp;R&amp;"Arial Narrow,Bold"&amp;K03+022Schedule DM-4 Electric RY 1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1AA61-1C1C-4906-BCCF-E1CDAC2457DC}">
  <sheetPr>
    <pageSetUpPr fitToPage="1"/>
  </sheetPr>
  <dimension ref="A2:F23"/>
  <sheetViews>
    <sheetView view="pageLayout" topLeftCell="B1" zoomScaleNormal="100" workbookViewId="0">
      <selection activeCell="E17" sqref="E17"/>
    </sheetView>
  </sheetViews>
  <sheetFormatPr defaultRowHeight="15.75" x14ac:dyDescent="0.25"/>
  <cols>
    <col min="1" max="1" width="6.7109375" style="2" customWidth="1"/>
    <col min="2" max="2" width="40.7109375" style="1" customWidth="1"/>
    <col min="3" max="11" width="18.7109375" style="1" customWidth="1"/>
    <col min="12" max="16384" width="9.140625" style="1"/>
  </cols>
  <sheetData>
    <row r="2" spans="2:6" x14ac:dyDescent="0.25">
      <c r="B2" s="5" t="s">
        <v>388</v>
      </c>
    </row>
    <row r="3" spans="2:6" x14ac:dyDescent="0.25">
      <c r="C3" s="6" t="s">
        <v>2</v>
      </c>
    </row>
    <row r="4" spans="2:6" x14ac:dyDescent="0.25">
      <c r="C4" s="4" t="s">
        <v>3</v>
      </c>
      <c r="D4" s="4"/>
      <c r="E4" s="4" t="s">
        <v>67</v>
      </c>
      <c r="F4" s="4"/>
    </row>
    <row r="5" spans="2:6" x14ac:dyDescent="0.25">
      <c r="C5" s="5" t="s">
        <v>72</v>
      </c>
      <c r="D5" s="5" t="s">
        <v>5</v>
      </c>
      <c r="E5" s="5" t="s">
        <v>6</v>
      </c>
      <c r="F5" s="5" t="s">
        <v>45</v>
      </c>
    </row>
    <row r="7" spans="2:6" x14ac:dyDescent="0.25">
      <c r="B7" s="8" t="s">
        <v>393</v>
      </c>
      <c r="C7" s="12">
        <v>64824628</v>
      </c>
      <c r="D7" s="12"/>
      <c r="E7" s="12">
        <f>+'Labor RY 1'!E45</f>
        <v>64824629.069250144</v>
      </c>
    </row>
    <row r="9" spans="2:6" x14ac:dyDescent="0.25">
      <c r="B9" s="1" t="s">
        <v>389</v>
      </c>
      <c r="C9" s="1">
        <f>+C7*0.08892495</f>
        <v>5764526.8036686005</v>
      </c>
      <c r="E9" s="1">
        <f>+E7*0.08892495</f>
        <v>5764526.8987516155</v>
      </c>
    </row>
    <row r="10" spans="2:6" x14ac:dyDescent="0.25">
      <c r="B10" s="1" t="s">
        <v>390</v>
      </c>
      <c r="C10" s="1">
        <f>+C7*0.001111568</f>
        <v>72056.982096704</v>
      </c>
      <c r="E10" s="1">
        <f>+E7*0.001111568</f>
        <v>72056.98328524825</v>
      </c>
    </row>
    <row r="11" spans="2:6" x14ac:dyDescent="0.25">
      <c r="B11" s="1" t="s">
        <v>391</v>
      </c>
      <c r="C11" s="7">
        <f>+C7*0.00444624</f>
        <v>288225.85399872001</v>
      </c>
      <c r="D11" s="7"/>
      <c r="E11" s="7">
        <f>+E7*0.00444624</f>
        <v>288225.85875286272</v>
      </c>
    </row>
    <row r="12" spans="2:6" x14ac:dyDescent="0.25">
      <c r="B12" s="8" t="s">
        <v>392</v>
      </c>
      <c r="C12" s="31">
        <f>SUM(C9:C11)</f>
        <v>6124809.6397640239</v>
      </c>
      <c r="D12" s="16"/>
      <c r="E12" s="31">
        <f>SUM(E9:E11)</f>
        <v>6124809.7407897264</v>
      </c>
    </row>
    <row r="14" spans="2:6" x14ac:dyDescent="0.25">
      <c r="B14" s="8" t="s">
        <v>394</v>
      </c>
      <c r="C14" s="8">
        <v>67101453</v>
      </c>
      <c r="D14" s="8">
        <f>+E14-C14</f>
        <v>-4194973.2574810982</v>
      </c>
      <c r="E14" s="8">
        <f>+'Labor RY 1'!E46</f>
        <v>62906479.742518902</v>
      </c>
    </row>
    <row r="16" spans="2:6" x14ac:dyDescent="0.25">
      <c r="B16" s="1" t="s">
        <v>389</v>
      </c>
      <c r="C16" s="1">
        <f>+C14*0.08892299</f>
        <v>5966861.83410447</v>
      </c>
      <c r="D16" s="1">
        <f>+E16-C16</f>
        <v>-373029.56502525974</v>
      </c>
      <c r="E16" s="1">
        <f>+E14*0.08892299</f>
        <v>5593832.2690792102</v>
      </c>
    </row>
    <row r="17" spans="1:5" x14ac:dyDescent="0.25">
      <c r="B17" s="1" t="s">
        <v>390</v>
      </c>
      <c r="C17" s="1">
        <f>+C14*0.001111568</f>
        <v>74587.827908304011</v>
      </c>
      <c r="D17" s="1">
        <f>+E17-C17</f>
        <v>-4662.9980338717578</v>
      </c>
      <c r="E17" s="1">
        <f>+E14*0.001111568</f>
        <v>69924.829874432253</v>
      </c>
    </row>
    <row r="18" spans="1:5" x14ac:dyDescent="0.25">
      <c r="B18" s="1" t="s">
        <v>395</v>
      </c>
      <c r="C18" s="7">
        <f>+C14*0.00444614</f>
        <v>298342.45424142003</v>
      </c>
      <c r="D18" s="7">
        <f>+E18-C18</f>
        <v>-18651.438399017032</v>
      </c>
      <c r="E18" s="7">
        <f>+E14*0.00444614</f>
        <v>279691.01584240299</v>
      </c>
    </row>
    <row r="19" spans="1:5" x14ac:dyDescent="0.25">
      <c r="B19" s="8" t="s">
        <v>396</v>
      </c>
      <c r="C19" s="31">
        <f>SUM(C16:C18)</f>
        <v>6339792.1162541937</v>
      </c>
      <c r="D19" s="16">
        <f>+E19-C19</f>
        <v>-396344.00145814754</v>
      </c>
      <c r="E19" s="31">
        <f>SUM(E16:E18)</f>
        <v>5943448.1147960462</v>
      </c>
    </row>
    <row r="23" spans="1:5" x14ac:dyDescent="0.25">
      <c r="A23" s="20" t="s">
        <v>2</v>
      </c>
      <c r="B23" s="1" t="s">
        <v>397</v>
      </c>
    </row>
  </sheetData>
  <pageMargins left="0.7" right="0.7" top="0.8203125" bottom="0.75" header="0.3" footer="0.3"/>
  <pageSetup scale="75" orientation="portrait" horizontalDpi="0" verticalDpi="0" r:id="rId1"/>
  <headerFooter>
    <oddHeader>&amp;L&amp;"Arial Narrow,Bold"&amp;K03+022Rhode Island Energy - Electric 
Test Year August 31, 2025
Rate Year 1 July 31, 2027&amp;C&amp;"Arial Narrow,Bold"&amp;K03+023RI Public Utilities Commission 
Docket No. 25-45-GE&amp;R&amp;"Arial Narrow,Bold"&amp;K03+024Schedule DM-40-Electric RY 1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85353-0A26-4376-9FAC-3DFA775B7AE8}">
  <sheetPr>
    <pageSetUpPr fitToPage="1"/>
  </sheetPr>
  <dimension ref="A2:H35"/>
  <sheetViews>
    <sheetView view="pageLayout" topLeftCell="C9" zoomScaleNormal="100" workbookViewId="0">
      <selection activeCell="G30" sqref="G30"/>
    </sheetView>
  </sheetViews>
  <sheetFormatPr defaultRowHeight="15.75" x14ac:dyDescent="0.25"/>
  <cols>
    <col min="1" max="1" width="6.7109375" style="2" customWidth="1"/>
    <col min="2" max="2" width="40.7109375" style="1" customWidth="1"/>
    <col min="3" max="11" width="18.7109375" style="1" customWidth="1"/>
    <col min="12" max="16384" width="9.140625" style="1"/>
  </cols>
  <sheetData>
    <row r="2" spans="2:8" x14ac:dyDescent="0.25">
      <c r="B2" s="5" t="s">
        <v>398</v>
      </c>
    </row>
    <row r="3" spans="2:8" x14ac:dyDescent="0.25">
      <c r="C3" s="6" t="s">
        <v>2</v>
      </c>
      <c r="G3" s="4" t="s">
        <v>483</v>
      </c>
    </row>
    <row r="4" spans="2:8" x14ac:dyDescent="0.25">
      <c r="C4" s="4" t="s">
        <v>3</v>
      </c>
      <c r="D4" s="4"/>
      <c r="E4" s="4" t="s">
        <v>3</v>
      </c>
      <c r="F4" s="4"/>
      <c r="G4" s="4" t="s">
        <v>67</v>
      </c>
      <c r="H4" s="4"/>
    </row>
    <row r="5" spans="2:8" x14ac:dyDescent="0.25">
      <c r="C5" s="4" t="s">
        <v>151</v>
      </c>
      <c r="D5" s="4"/>
      <c r="E5" s="4" t="s">
        <v>151</v>
      </c>
      <c r="F5" s="4"/>
      <c r="G5" s="4" t="s">
        <v>151</v>
      </c>
      <c r="H5" s="4"/>
    </row>
    <row r="6" spans="2:8" x14ac:dyDescent="0.25">
      <c r="C6" s="5" t="s">
        <v>399</v>
      </c>
      <c r="D6" s="5" t="s">
        <v>5</v>
      </c>
      <c r="E6" s="5" t="s">
        <v>400</v>
      </c>
      <c r="F6" s="5" t="s">
        <v>5</v>
      </c>
      <c r="G6" s="5" t="s">
        <v>68</v>
      </c>
      <c r="H6" s="5" t="s">
        <v>45</v>
      </c>
    </row>
    <row r="8" spans="2:8" x14ac:dyDescent="0.25">
      <c r="B8" s="1" t="s">
        <v>401</v>
      </c>
      <c r="C8" s="1">
        <f>+'Electric Oper Inc Statement '!F10</f>
        <v>362822057</v>
      </c>
      <c r="E8" s="1">
        <f>+'Electric Oper Inc Statement '!H10</f>
        <v>428749818</v>
      </c>
      <c r="G8" s="1">
        <f>+'Electric Oper Inc Statement '!J7</f>
        <v>362822057</v>
      </c>
    </row>
    <row r="9" spans="2:8" x14ac:dyDescent="0.25">
      <c r="B9" s="1" t="s">
        <v>402</v>
      </c>
      <c r="C9" s="7">
        <f>-'Electric Oper Inc Statement '!F21</f>
        <v>-305734029</v>
      </c>
      <c r="D9" s="7"/>
      <c r="E9" s="7">
        <f>-'Electric Oper Inc Statement '!H21</f>
        <v>-307190326.95920181</v>
      </c>
      <c r="F9" s="7">
        <f>+G9-E9</f>
        <v>24239731.085936189</v>
      </c>
      <c r="G9" s="7">
        <f>-'Electric Oper Inc Statement '!J21</f>
        <v>-282950595.87326562</v>
      </c>
    </row>
    <row r="10" spans="2:8" x14ac:dyDescent="0.25">
      <c r="B10" s="8" t="s">
        <v>403</v>
      </c>
      <c r="C10" s="31">
        <f>SUM(C8:C9)</f>
        <v>57088028</v>
      </c>
      <c r="D10" s="16"/>
      <c r="E10" s="31">
        <f>SUM(E8:E9)</f>
        <v>121559491.04079819</v>
      </c>
      <c r="F10" s="16"/>
      <c r="G10" s="31">
        <f>+G8+G9</f>
        <v>79871461.126734376</v>
      </c>
    </row>
    <row r="12" spans="2:8" x14ac:dyDescent="0.25">
      <c r="B12" s="1" t="s">
        <v>404</v>
      </c>
    </row>
    <row r="13" spans="2:8" x14ac:dyDescent="0.25">
      <c r="B13" s="1" t="s">
        <v>8</v>
      </c>
      <c r="C13" s="1">
        <f>+'Electric Oper Inc Statement '!F29</f>
        <v>1429069150</v>
      </c>
      <c r="E13" s="1">
        <f>+'Electric Oper Inc Statement '!H29</f>
        <v>1429069150</v>
      </c>
      <c r="F13" s="1">
        <f>+G13-E13</f>
        <v>-28094088.666769505</v>
      </c>
      <c r="G13" s="1">
        <f>+'Electric Oper Inc Statement '!J29</f>
        <v>1400975061.3332305</v>
      </c>
    </row>
    <row r="14" spans="2:8" x14ac:dyDescent="0.25">
      <c r="B14" s="1" t="s">
        <v>405</v>
      </c>
      <c r="C14" s="23">
        <f>+C15/C13</f>
        <v>2.0500000297396386E-2</v>
      </c>
      <c r="D14" s="23"/>
      <c r="E14" s="23">
        <f>+C14</f>
        <v>2.0500000297396386E-2</v>
      </c>
      <c r="F14" s="23"/>
      <c r="G14" s="23">
        <f>+'Rate of Return'!E18</f>
        <v>2.4327000000000001E-2</v>
      </c>
    </row>
    <row r="15" spans="2:8" x14ac:dyDescent="0.25">
      <c r="B15" s="8" t="s">
        <v>406</v>
      </c>
      <c r="C15" s="31">
        <v>29295918</v>
      </c>
      <c r="D15" s="16"/>
      <c r="E15" s="31">
        <f>+E13*E14</f>
        <v>29295918</v>
      </c>
      <c r="F15" s="16">
        <f>+G15-E15</f>
        <v>4785602.3170534968</v>
      </c>
      <c r="G15" s="31">
        <f>+G13*G14</f>
        <v>34081520.317053497</v>
      </c>
    </row>
    <row r="17" spans="2:7" x14ac:dyDescent="0.25">
      <c r="B17" s="1" t="s">
        <v>407</v>
      </c>
      <c r="C17" s="1">
        <f>+C10-C15</f>
        <v>27792110</v>
      </c>
      <c r="E17" s="1">
        <f>+E10-E15</f>
        <v>92263573.040798187</v>
      </c>
      <c r="F17" s="1">
        <f>+G17-E17</f>
        <v>-46473632.231117308</v>
      </c>
      <c r="G17" s="1">
        <f>+G10-G15</f>
        <v>45789940.809680879</v>
      </c>
    </row>
    <row r="18" spans="2:7" x14ac:dyDescent="0.25">
      <c r="B18" s="1" t="s">
        <v>408</v>
      </c>
      <c r="C18" s="23">
        <v>0</v>
      </c>
      <c r="D18" s="23"/>
      <c r="E18" s="23">
        <v>0</v>
      </c>
      <c r="F18" s="23"/>
      <c r="G18" s="23">
        <v>0</v>
      </c>
    </row>
    <row r="19" spans="2:7" x14ac:dyDescent="0.25">
      <c r="B19" s="8" t="s">
        <v>409</v>
      </c>
      <c r="C19" s="31">
        <f>+C17*C18</f>
        <v>0</v>
      </c>
      <c r="D19" s="16"/>
      <c r="E19" s="31">
        <f>+E17*E18</f>
        <v>0</v>
      </c>
      <c r="F19" s="16"/>
      <c r="G19" s="31">
        <v>0</v>
      </c>
    </row>
    <row r="21" spans="2:7" x14ac:dyDescent="0.25">
      <c r="B21" s="1" t="s">
        <v>410</v>
      </c>
      <c r="C21" s="1">
        <f>+C17</f>
        <v>27792110</v>
      </c>
      <c r="E21" s="1">
        <f>+E17</f>
        <v>92263573.040798187</v>
      </c>
      <c r="F21" s="1">
        <f>+G21-E21</f>
        <v>-46473632.231117308</v>
      </c>
      <c r="G21" s="1">
        <f>+G17</f>
        <v>45789940.809680879</v>
      </c>
    </row>
    <row r="22" spans="2:7" x14ac:dyDescent="0.25">
      <c r="B22" s="1" t="s">
        <v>411</v>
      </c>
      <c r="C22" s="23">
        <v>0.21</v>
      </c>
      <c r="D22" s="23"/>
      <c r="E22" s="23">
        <v>0.21</v>
      </c>
      <c r="F22" s="23"/>
      <c r="G22" s="23">
        <v>0.21</v>
      </c>
    </row>
    <row r="23" spans="2:7" x14ac:dyDescent="0.25">
      <c r="B23" s="8" t="s">
        <v>412</v>
      </c>
      <c r="C23" s="31">
        <f>+C21*C22</f>
        <v>5836343.0999999996</v>
      </c>
      <c r="D23" s="16"/>
      <c r="E23" s="31">
        <f>+E21*E22</f>
        <v>19375350.338567618</v>
      </c>
      <c r="F23" s="16">
        <f>+G23-E23</f>
        <v>-9759462.7685346343</v>
      </c>
      <c r="G23" s="31">
        <f>+G21*G22</f>
        <v>9615887.570032984</v>
      </c>
    </row>
    <row r="25" spans="2:7" x14ac:dyDescent="0.25">
      <c r="B25" s="1" t="s">
        <v>413</v>
      </c>
      <c r="C25" s="1">
        <v>-4905613</v>
      </c>
      <c r="E25" s="1">
        <f>+C25</f>
        <v>-4905613</v>
      </c>
      <c r="F25" s="1">
        <v>0</v>
      </c>
      <c r="G25" s="1">
        <f>+E25</f>
        <v>-4905613</v>
      </c>
    </row>
    <row r="26" spans="2:7" x14ac:dyDescent="0.25">
      <c r="B26" s="1" t="s">
        <v>414</v>
      </c>
      <c r="C26" s="1">
        <v>0</v>
      </c>
      <c r="E26" s="1">
        <v>0</v>
      </c>
      <c r="G26" s="1">
        <v>0</v>
      </c>
    </row>
    <row r="27" spans="2:7" x14ac:dyDescent="0.25">
      <c r="B27" s="1" t="s">
        <v>415</v>
      </c>
      <c r="C27" s="1">
        <v>100237</v>
      </c>
      <c r="E27" s="1">
        <f>+C27</f>
        <v>100237</v>
      </c>
      <c r="F27" s="1">
        <v>0</v>
      </c>
      <c r="G27" s="1">
        <f>+E27</f>
        <v>100237</v>
      </c>
    </row>
    <row r="28" spans="2:7" x14ac:dyDescent="0.25">
      <c r="B28" s="1" t="s">
        <v>409</v>
      </c>
      <c r="C28" s="1">
        <f>+C19</f>
        <v>0</v>
      </c>
      <c r="E28" s="1">
        <v>0</v>
      </c>
    </row>
    <row r="29" spans="2:7" x14ac:dyDescent="0.25">
      <c r="B29" s="1" t="s">
        <v>491</v>
      </c>
      <c r="C29" s="7">
        <f>+C23</f>
        <v>5836343.0999999996</v>
      </c>
      <c r="D29" s="7"/>
      <c r="E29" s="7">
        <f>+E23</f>
        <v>19375350.338567618</v>
      </c>
      <c r="F29" s="7">
        <f>+G29-E29</f>
        <v>-9759462.7685346343</v>
      </c>
      <c r="G29" s="7">
        <f>+G23</f>
        <v>9615887.570032984</v>
      </c>
    </row>
    <row r="30" spans="2:7" x14ac:dyDescent="0.25">
      <c r="B30" s="8" t="s">
        <v>416</v>
      </c>
      <c r="C30" s="31">
        <f>SUM(C25:C29)</f>
        <v>1030967.0999999996</v>
      </c>
      <c r="D30" s="16"/>
      <c r="E30" s="31">
        <f>SUM(E25:E29)</f>
        <v>14569974.338567618</v>
      </c>
      <c r="F30" s="16"/>
      <c r="G30" s="31">
        <f>SUM(G25:G29)</f>
        <v>4810511.570032984</v>
      </c>
    </row>
    <row r="34" spans="1:2" x14ac:dyDescent="0.25">
      <c r="A34" s="20" t="s">
        <v>2</v>
      </c>
      <c r="B34" s="1" t="s">
        <v>417</v>
      </c>
    </row>
    <row r="35" spans="1:2" x14ac:dyDescent="0.25">
      <c r="B35" s="1" t="s">
        <v>418</v>
      </c>
    </row>
  </sheetData>
  <pageMargins left="0.7" right="0.7" top="0.75" bottom="0.75" header="0.3" footer="0.3"/>
  <pageSetup scale="57" orientation="portrait" horizontalDpi="0" verticalDpi="0" r:id="rId1"/>
  <headerFooter>
    <oddHeader>&amp;L&amp;"Arial Narrow,Bold"&amp;K03+022Rhode Island Energy - Electric 
Test Year August 25, 2025
Rate Year 1 - July 31, 2027&amp;C&amp;"Arial Narrow,Bold"&amp;K03+023RI Public Utilities Commission 
Docket No. 25-45-GE&amp;R&amp;"Arial Narrow,Bold"&amp;K03+024Schedule DM-41-Electric RY 1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7C492-1ED4-48FD-AC43-019B9C7C97A5}">
  <sheetPr>
    <pageSetUpPr fitToPage="1"/>
  </sheetPr>
  <dimension ref="A2:F27"/>
  <sheetViews>
    <sheetView view="pageLayout" topLeftCell="B1" zoomScaleNormal="100" workbookViewId="0">
      <selection activeCell="D15" sqref="D15"/>
    </sheetView>
  </sheetViews>
  <sheetFormatPr defaultRowHeight="16.5" x14ac:dyDescent="0.3"/>
  <cols>
    <col min="1" max="1" width="6.7109375" style="2" customWidth="1"/>
    <col min="2" max="2" width="40.7109375" style="1" customWidth="1"/>
    <col min="3" max="5" width="18.7109375" style="1" customWidth="1"/>
    <col min="6" max="6" width="18.7109375" style="39" customWidth="1"/>
    <col min="7" max="11" width="18.7109375" style="1" customWidth="1"/>
    <col min="12" max="16384" width="9.140625" style="1"/>
  </cols>
  <sheetData>
    <row r="2" spans="2:6" x14ac:dyDescent="0.3">
      <c r="B2" s="5" t="s">
        <v>89</v>
      </c>
    </row>
    <row r="3" spans="2:6" x14ac:dyDescent="0.3">
      <c r="B3" s="4" t="s">
        <v>90</v>
      </c>
    </row>
    <row r="4" spans="2:6" x14ac:dyDescent="0.3">
      <c r="C4" s="6" t="s">
        <v>2</v>
      </c>
    </row>
    <row r="5" spans="2:6" x14ac:dyDescent="0.3">
      <c r="C5" s="4" t="s">
        <v>3</v>
      </c>
      <c r="D5" s="4"/>
      <c r="E5" s="4" t="s">
        <v>67</v>
      </c>
      <c r="F5" s="10"/>
    </row>
    <row r="6" spans="2:6" x14ac:dyDescent="0.3">
      <c r="C6" s="5" t="s">
        <v>72</v>
      </c>
      <c r="D6" s="5" t="s">
        <v>5</v>
      </c>
      <c r="E6" s="5" t="s">
        <v>68</v>
      </c>
      <c r="F6" s="11" t="s">
        <v>45</v>
      </c>
    </row>
    <row r="8" spans="2:6" x14ac:dyDescent="0.3">
      <c r="B8" s="8" t="s">
        <v>91</v>
      </c>
      <c r="C8" s="19">
        <v>3730146283</v>
      </c>
      <c r="D8" s="12"/>
      <c r="E8" s="19">
        <f>+C8</f>
        <v>3730146283</v>
      </c>
    </row>
    <row r="10" spans="2:6" x14ac:dyDescent="0.3">
      <c r="B10" s="1" t="s">
        <v>92</v>
      </c>
      <c r="C10" s="1">
        <v>-239220</v>
      </c>
      <c r="E10" s="1">
        <f>+C10</f>
        <v>-239220</v>
      </c>
    </row>
    <row r="11" spans="2:6" x14ac:dyDescent="0.3">
      <c r="B11" s="1" t="s">
        <v>93</v>
      </c>
      <c r="C11" s="7">
        <v>-1474544949</v>
      </c>
      <c r="D11" s="7"/>
      <c r="E11" s="7">
        <f>+C11</f>
        <v>-1474544949</v>
      </c>
    </row>
    <row r="12" spans="2:6" x14ac:dyDescent="0.3">
      <c r="B12" s="8" t="s">
        <v>94</v>
      </c>
      <c r="C12" s="8">
        <f>SUM(C8:C11)</f>
        <v>2255362114</v>
      </c>
      <c r="D12" s="8"/>
      <c r="E12" s="8">
        <f>+E8+E10+E11</f>
        <v>2255362114</v>
      </c>
    </row>
    <row r="13" spans="2:6" x14ac:dyDescent="0.3">
      <c r="F13" s="39" t="s">
        <v>485</v>
      </c>
    </row>
    <row r="14" spans="2:6" x14ac:dyDescent="0.3">
      <c r="B14" s="1" t="s">
        <v>95</v>
      </c>
      <c r="C14" s="1">
        <v>122225053</v>
      </c>
      <c r="D14" s="1">
        <f>-24352706*0.1</f>
        <v>-2435270.6</v>
      </c>
      <c r="E14" s="1">
        <f>+C14+D14</f>
        <v>119789782.40000001</v>
      </c>
      <c r="F14" s="39" t="s">
        <v>484</v>
      </c>
    </row>
    <row r="15" spans="2:6" ht="32.25" x14ac:dyDescent="0.3">
      <c r="B15" s="30" t="s">
        <v>496</v>
      </c>
      <c r="D15" s="1">
        <v>-3800000</v>
      </c>
      <c r="E15" s="1">
        <f>+D15</f>
        <v>-3800000</v>
      </c>
      <c r="F15" s="39" t="s">
        <v>498</v>
      </c>
    </row>
    <row r="16" spans="2:6" ht="32.25" x14ac:dyDescent="0.3">
      <c r="B16" s="30" t="s">
        <v>497</v>
      </c>
      <c r="D16" s="1">
        <v>-19593473</v>
      </c>
      <c r="E16" s="1">
        <f>+D16</f>
        <v>-19593473</v>
      </c>
      <c r="F16" s="39" t="s">
        <v>498</v>
      </c>
    </row>
    <row r="17" spans="1:5" x14ac:dyDescent="0.3">
      <c r="B17" s="1" t="s">
        <v>96</v>
      </c>
      <c r="C17" s="7">
        <v>-21782521</v>
      </c>
      <c r="D17" s="7">
        <v>0</v>
      </c>
      <c r="E17" s="7">
        <f>+C17</f>
        <v>-21782521</v>
      </c>
    </row>
    <row r="18" spans="1:5" x14ac:dyDescent="0.3">
      <c r="B18" s="8" t="s">
        <v>97</v>
      </c>
      <c r="C18" s="29">
        <f>SUM(C14:C17)</f>
        <v>100442532</v>
      </c>
      <c r="D18" s="8"/>
      <c r="E18" s="29">
        <f>+E14+E17+E15+E16</f>
        <v>74613788.400000006</v>
      </c>
    </row>
    <row r="20" spans="1:5" x14ac:dyDescent="0.3">
      <c r="B20" s="8" t="s">
        <v>98</v>
      </c>
      <c r="C20" s="29">
        <f>+C12+C18</f>
        <v>2355804646</v>
      </c>
      <c r="D20" s="8">
        <f>+E20-C20</f>
        <v>-25828743.599999905</v>
      </c>
      <c r="E20" s="29">
        <f>+E12+E18</f>
        <v>2329975902.4000001</v>
      </c>
    </row>
    <row r="22" spans="1:5" x14ac:dyDescent="0.3">
      <c r="B22" s="1" t="s">
        <v>99</v>
      </c>
      <c r="C22" s="7">
        <f>2409704655-2355804647</f>
        <v>53900008</v>
      </c>
      <c r="D22" s="7"/>
      <c r="E22" s="7">
        <v>53900008</v>
      </c>
    </row>
    <row r="24" spans="1:5" x14ac:dyDescent="0.3">
      <c r="B24" s="8" t="s">
        <v>100</v>
      </c>
      <c r="C24" s="19">
        <f>+C20+C22</f>
        <v>2409704654</v>
      </c>
      <c r="D24" s="12">
        <f>+E24-C24</f>
        <v>-25828743.599999905</v>
      </c>
      <c r="E24" s="19">
        <f>+E20+E22</f>
        <v>2383875910.4000001</v>
      </c>
    </row>
    <row r="27" spans="1:5" x14ac:dyDescent="0.3">
      <c r="A27" s="2">
        <v>-1</v>
      </c>
      <c r="B27" s="1" t="s">
        <v>66</v>
      </c>
    </row>
  </sheetData>
  <pageMargins left="0.7" right="0.7" top="0.94791666666666663" bottom="0.75" header="0.3" footer="0.3"/>
  <pageSetup orientation="landscape" horizontalDpi="0" verticalDpi="0" r:id="rId1"/>
  <headerFooter>
    <oddHeader>&amp;L&amp;"Arial Narrow,Bold"&amp;K03+020Rhode Island Energy - Electric 
Test Year August 31, 2025
Rate Year 1 - July 31, 2027&amp;C&amp;"Arial Narrow,Bold"&amp;K03+021RI Public Utilities Commission
Docket No. 25-45-GE&amp;R&amp;"Arial Narrow,Bold"&amp;K03+022Schedule DM-5 Electric RY 1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E3529-9F38-43D9-9D0D-7252A32EECFF}">
  <sheetPr>
    <pageSetUpPr fitToPage="1"/>
  </sheetPr>
  <dimension ref="A2:F23"/>
  <sheetViews>
    <sheetView view="pageLayout" topLeftCell="B1" zoomScaleNormal="100" workbookViewId="0">
      <selection activeCell="E17" sqref="E17"/>
    </sheetView>
  </sheetViews>
  <sheetFormatPr defaultRowHeight="16.5" x14ac:dyDescent="0.3"/>
  <cols>
    <col min="1" max="1" width="6.7109375" style="2" customWidth="1"/>
    <col min="2" max="2" width="40.7109375" style="1" customWidth="1"/>
    <col min="3" max="5" width="18.7109375" style="1" customWidth="1"/>
    <col min="6" max="6" width="18.7109375" style="39" customWidth="1"/>
    <col min="7" max="11" width="18.7109375" style="1" customWidth="1"/>
    <col min="12" max="16384" width="9.140625" style="1"/>
  </cols>
  <sheetData>
    <row r="2" spans="2:6" x14ac:dyDescent="0.3">
      <c r="B2" s="5" t="s">
        <v>101</v>
      </c>
    </row>
    <row r="3" spans="2:6" x14ac:dyDescent="0.3">
      <c r="C3" s="6" t="s">
        <v>2</v>
      </c>
    </row>
    <row r="4" spans="2:6" x14ac:dyDescent="0.3">
      <c r="C4" s="4" t="s">
        <v>3</v>
      </c>
      <c r="D4" s="4"/>
      <c r="E4" s="4" t="s">
        <v>7</v>
      </c>
      <c r="F4" s="10"/>
    </row>
    <row r="5" spans="2:6" x14ac:dyDescent="0.3">
      <c r="C5" s="5" t="s">
        <v>4</v>
      </c>
      <c r="D5" s="5" t="s">
        <v>43</v>
      </c>
      <c r="E5" s="5" t="s">
        <v>6</v>
      </c>
      <c r="F5" s="11" t="s">
        <v>45</v>
      </c>
    </row>
    <row r="7" spans="2:6" x14ac:dyDescent="0.3">
      <c r="B7" s="1" t="s">
        <v>102</v>
      </c>
      <c r="C7" s="19">
        <v>861660407</v>
      </c>
      <c r="D7" s="12"/>
      <c r="E7" s="19">
        <f>+C7</f>
        <v>861660407</v>
      </c>
    </row>
    <row r="8" spans="2:6" x14ac:dyDescent="0.3">
      <c r="F8" s="39" t="s">
        <v>485</v>
      </c>
    </row>
    <row r="9" spans="2:6" x14ac:dyDescent="0.3">
      <c r="B9" s="1" t="s">
        <v>103</v>
      </c>
      <c r="C9" s="1">
        <v>61766980</v>
      </c>
      <c r="D9" s="1">
        <v>0</v>
      </c>
      <c r="E9" s="1">
        <f>+C9+D9</f>
        <v>61766980</v>
      </c>
      <c r="F9" s="39" t="s">
        <v>484</v>
      </c>
    </row>
    <row r="10" spans="2:6" x14ac:dyDescent="0.3">
      <c r="B10" s="1" t="s">
        <v>104</v>
      </c>
      <c r="C10" s="1">
        <v>-11896095</v>
      </c>
      <c r="E10" s="1">
        <f>+C10</f>
        <v>-11896095</v>
      </c>
    </row>
    <row r="11" spans="2:6" x14ac:dyDescent="0.3">
      <c r="B11" s="1" t="s">
        <v>105</v>
      </c>
      <c r="C11" s="7">
        <v>-21782521</v>
      </c>
      <c r="D11" s="7"/>
      <c r="E11" s="7">
        <f>+C11</f>
        <v>-21782521</v>
      </c>
    </row>
    <row r="12" spans="2:6" x14ac:dyDescent="0.3">
      <c r="B12" s="8" t="s">
        <v>106</v>
      </c>
      <c r="C12" s="29">
        <f>SUM(C9:C11)</f>
        <v>28088364</v>
      </c>
      <c r="D12" s="8">
        <f>+E12-C12</f>
        <v>0</v>
      </c>
      <c r="E12" s="29">
        <f>+E9+E10+E11</f>
        <v>28088364</v>
      </c>
    </row>
    <row r="14" spans="2:6" x14ac:dyDescent="0.3">
      <c r="B14" s="8" t="s">
        <v>107</v>
      </c>
      <c r="C14" s="19">
        <f>+C7+C12</f>
        <v>889748771</v>
      </c>
      <c r="D14" s="12">
        <f>+E14-C14</f>
        <v>0</v>
      </c>
      <c r="E14" s="19">
        <f>+E7+E12</f>
        <v>889748771</v>
      </c>
    </row>
    <row r="16" spans="2:6" x14ac:dyDescent="0.3">
      <c r="B16" s="1" t="s">
        <v>108</v>
      </c>
      <c r="C16" s="12">
        <f>-C14+909563433</f>
        <v>19814662</v>
      </c>
      <c r="D16" s="7">
        <v>-368307</v>
      </c>
      <c r="E16" s="12">
        <f>+C16+D16</f>
        <v>19446355</v>
      </c>
    </row>
    <row r="17" spans="1:6" x14ac:dyDescent="0.3">
      <c r="B17" s="8" t="s">
        <v>109</v>
      </c>
      <c r="C17" s="31">
        <f>+C14+C16</f>
        <v>909563433</v>
      </c>
      <c r="D17" s="67">
        <f>+E17-C17</f>
        <v>-368307</v>
      </c>
      <c r="E17" s="31">
        <v>909195126</v>
      </c>
      <c r="F17" s="61" t="s">
        <v>2</v>
      </c>
    </row>
    <row r="23" spans="1:6" x14ac:dyDescent="0.3">
      <c r="A23" s="20" t="s">
        <v>2</v>
      </c>
      <c r="B23" s="1" t="s">
        <v>110</v>
      </c>
    </row>
  </sheetData>
  <pageMargins left="0.7" right="0.7" top="0.796875" bottom="0.75" header="0.3" footer="0.3"/>
  <pageSetup scale="75" orientation="portrait" horizontalDpi="0" verticalDpi="0" r:id="rId1"/>
  <headerFooter>
    <oddHeader>&amp;L&amp;"Arial Narrow,Bold"&amp;K03+023Rhode Island Energy - Electric 
Test Year August 31, 2025
Rate Year 1 - July 31, 2027&amp;C&amp;"Arial Narrow,Bold"&amp;K03+023RI Public Utilities Commission
Docket No. 25-45-GE&amp;R&amp;"Arial Narrow,Bold"&amp;K03+023Schedule DM-6 Electric RY 1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9880B-3890-4BD9-878B-09772F1E6825}">
  <sheetPr>
    <pageSetUpPr fitToPage="1"/>
  </sheetPr>
  <dimension ref="A2:F25"/>
  <sheetViews>
    <sheetView view="pageLayout" topLeftCell="B1" zoomScaleNormal="100" workbookViewId="0">
      <selection activeCell="D19" sqref="D19"/>
    </sheetView>
  </sheetViews>
  <sheetFormatPr defaultRowHeight="16.5" x14ac:dyDescent="0.3"/>
  <cols>
    <col min="1" max="1" width="6.7109375" style="2" customWidth="1"/>
    <col min="2" max="2" width="40.7109375" style="1" customWidth="1"/>
    <col min="3" max="5" width="18.7109375" style="1" customWidth="1"/>
    <col min="6" max="6" width="18.7109375" style="39" customWidth="1"/>
    <col min="7" max="11" width="18.7109375" style="1" customWidth="1"/>
    <col min="12" max="16384" width="9.140625" style="1"/>
  </cols>
  <sheetData>
    <row r="2" spans="2:6" x14ac:dyDescent="0.3">
      <c r="B2" s="5" t="s">
        <v>111</v>
      </c>
    </row>
    <row r="3" spans="2:6" x14ac:dyDescent="0.3">
      <c r="B3" s="4" t="s">
        <v>113</v>
      </c>
      <c r="C3" s="6" t="s">
        <v>2</v>
      </c>
    </row>
    <row r="4" spans="2:6" x14ac:dyDescent="0.3">
      <c r="C4" s="4" t="s">
        <v>112</v>
      </c>
      <c r="D4" s="4"/>
      <c r="E4" s="4" t="s">
        <v>67</v>
      </c>
      <c r="F4" s="10"/>
    </row>
    <row r="5" spans="2:6" x14ac:dyDescent="0.3">
      <c r="C5" s="5" t="s">
        <v>4</v>
      </c>
      <c r="D5" s="5" t="s">
        <v>43</v>
      </c>
      <c r="E5" s="5" t="s">
        <v>68</v>
      </c>
      <c r="F5" s="11" t="s">
        <v>45</v>
      </c>
    </row>
    <row r="7" spans="2:6" x14ac:dyDescent="0.3">
      <c r="B7" s="1" t="s">
        <v>114</v>
      </c>
      <c r="C7" s="19">
        <v>102897057</v>
      </c>
      <c r="D7" s="12">
        <v>0</v>
      </c>
      <c r="E7" s="19">
        <v>102897057</v>
      </c>
    </row>
    <row r="8" spans="2:6" x14ac:dyDescent="0.3">
      <c r="F8" s="39" t="s">
        <v>484</v>
      </c>
    </row>
    <row r="9" spans="2:6" x14ac:dyDescent="0.3">
      <c r="B9" s="1" t="s">
        <v>115</v>
      </c>
      <c r="C9" s="7">
        <v>14603259</v>
      </c>
      <c r="D9" s="7">
        <f>+'Electric AD'!D9*0.21</f>
        <v>0</v>
      </c>
      <c r="E9" s="7">
        <f>+C9+D9</f>
        <v>14603259</v>
      </c>
      <c r="F9" s="39" t="s">
        <v>485</v>
      </c>
    </row>
    <row r="10" spans="2:6" x14ac:dyDescent="0.3">
      <c r="B10" s="8" t="s">
        <v>116</v>
      </c>
      <c r="C10" s="29">
        <f>SUM(C7:C9)</f>
        <v>117500316</v>
      </c>
      <c r="D10" s="8">
        <f>+E10-C10</f>
        <v>0</v>
      </c>
      <c r="E10" s="29">
        <f>+E9+E7</f>
        <v>117500316</v>
      </c>
    </row>
    <row r="12" spans="2:6" ht="18" x14ac:dyDescent="0.4">
      <c r="B12" s="35" t="s">
        <v>117</v>
      </c>
    </row>
    <row r="13" spans="2:6" x14ac:dyDescent="0.3">
      <c r="B13" s="1" t="s">
        <v>118</v>
      </c>
      <c r="C13" s="1">
        <f>(153605016-'Electric Oper Inc Statement '!F15)*0.21</f>
        <v>17799536.789999999</v>
      </c>
      <c r="D13" s="1">
        <f>+E13-C13</f>
        <v>154689.21000000089</v>
      </c>
      <c r="E13" s="1">
        <v>17954226</v>
      </c>
    </row>
    <row r="14" spans="2:6" x14ac:dyDescent="0.3">
      <c r="B14" s="1" t="s">
        <v>119</v>
      </c>
      <c r="C14" s="7">
        <v>-3740931</v>
      </c>
      <c r="D14" s="7">
        <v>0</v>
      </c>
      <c r="E14" s="7">
        <f>+C14</f>
        <v>-3740931</v>
      </c>
    </row>
    <row r="15" spans="2:6" x14ac:dyDescent="0.3">
      <c r="B15" s="8" t="s">
        <v>120</v>
      </c>
      <c r="C15" s="31">
        <f>SUM(C13:C14)</f>
        <v>14058605.789999999</v>
      </c>
      <c r="D15" s="16">
        <f>+E15-C15</f>
        <v>154689.21000000089</v>
      </c>
      <c r="E15" s="31">
        <f>+E13+E14</f>
        <v>14213295</v>
      </c>
    </row>
    <row r="17" spans="1:6" x14ac:dyDescent="0.3">
      <c r="B17" s="1" t="s">
        <v>121</v>
      </c>
      <c r="C17" s="1">
        <f>+C10+C15</f>
        <v>131558921.78999999</v>
      </c>
      <c r="D17" s="1">
        <f>+E17-C17</f>
        <v>154689.21000000834</v>
      </c>
      <c r="E17" s="1">
        <f>+E10+E15</f>
        <v>131713611</v>
      </c>
    </row>
    <row r="18" spans="1:6" x14ac:dyDescent="0.3">
      <c r="B18" s="1" t="s">
        <v>122</v>
      </c>
      <c r="C18" s="7">
        <v>-7619893</v>
      </c>
      <c r="D18" s="7">
        <f>+E18-C18</f>
        <v>-83843</v>
      </c>
      <c r="E18" s="7">
        <v>-7703736</v>
      </c>
    </row>
    <row r="19" spans="1:6" x14ac:dyDescent="0.3">
      <c r="B19" s="8" t="s">
        <v>123</v>
      </c>
      <c r="C19" s="29">
        <f>SUM(C17:C18)</f>
        <v>123939028.78999999</v>
      </c>
      <c r="D19" s="8">
        <f>+E19-C19</f>
        <v>70846.210000008345</v>
      </c>
      <c r="E19" s="29">
        <f>+E17+E18</f>
        <v>124009875</v>
      </c>
      <c r="F19" s="61" t="s">
        <v>2</v>
      </c>
    </row>
    <row r="25" spans="1:6" x14ac:dyDescent="0.3">
      <c r="A25" s="20" t="s">
        <v>2</v>
      </c>
      <c r="B25" s="1" t="s">
        <v>124</v>
      </c>
    </row>
  </sheetData>
  <pageMargins left="0.7" right="0.7" top="0.828125" bottom="0.75" header="0.3" footer="0.3"/>
  <pageSetup scale="75" orientation="portrait" horizontalDpi="0" verticalDpi="0" r:id="rId1"/>
  <headerFooter>
    <oddHeader>&amp;L&amp;"Arial Narrow,Bold"&amp;K03+021Rhode Island Energy - Electric 
Test Year August 31, 2025
Rate Year 1 - July 31, 2027&amp;C&amp;"Arial Narrow,Bold"&amp;K03+021RI Public Utilities Commission 
Docket No. 25-45-GE&amp;R&amp;"Arial Narrow,Bold"&amp;K03+022Schedule DM-7 Electric RY 1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30E5C-8E24-4AB7-9FE1-2D989E3120A0}">
  <sheetPr>
    <pageSetUpPr fitToPage="1"/>
  </sheetPr>
  <dimension ref="A2:H35"/>
  <sheetViews>
    <sheetView view="pageLayout" topLeftCell="C1" zoomScaleNormal="100" workbookViewId="0">
      <selection activeCell="G9" sqref="G9"/>
    </sheetView>
  </sheetViews>
  <sheetFormatPr defaultRowHeight="16.5" x14ac:dyDescent="0.3"/>
  <cols>
    <col min="1" max="1" width="6.7109375" style="2" customWidth="1"/>
    <col min="2" max="2" width="40.7109375" style="1" customWidth="1"/>
    <col min="3" max="3" width="18.7109375" style="22" customWidth="1"/>
    <col min="4" max="7" width="18.7109375" style="1" customWidth="1"/>
    <col min="8" max="8" width="18.7109375" style="9" customWidth="1"/>
    <col min="9" max="11" width="18.7109375" style="1" customWidth="1"/>
    <col min="12" max="16384" width="9.140625" style="1"/>
  </cols>
  <sheetData>
    <row r="2" spans="2:8" x14ac:dyDescent="0.3">
      <c r="B2" s="5" t="s">
        <v>125</v>
      </c>
    </row>
    <row r="3" spans="2:8" x14ac:dyDescent="0.3">
      <c r="D3" s="6" t="s">
        <v>2</v>
      </c>
      <c r="G3" s="4" t="s">
        <v>67</v>
      </c>
    </row>
    <row r="4" spans="2:8" x14ac:dyDescent="0.3">
      <c r="C4" s="86" t="s">
        <v>126</v>
      </c>
      <c r="D4" s="86"/>
      <c r="E4" s="86"/>
      <c r="F4" s="5" t="s">
        <v>5</v>
      </c>
      <c r="G4" s="5" t="s">
        <v>68</v>
      </c>
      <c r="H4" s="11" t="s">
        <v>45</v>
      </c>
    </row>
    <row r="5" spans="2:8" x14ac:dyDescent="0.3">
      <c r="C5" s="36" t="s">
        <v>127</v>
      </c>
      <c r="D5" s="4" t="s">
        <v>128</v>
      </c>
      <c r="E5" s="4" t="s">
        <v>129</v>
      </c>
    </row>
    <row r="7" spans="2:8" x14ac:dyDescent="0.3">
      <c r="B7" s="1" t="s">
        <v>130</v>
      </c>
      <c r="C7" s="22">
        <v>6.6400000000000001E-2</v>
      </c>
      <c r="D7" s="1">
        <v>0</v>
      </c>
      <c r="E7" s="1">
        <v>0</v>
      </c>
    </row>
    <row r="9" spans="2:8" x14ac:dyDescent="0.3">
      <c r="B9" s="1" t="s">
        <v>75</v>
      </c>
      <c r="C9" s="22">
        <v>0.11559195999999999</v>
      </c>
      <c r="D9" s="1">
        <v>174725153</v>
      </c>
      <c r="E9" s="34">
        <f>+C9*D9</f>
        <v>20196822.896569878</v>
      </c>
      <c r="F9" s="1">
        <f>+G9-E9</f>
        <v>-2493591.9576410055</v>
      </c>
      <c r="G9" s="1">
        <f>+'O&amp;M Expenses RY 1'!G39*C9</f>
        <v>17703230.938928872</v>
      </c>
    </row>
    <row r="10" spans="2:8" x14ac:dyDescent="0.3">
      <c r="B10" s="1" t="s">
        <v>131</v>
      </c>
      <c r="C10" s="22">
        <v>7.1499999999999994E-2</v>
      </c>
      <c r="D10" s="1">
        <v>221897018</v>
      </c>
      <c r="E10" s="1">
        <v>0</v>
      </c>
    </row>
    <row r="11" spans="2:8" x14ac:dyDescent="0.3">
      <c r="B11" s="1" t="s">
        <v>132</v>
      </c>
      <c r="C11" s="22">
        <v>0.13500000000000001</v>
      </c>
      <c r="D11" s="1">
        <v>0</v>
      </c>
      <c r="E11" s="1">
        <v>0</v>
      </c>
    </row>
    <row r="13" spans="2:8" x14ac:dyDescent="0.3">
      <c r="B13" s="1" t="s">
        <v>133</v>
      </c>
      <c r="C13" s="22">
        <v>0.12770000000000001</v>
      </c>
      <c r="D13" s="1">
        <v>40816333</v>
      </c>
      <c r="E13" s="34">
        <f>+C13*D13</f>
        <v>5212245.7241000002</v>
      </c>
      <c r="F13" s="1">
        <v>0</v>
      </c>
      <c r="G13" s="1">
        <f>+E13</f>
        <v>5212245.7241000002</v>
      </c>
    </row>
    <row r="14" spans="2:8" x14ac:dyDescent="0.3">
      <c r="B14" s="1" t="s">
        <v>134</v>
      </c>
      <c r="C14" s="22">
        <v>9.9500000000000005E-2</v>
      </c>
      <c r="D14" s="1">
        <v>1750741</v>
      </c>
      <c r="E14" s="34">
        <f>+C14*D14</f>
        <v>174198.72950000002</v>
      </c>
      <c r="F14" s="1">
        <v>0</v>
      </c>
      <c r="G14" s="1">
        <f>+E14</f>
        <v>174198.72950000002</v>
      </c>
    </row>
    <row r="15" spans="2:8" x14ac:dyDescent="0.3">
      <c r="B15" s="1" t="s">
        <v>135</v>
      </c>
      <c r="C15" s="22">
        <v>8.2600000000000007E-2</v>
      </c>
      <c r="D15" s="1">
        <v>50339791</v>
      </c>
      <c r="E15" s="34">
        <f>+C15*D15</f>
        <v>4158066.7366000004</v>
      </c>
      <c r="F15" s="1">
        <v>0</v>
      </c>
      <c r="G15" s="1">
        <f>+E15</f>
        <v>4158066.7366000004</v>
      </c>
    </row>
    <row r="17" spans="2:7" ht="18" x14ac:dyDescent="0.4">
      <c r="B17" s="35" t="s">
        <v>140</v>
      </c>
    </row>
    <row r="18" spans="2:7" x14ac:dyDescent="0.3">
      <c r="B18" s="1" t="s">
        <v>136</v>
      </c>
      <c r="C18" s="22">
        <v>0.16489999999999999</v>
      </c>
      <c r="D18" s="1">
        <v>74586</v>
      </c>
      <c r="E18" s="34">
        <f>+C18*D18</f>
        <v>12299.231399999999</v>
      </c>
      <c r="F18" s="1">
        <f>+G18-E18</f>
        <v>-768.62695370612164</v>
      </c>
      <c r="G18" s="1">
        <f>+C18*'Payroll Taxes'!E17</f>
        <v>11530.604446293877</v>
      </c>
    </row>
    <row r="19" spans="2:7" x14ac:dyDescent="0.3">
      <c r="B19" s="1" t="s">
        <v>137</v>
      </c>
      <c r="C19" s="22">
        <v>0.16489999999999999</v>
      </c>
      <c r="D19" s="1">
        <v>298343</v>
      </c>
      <c r="E19" s="34">
        <f>+C19*D19</f>
        <v>49196.760699999999</v>
      </c>
      <c r="F19" s="1">
        <f>+G19-E19</f>
        <v>-3047.743086003502</v>
      </c>
      <c r="G19" s="1">
        <f>+C20*'Payroll Taxes'!E18</f>
        <v>46149.017613996497</v>
      </c>
    </row>
    <row r="20" spans="2:7" x14ac:dyDescent="0.3">
      <c r="B20" s="1" t="s">
        <v>138</v>
      </c>
      <c r="C20" s="22">
        <v>0.16500000000000001</v>
      </c>
      <c r="D20" s="1">
        <v>3683239</v>
      </c>
      <c r="E20" s="34">
        <f>+C20*D20</f>
        <v>607734.43500000006</v>
      </c>
      <c r="F20" s="1">
        <f>+G20-E20</f>
        <v>-38063.848368971259</v>
      </c>
      <c r="G20" s="1">
        <f>+'Payroll Taxes'!E19*0.5809*C20</f>
        <v>569670.5866310288</v>
      </c>
    </row>
    <row r="21" spans="2:7" x14ac:dyDescent="0.3">
      <c r="B21" s="1" t="s">
        <v>139</v>
      </c>
      <c r="C21" s="22">
        <v>0.16500000000000001</v>
      </c>
      <c r="D21" s="1">
        <v>2656552</v>
      </c>
      <c r="E21" s="34">
        <f>+C21*D21</f>
        <v>438331.08</v>
      </c>
      <c r="F21" s="1">
        <f>+G21-E21</f>
        <v>-27332.727689681225</v>
      </c>
      <c r="G21" s="1">
        <f>+'Payroll Taxes'!E19*0.4191*C21</f>
        <v>410998.35231031879</v>
      </c>
    </row>
    <row r="23" spans="2:7" ht="18" x14ac:dyDescent="0.4">
      <c r="B23" s="35" t="s">
        <v>141</v>
      </c>
    </row>
    <row r="24" spans="2:7" x14ac:dyDescent="0.3">
      <c r="B24" s="1" t="s">
        <v>142</v>
      </c>
      <c r="C24" s="22">
        <v>2.7000000000000001E-3</v>
      </c>
      <c r="D24" s="1">
        <v>4636953</v>
      </c>
      <c r="E24" s="34">
        <f>+C24*D24</f>
        <v>12519.7731</v>
      </c>
      <c r="F24" s="1">
        <v>0</v>
      </c>
      <c r="G24" s="34">
        <v>12520</v>
      </c>
    </row>
    <row r="25" spans="2:7" x14ac:dyDescent="0.3">
      <c r="B25" s="1" t="s">
        <v>143</v>
      </c>
      <c r="C25" s="22">
        <v>2.7000000000000001E-3</v>
      </c>
      <c r="D25" s="1">
        <v>3344422</v>
      </c>
      <c r="E25" s="34">
        <f>+C25*D25</f>
        <v>9029.9394000000011</v>
      </c>
      <c r="F25" s="1">
        <v>0</v>
      </c>
      <c r="G25" s="34">
        <v>9030</v>
      </c>
    </row>
    <row r="26" spans="2:7" x14ac:dyDescent="0.3">
      <c r="B26" s="1" t="s">
        <v>144</v>
      </c>
      <c r="C26" s="22">
        <v>2.7000000000000001E-3</v>
      </c>
      <c r="D26" s="1">
        <v>2566953</v>
      </c>
      <c r="E26" s="34">
        <f>+C26*D26</f>
        <v>6930.7731000000003</v>
      </c>
      <c r="F26" s="1">
        <v>0</v>
      </c>
      <c r="G26" s="34">
        <v>6931</v>
      </c>
    </row>
    <row r="27" spans="2:7" x14ac:dyDescent="0.3">
      <c r="B27" s="1" t="s">
        <v>145</v>
      </c>
      <c r="C27" s="22">
        <v>2.7000000000000001E-3</v>
      </c>
      <c r="D27" s="1">
        <v>2011232</v>
      </c>
      <c r="E27" s="34">
        <f>+C27*D27</f>
        <v>5430.3263999999999</v>
      </c>
      <c r="F27" s="1">
        <v>0</v>
      </c>
      <c r="G27" s="34">
        <v>5430</v>
      </c>
    </row>
    <row r="29" spans="2:7" x14ac:dyDescent="0.3">
      <c r="B29" s="1" t="s">
        <v>147</v>
      </c>
      <c r="C29" s="22">
        <v>2.7000000000000001E-3</v>
      </c>
      <c r="D29" s="1">
        <v>479854</v>
      </c>
      <c r="E29" s="34">
        <f>+C29*D29</f>
        <v>1295.6058</v>
      </c>
      <c r="F29" s="1">
        <v>0</v>
      </c>
      <c r="G29" s="1">
        <f>+E29</f>
        <v>1295.6058</v>
      </c>
    </row>
    <row r="30" spans="2:7" x14ac:dyDescent="0.3">
      <c r="B30" s="1" t="s">
        <v>148</v>
      </c>
      <c r="C30" s="23">
        <v>2.7000000000000001E-3</v>
      </c>
      <c r="D30" s="7">
        <v>333199</v>
      </c>
      <c r="E30" s="37">
        <f>+C30*D30</f>
        <v>899.6373000000001</v>
      </c>
      <c r="F30" s="7">
        <v>0</v>
      </c>
      <c r="G30" s="7">
        <f>+E30</f>
        <v>899.6373000000001</v>
      </c>
    </row>
    <row r="32" spans="2:7" x14ac:dyDescent="0.3">
      <c r="B32" s="8" t="s">
        <v>146</v>
      </c>
      <c r="C32" s="24"/>
      <c r="D32" s="8">
        <f>SUM(D9:D31)</f>
        <v>509614369</v>
      </c>
      <c r="E32" s="60">
        <f>SUM(E9:E30)</f>
        <v>30885001.648969874</v>
      </c>
      <c r="F32" s="8">
        <f>+G32-E32</f>
        <v>-2562804.7157393619</v>
      </c>
      <c r="G32" s="60">
        <f>SUM(G7:G31)</f>
        <v>28322196.933230512</v>
      </c>
    </row>
    <row r="35" spans="1:2" x14ac:dyDescent="0.3">
      <c r="A35" s="20" t="s">
        <v>2</v>
      </c>
      <c r="B35" s="1" t="s">
        <v>149</v>
      </c>
    </row>
  </sheetData>
  <mergeCells count="1">
    <mergeCell ref="C4:E4"/>
  </mergeCells>
  <pageMargins left="0.7" right="0.7" top="0.86937500000000001" bottom="0.75" header="0.3" footer="0.3"/>
  <pageSetup scale="78" orientation="landscape" horizontalDpi="0" verticalDpi="0" r:id="rId1"/>
  <headerFooter>
    <oddHeader>&amp;L&amp;"Arial Narrow,Bold"&amp;K03+023Rhode Island Energy - Electric
Test Year August 31, 2025
Rate Year 1- July 31, 2027&amp;C&amp;"Arial Narrow,Bold"&amp;K03+023RI Public Utilities Commission
Docket No. 25-45-GE&amp;R&amp;"Arial Narrow,Bold"&amp;K03+023Schedule DM-8 Electric RY 1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FC50B-569D-4778-9244-41A1E2F43747}">
  <sheetPr>
    <pageSetUpPr fitToPage="1"/>
  </sheetPr>
  <dimension ref="A2:H36"/>
  <sheetViews>
    <sheetView view="pageLayout" topLeftCell="A10" zoomScaleNormal="100" workbookViewId="0">
      <selection activeCell="G7" sqref="G7"/>
    </sheetView>
  </sheetViews>
  <sheetFormatPr defaultRowHeight="16.5" x14ac:dyDescent="0.3"/>
  <cols>
    <col min="1" max="1" width="6.7109375" style="2" customWidth="1"/>
    <col min="2" max="2" width="40.7109375" style="1" customWidth="1"/>
    <col min="3" max="7" width="18.7109375" style="1" customWidth="1"/>
    <col min="8" max="8" width="18.7109375" style="9" customWidth="1"/>
    <col min="9" max="11" width="18.7109375" style="1" customWidth="1"/>
    <col min="12" max="16384" width="9.140625" style="1"/>
  </cols>
  <sheetData>
    <row r="2" spans="2:8" x14ac:dyDescent="0.3">
      <c r="B2" s="5" t="s">
        <v>150</v>
      </c>
    </row>
    <row r="3" spans="2:8" x14ac:dyDescent="0.3">
      <c r="C3" s="6" t="s">
        <v>2</v>
      </c>
    </row>
    <row r="4" spans="2:8" x14ac:dyDescent="0.3">
      <c r="C4" s="4" t="s">
        <v>3</v>
      </c>
      <c r="D4" s="4"/>
      <c r="E4" s="4" t="s">
        <v>3</v>
      </c>
      <c r="F4" s="4"/>
      <c r="G4" s="4" t="s">
        <v>283</v>
      </c>
      <c r="H4" s="10"/>
    </row>
    <row r="5" spans="2:8" x14ac:dyDescent="0.3">
      <c r="C5" s="5" t="s">
        <v>4</v>
      </c>
      <c r="D5" s="5" t="s">
        <v>5</v>
      </c>
      <c r="E5" s="5" t="s">
        <v>151</v>
      </c>
      <c r="F5" s="5" t="s">
        <v>43</v>
      </c>
      <c r="G5" s="5" t="s">
        <v>6</v>
      </c>
      <c r="H5" s="11" t="s">
        <v>45</v>
      </c>
    </row>
    <row r="7" spans="2:8" x14ac:dyDescent="0.3">
      <c r="B7" s="1" t="s">
        <v>152</v>
      </c>
      <c r="C7" s="1">
        <v>68238733</v>
      </c>
      <c r="D7" s="1">
        <f>+'Electric Oper Inc Statement '!G10</f>
        <v>65927761</v>
      </c>
      <c r="E7" s="1">
        <f>+C7+D7</f>
        <v>134166494</v>
      </c>
    </row>
    <row r="8" spans="2:8" x14ac:dyDescent="0.3">
      <c r="B8" s="1" t="s">
        <v>153</v>
      </c>
      <c r="C8" s="1">
        <v>242394514</v>
      </c>
      <c r="D8" s="1">
        <v>0</v>
      </c>
      <c r="E8" s="1">
        <f>+C8+D8</f>
        <v>242394514</v>
      </c>
    </row>
    <row r="9" spans="2:8" x14ac:dyDescent="0.3">
      <c r="B9" s="1" t="s">
        <v>154</v>
      </c>
      <c r="C9" s="7">
        <v>-11328021</v>
      </c>
      <c r="D9" s="7">
        <v>0</v>
      </c>
      <c r="E9" s="7">
        <f>+C9+D9</f>
        <v>-11328021</v>
      </c>
      <c r="F9" s="7"/>
      <c r="G9" s="7"/>
    </row>
    <row r="10" spans="2:8" x14ac:dyDescent="0.3">
      <c r="B10" s="8" t="s">
        <v>155</v>
      </c>
      <c r="C10" s="8">
        <f>SUM(C7:C9)</f>
        <v>299305226</v>
      </c>
      <c r="D10" s="8">
        <f>+D7</f>
        <v>65927761</v>
      </c>
      <c r="E10" s="8">
        <f>SUM(E7:E9)</f>
        <v>365232987</v>
      </c>
      <c r="F10" s="8"/>
      <c r="G10" s="8"/>
    </row>
    <row r="12" spans="2:8" x14ac:dyDescent="0.3">
      <c r="B12" s="1" t="s">
        <v>156</v>
      </c>
      <c r="C12" s="1">
        <v>49794523</v>
      </c>
      <c r="D12" s="1">
        <v>0</v>
      </c>
      <c r="E12" s="1">
        <f>+C12+D12</f>
        <v>49794523</v>
      </c>
    </row>
    <row r="13" spans="2:8" x14ac:dyDescent="0.3">
      <c r="B13" s="1" t="s">
        <v>157</v>
      </c>
      <c r="C13" s="7">
        <v>-3923164</v>
      </c>
      <c r="D13" s="7">
        <v>0</v>
      </c>
      <c r="E13" s="7">
        <f>+C13+D13</f>
        <v>-3923164</v>
      </c>
      <c r="F13" s="7"/>
      <c r="G13" s="7"/>
    </row>
    <row r="14" spans="2:8" x14ac:dyDescent="0.3">
      <c r="B14" s="8" t="s">
        <v>60</v>
      </c>
      <c r="C14" s="8">
        <f>SUM(C12:C13)</f>
        <v>45871359</v>
      </c>
      <c r="D14" s="8">
        <v>0</v>
      </c>
      <c r="E14" s="8">
        <f>SUM(E12:E13)</f>
        <v>45871359</v>
      </c>
      <c r="F14" s="8"/>
      <c r="G14" s="8"/>
    </row>
    <row r="16" spans="2:8" x14ac:dyDescent="0.3">
      <c r="B16" s="1" t="s">
        <v>158</v>
      </c>
      <c r="C16" s="19">
        <f>+C10+C14</f>
        <v>345176585</v>
      </c>
      <c r="D16" s="12">
        <f>+D10+D12+D13+D14</f>
        <v>65927761</v>
      </c>
      <c r="E16" s="12">
        <f>+C16+D16</f>
        <v>411104346</v>
      </c>
      <c r="F16" s="12"/>
      <c r="G16" s="19"/>
    </row>
    <row r="18" spans="2:7" x14ac:dyDescent="0.3">
      <c r="B18" s="1" t="s">
        <v>159</v>
      </c>
      <c r="C18" s="1">
        <v>1217120</v>
      </c>
      <c r="D18" s="1">
        <v>0</v>
      </c>
      <c r="E18" s="1">
        <f t="shared" ref="E18:E26" si="0">+C18+D18</f>
        <v>1217120</v>
      </c>
    </row>
    <row r="19" spans="2:7" x14ac:dyDescent="0.3">
      <c r="B19" s="1" t="s">
        <v>160</v>
      </c>
      <c r="C19" s="1">
        <v>275860</v>
      </c>
      <c r="D19" s="1">
        <v>0</v>
      </c>
      <c r="E19" s="1">
        <f t="shared" si="0"/>
        <v>275860</v>
      </c>
    </row>
    <row r="20" spans="2:7" x14ac:dyDescent="0.3">
      <c r="B20" s="1" t="s">
        <v>161</v>
      </c>
      <c r="C20" s="1">
        <v>3355916</v>
      </c>
      <c r="D20" s="1">
        <v>0</v>
      </c>
      <c r="E20" s="1">
        <f t="shared" si="0"/>
        <v>3355916</v>
      </c>
    </row>
    <row r="21" spans="2:7" x14ac:dyDescent="0.3">
      <c r="B21" s="1" t="s">
        <v>162</v>
      </c>
      <c r="C21" s="1">
        <v>2407088</v>
      </c>
      <c r="D21" s="1">
        <v>0</v>
      </c>
      <c r="E21" s="1">
        <f t="shared" si="0"/>
        <v>2407088</v>
      </c>
    </row>
    <row r="22" spans="2:7" x14ac:dyDescent="0.3">
      <c r="B22" s="1" t="s">
        <v>163</v>
      </c>
      <c r="C22" s="1">
        <v>745939</v>
      </c>
      <c r="D22" s="1">
        <v>0</v>
      </c>
      <c r="E22" s="1">
        <f t="shared" si="0"/>
        <v>745939</v>
      </c>
    </row>
    <row r="23" spans="2:7" x14ac:dyDescent="0.3">
      <c r="B23" s="1" t="s">
        <v>164</v>
      </c>
      <c r="C23" s="1">
        <v>0</v>
      </c>
      <c r="D23" s="1">
        <v>0</v>
      </c>
      <c r="E23" s="1">
        <f t="shared" si="0"/>
        <v>0</v>
      </c>
    </row>
    <row r="24" spans="2:7" x14ac:dyDescent="0.3">
      <c r="B24" s="1" t="s">
        <v>165</v>
      </c>
      <c r="C24" s="1">
        <v>10566</v>
      </c>
      <c r="D24" s="1">
        <v>0</v>
      </c>
      <c r="E24" s="1">
        <f t="shared" si="0"/>
        <v>10566</v>
      </c>
    </row>
    <row r="25" spans="2:7" x14ac:dyDescent="0.3">
      <c r="B25" s="1" t="s">
        <v>166</v>
      </c>
      <c r="C25" s="1">
        <v>9533744</v>
      </c>
      <c r="D25" s="1">
        <v>0</v>
      </c>
      <c r="E25" s="1">
        <f t="shared" si="0"/>
        <v>9533744</v>
      </c>
    </row>
    <row r="26" spans="2:7" x14ac:dyDescent="0.3">
      <c r="B26" s="1" t="s">
        <v>167</v>
      </c>
      <c r="C26" s="7">
        <v>99240</v>
      </c>
      <c r="D26" s="7">
        <v>0</v>
      </c>
      <c r="E26" s="7">
        <f t="shared" si="0"/>
        <v>99240</v>
      </c>
      <c r="F26" s="7"/>
      <c r="G26" s="7"/>
    </row>
    <row r="27" spans="2:7" x14ac:dyDescent="0.3">
      <c r="B27" s="8" t="s">
        <v>60</v>
      </c>
      <c r="C27" s="29">
        <f>SUM(C16:C26)</f>
        <v>362822058</v>
      </c>
      <c r="D27" s="8">
        <f>SUM(D14:D26)</f>
        <v>65927761</v>
      </c>
      <c r="E27" s="8">
        <f>SUM(E16:E26)</f>
        <v>428749819</v>
      </c>
      <c r="F27" s="8"/>
      <c r="G27" s="29"/>
    </row>
    <row r="29" spans="2:7" x14ac:dyDescent="0.3">
      <c r="B29" s="1" t="s">
        <v>168</v>
      </c>
      <c r="C29" s="12">
        <v>0</v>
      </c>
      <c r="D29" s="12">
        <v>0</v>
      </c>
      <c r="E29" s="12">
        <v>0</v>
      </c>
      <c r="F29" s="12"/>
      <c r="G29" s="12"/>
    </row>
    <row r="31" spans="2:7" x14ac:dyDescent="0.3">
      <c r="B31" s="8" t="s">
        <v>169</v>
      </c>
      <c r="C31" s="19">
        <f>+C27+C29</f>
        <v>362822058</v>
      </c>
      <c r="D31" s="12">
        <f>+D27+D29</f>
        <v>65927761</v>
      </c>
      <c r="E31" s="12">
        <f>+E27+E29</f>
        <v>428749819</v>
      </c>
      <c r="F31" s="12"/>
      <c r="G31" s="19"/>
    </row>
    <row r="35" spans="1:2" x14ac:dyDescent="0.3">
      <c r="A35" s="20" t="s">
        <v>2</v>
      </c>
      <c r="B35" s="1" t="s">
        <v>170</v>
      </c>
    </row>
    <row r="36" spans="1:2" ht="48" x14ac:dyDescent="0.3">
      <c r="B36" s="30" t="s">
        <v>171</v>
      </c>
    </row>
  </sheetData>
  <pageMargins left="0.7" right="0.7" top="0.82874999999999999" bottom="0.75" header="0.3" footer="0.3"/>
  <pageSetup scale="78" orientation="landscape" horizontalDpi="0" verticalDpi="0" r:id="rId1"/>
  <headerFooter>
    <oddHeader>&amp;L&amp;"Arial Narrow,Bold"&amp;K03+022Rhode Island Energy - Electric 
Test Year August 31, 2025
Rate Year 1 - July 31, 2027&amp;C&amp;"Arial Narrow,Bold"&amp;K03+022RI Public Utilities Commission
Docket No. 25-45-GE&amp;R&amp;"Arial Narrow,Bold"&amp;K03+023Schedule DM-9 Electric RY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41</vt:i4>
      </vt:variant>
    </vt:vector>
  </HeadingPairs>
  <TitlesOfParts>
    <vt:vector size="41" baseType="lpstr">
      <vt:lpstr>RR Electric Summary RY1</vt:lpstr>
      <vt:lpstr>Rate of Return</vt:lpstr>
      <vt:lpstr>Rate Base Electric RY1</vt:lpstr>
      <vt:lpstr>Electric Oper Inc Statement </vt:lpstr>
      <vt:lpstr>Electric Utility Plant in Serv </vt:lpstr>
      <vt:lpstr>Electric AD</vt:lpstr>
      <vt:lpstr>Electric ADIT</vt:lpstr>
      <vt:lpstr>Electric CWC</vt:lpstr>
      <vt:lpstr>Electric Revenues</vt:lpstr>
      <vt:lpstr>O&amp;M Expenses RY 1</vt:lpstr>
      <vt:lpstr>Labor RY 1</vt:lpstr>
      <vt:lpstr>Health Other Benefits</vt:lpstr>
      <vt:lpstr>Consultants</vt:lpstr>
      <vt:lpstr>Contractors</vt:lpstr>
      <vt:lpstr>Employee Expenses </vt:lpstr>
      <vt:lpstr>Allocated Deprec</vt:lpstr>
      <vt:lpstr>Rents</vt:lpstr>
      <vt:lpstr>Uninsured Claims</vt:lpstr>
      <vt:lpstr>Insurance Premiums</vt:lpstr>
      <vt:lpstr>Reg. Assess Fees</vt:lpstr>
      <vt:lpstr>Uncollectible</vt:lpstr>
      <vt:lpstr>Postage</vt:lpstr>
      <vt:lpstr>Software Maint.</vt:lpstr>
      <vt:lpstr>Environ Resp Fund</vt:lpstr>
      <vt:lpstr>Paperless Bill Cr.</vt:lpstr>
      <vt:lpstr>PBOP</vt:lpstr>
      <vt:lpstr>Pension</vt:lpstr>
      <vt:lpstr>Other O&amp;M</vt:lpstr>
      <vt:lpstr>Storm Cost Recovery</vt:lpstr>
      <vt:lpstr>Materials</vt:lpstr>
      <vt:lpstr>Materials Stores Handl.</vt:lpstr>
      <vt:lpstr>Transportation</vt:lpstr>
      <vt:lpstr>Info. Tech.</vt:lpstr>
      <vt:lpstr>Pavings</vt:lpstr>
      <vt:lpstr>Other Benefits</vt:lpstr>
      <vt:lpstr>Construct Reimburse.</vt:lpstr>
      <vt:lpstr>Amort. of Reg Deferrals</vt:lpstr>
      <vt:lpstr>Depreciation </vt:lpstr>
      <vt:lpstr>Muni Taxes</vt:lpstr>
      <vt:lpstr>Payroll Taxes</vt:lpstr>
      <vt:lpstr>Income Taxes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Dante Mugrace</dc:creator>
  <cp:lastModifiedBy>Dante Mugrace</cp:lastModifiedBy>
  <cp:lastPrinted>2026-04-29T18:26:49Z</cp:lastPrinted>
  <dcterms:created xsi:type="dcterms:W3CDTF">2025-12-29T16:45:17Z</dcterms:created>
  <dcterms:modified xsi:type="dcterms:W3CDTF">2026-05-07T13:33:40Z</dcterms:modified>
</cp:coreProperties>
</file>